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3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10365" yWindow="495" windowWidth="7995" windowHeight="7785" tabRatio="790" firstSheet="1" activeTab="1"/>
  </bookViews>
  <sheets>
    <sheet name="Sheet1" sheetId="18" state="hidden" r:id="rId1"/>
    <sheet name="Conventional" sheetId="1" r:id="rId2"/>
    <sheet name="Prices" sheetId="10" state="hidden" r:id="rId3"/>
    <sheet name="Strip-Till" sheetId="2" r:id="rId4"/>
    <sheet name="Peanut Price Calculator" sheetId="17" r:id="rId5"/>
    <sheet name="Price Comparison" sheetId="14" r:id="rId6"/>
    <sheet name="CTillCharts" sheetId="11" r:id="rId7"/>
    <sheet name="STillCharts" sheetId="16" r:id="rId8"/>
    <sheet name="Irrigated" sheetId="7" state="hidden" r:id="rId9"/>
    <sheet name="Dryland" sheetId="3" state="hidden" r:id="rId10"/>
    <sheet name="Irrigated ST" sheetId="9" state="hidden" r:id="rId11"/>
    <sheet name="Dryland ST" sheetId="8" state="hidden" r:id="rId12"/>
  </sheets>
  <definedNames>
    <definedName name="_xlnm.Print_Area" localSheetId="1">Conventional!$A$1:$AA$47</definedName>
    <definedName name="_xlnm.Print_Area" localSheetId="6">CTillCharts!$A$1:$M$408</definedName>
    <definedName name="_xlnm.Print_Area" localSheetId="9">Dryland!$A$6:$M$38</definedName>
    <definedName name="_xlnm.Print_Area" localSheetId="11">'Dryland ST'!$A$6:$M$38</definedName>
    <definedName name="_xlnm.Print_Area" localSheetId="8">Irrigated!$A$4:$M$38</definedName>
    <definedName name="_xlnm.Print_Area" localSheetId="10">'Irrigated ST'!$A$3:$M$38</definedName>
    <definedName name="_xlnm.Print_Area" localSheetId="4">'Peanut Price Calculator'!$A$9:$I$28</definedName>
    <definedName name="_xlnm.Print_Area" localSheetId="5">'Price Comparison'!$A$1:$I$18</definedName>
    <definedName name="_xlnm.Print_Area" localSheetId="7">STillCharts!$A$1:$M$408</definedName>
    <definedName name="_xlnm.Print_Area" localSheetId="3">'Strip-Till'!$A$1:$U$49</definedName>
    <definedName name="TVC" localSheetId="7">Dryland!#REF!</definedName>
    <definedName name="TVC">Dryland!#REF!</definedName>
    <definedName name="yield" localSheetId="7">Dryland!#REF!</definedName>
    <definedName name="yield">Dryland!#REF!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0" i="18" l="1"/>
  <c r="D11" i="18"/>
  <c r="D12" i="18"/>
  <c r="A10" i="18"/>
  <c r="A11" i="18"/>
  <c r="A12" i="18"/>
  <c r="E10" i="18"/>
  <c r="E11" i="18"/>
  <c r="E12" i="18"/>
  <c r="C10" i="18"/>
  <c r="C11" i="18"/>
  <c r="C12" i="18"/>
  <c r="B10" i="18"/>
  <c r="B11" i="18"/>
  <c r="B12" i="18"/>
  <c r="D3" i="18"/>
  <c r="D4" i="18"/>
  <c r="D5" i="18"/>
  <c r="A3" i="18"/>
  <c r="A4" i="18"/>
  <c r="A5" i="18"/>
  <c r="E3" i="18"/>
  <c r="E4" i="18"/>
  <c r="E5" i="18"/>
  <c r="C3" i="18"/>
  <c r="C4" i="18"/>
  <c r="C5" i="18"/>
  <c r="B3" i="18"/>
  <c r="B4" i="18"/>
  <c r="B5" i="18"/>
  <c r="R21" i="2"/>
  <c r="R16" i="2"/>
  <c r="F47" i="2"/>
  <c r="R14" i="2"/>
  <c r="P16" i="2"/>
  <c r="P14" i="2"/>
  <c r="T21" i="2"/>
  <c r="T14" i="2"/>
  <c r="N21" i="2"/>
  <c r="N16" i="2"/>
  <c r="N14" i="2"/>
  <c r="R35" i="2"/>
  <c r="H35" i="2"/>
  <c r="H21" i="2"/>
  <c r="L15" i="1"/>
  <c r="B15" i="1"/>
  <c r="L16" i="2"/>
  <c r="B16" i="2"/>
  <c r="H16" i="2"/>
  <c r="H14" i="2"/>
  <c r="P35" i="2"/>
  <c r="F35" i="2"/>
  <c r="P21" i="2"/>
  <c r="F21" i="2"/>
  <c r="F16" i="2"/>
  <c r="F14" i="2"/>
  <c r="N35" i="2"/>
  <c r="T35" i="2"/>
  <c r="J35" i="2"/>
  <c r="J21" i="2"/>
  <c r="J16" i="2"/>
  <c r="J14" i="2"/>
  <c r="L20" i="1"/>
  <c r="B20" i="1"/>
  <c r="L35" i="2"/>
  <c r="L21" i="2"/>
  <c r="B21" i="2"/>
  <c r="B35" i="2"/>
  <c r="D35" i="2"/>
  <c r="B49" i="2"/>
  <c r="J22" i="2"/>
  <c r="H22" i="2"/>
  <c r="F22" i="2"/>
  <c r="B22" i="2"/>
  <c r="D22" i="2"/>
  <c r="D21" i="2"/>
  <c r="D16" i="2"/>
  <c r="D14" i="2"/>
  <c r="H20" i="1"/>
  <c r="H15" i="1"/>
  <c r="F20" i="1"/>
  <c r="F15" i="1"/>
  <c r="F13" i="1"/>
  <c r="J20" i="1"/>
  <c r="J15" i="1"/>
  <c r="J13" i="1"/>
  <c r="J21" i="1"/>
  <c r="H21" i="1"/>
  <c r="F21" i="1"/>
  <c r="B21" i="1"/>
  <c r="D21" i="1"/>
  <c r="D20" i="1"/>
  <c r="D15" i="1"/>
  <c r="D13" i="1"/>
  <c r="H34" i="1"/>
  <c r="L34" i="1"/>
  <c r="B34" i="1"/>
  <c r="D34" i="1"/>
  <c r="F34" i="1"/>
  <c r="J34" i="1"/>
  <c r="T34" i="1"/>
  <c r="T20" i="1"/>
  <c r="T13" i="1"/>
  <c r="N34" i="1"/>
  <c r="N20" i="1"/>
  <c r="N15" i="1"/>
  <c r="N13" i="1"/>
  <c r="R34" i="1"/>
  <c r="R22" i="1"/>
  <c r="R20" i="1"/>
  <c r="P19" i="1"/>
  <c r="R15" i="1"/>
  <c r="R13" i="1"/>
  <c r="P34" i="1"/>
  <c r="P20" i="1"/>
  <c r="P15" i="1"/>
  <c r="P13" i="1"/>
  <c r="B13" i="1"/>
  <c r="B14" i="2"/>
  <c r="J36" i="2"/>
  <c r="X34" i="1"/>
  <c r="V34" i="1"/>
  <c r="X28" i="1"/>
  <c r="V28" i="1"/>
  <c r="X20" i="1"/>
  <c r="V20" i="1"/>
  <c r="X15" i="1"/>
  <c r="V15" i="1"/>
  <c r="F20" i="2"/>
  <c r="B13" i="2"/>
  <c r="L13" i="2"/>
  <c r="B19" i="1"/>
  <c r="T24" i="2"/>
  <c r="T29" i="2"/>
  <c r="R24" i="2"/>
  <c r="P29" i="2"/>
  <c r="N18" i="2"/>
  <c r="N19" i="2"/>
  <c r="N24" i="2"/>
  <c r="N7" i="2"/>
  <c r="N29" i="2"/>
  <c r="N30" i="2"/>
  <c r="L18" i="2"/>
  <c r="L19" i="2"/>
  <c r="L24" i="2"/>
  <c r="L28" i="2"/>
  <c r="F29" i="2"/>
  <c r="H24" i="2"/>
  <c r="J24" i="2"/>
  <c r="J29" i="2"/>
  <c r="D18" i="2"/>
  <c r="D19" i="2"/>
  <c r="D24" i="2"/>
  <c r="D7" i="2"/>
  <c r="D29" i="2"/>
  <c r="D30" i="2"/>
  <c r="B24" i="2"/>
  <c r="B18" i="2"/>
  <c r="B19" i="2"/>
  <c r="B28" i="2"/>
  <c r="B12" i="1"/>
  <c r="B27" i="1"/>
  <c r="L27" i="1"/>
  <c r="L12" i="1"/>
  <c r="L19" i="1"/>
  <c r="L13" i="1"/>
  <c r="A3" i="2"/>
  <c r="B4" i="9"/>
  <c r="B3" i="9"/>
  <c r="B5" i="9"/>
  <c r="H13" i="1"/>
  <c r="X13" i="1"/>
  <c r="V13" i="1"/>
  <c r="D7" i="1"/>
  <c r="B269" i="11"/>
  <c r="D19" i="1"/>
  <c r="D26" i="1"/>
  <c r="N19" i="1"/>
  <c r="H19" i="1"/>
  <c r="R19" i="1"/>
  <c r="B36" i="2"/>
  <c r="N7" i="1"/>
  <c r="B372" i="11"/>
  <c r="A1" i="2"/>
  <c r="D36" i="2"/>
  <c r="F36" i="2"/>
  <c r="H36" i="2"/>
  <c r="B4" i="17"/>
  <c r="B6" i="17"/>
  <c r="A27" i="17"/>
  <c r="B28" i="17"/>
  <c r="N8" i="1"/>
  <c r="A16" i="17"/>
  <c r="B17" i="17"/>
  <c r="D8" i="2"/>
  <c r="J19" i="1"/>
  <c r="T19" i="1"/>
  <c r="F19" i="1"/>
  <c r="X19" i="1"/>
  <c r="V19" i="1"/>
  <c r="A48" i="2"/>
  <c r="B406" i="16"/>
  <c r="B405" i="16"/>
  <c r="B337" i="16"/>
  <c r="B336" i="16"/>
  <c r="B304" i="16"/>
  <c r="B303" i="16"/>
  <c r="B236" i="16"/>
  <c r="B235" i="16"/>
  <c r="B100" i="16"/>
  <c r="B99" i="16"/>
  <c r="B66" i="16"/>
  <c r="B65" i="16"/>
  <c r="F8" i="2"/>
  <c r="D4" i="9"/>
  <c r="H8" i="2"/>
  <c r="E4" i="9"/>
  <c r="B406" i="11"/>
  <c r="B405" i="11"/>
  <c r="B337" i="11"/>
  <c r="B336" i="11"/>
  <c r="B304" i="11"/>
  <c r="B303" i="11"/>
  <c r="B236" i="11"/>
  <c r="B235" i="11"/>
  <c r="B133" i="11"/>
  <c r="B100" i="11"/>
  <c r="B99" i="11"/>
  <c r="B66" i="11"/>
  <c r="B65" i="11"/>
  <c r="D67" i="10"/>
  <c r="E67" i="10"/>
  <c r="B67" i="10"/>
  <c r="E46" i="10"/>
  <c r="D46" i="10"/>
  <c r="B46" i="10"/>
  <c r="T77" i="10"/>
  <c r="T76" i="10"/>
  <c r="T75" i="10"/>
  <c r="T74" i="10"/>
  <c r="T73" i="10"/>
  <c r="T72" i="10"/>
  <c r="T71" i="10"/>
  <c r="T70" i="10"/>
  <c r="N77" i="10"/>
  <c r="N78" i="10"/>
  <c r="N79" i="10"/>
  <c r="N80" i="10"/>
  <c r="N81" i="10"/>
  <c r="N82" i="10"/>
  <c r="N83" i="10"/>
  <c r="N84" i="10"/>
  <c r="B77" i="10"/>
  <c r="B78" i="10"/>
  <c r="B79" i="10"/>
  <c r="B80" i="10"/>
  <c r="B81" i="10"/>
  <c r="B82" i="10"/>
  <c r="B83" i="10"/>
  <c r="B84" i="10"/>
  <c r="T56" i="10"/>
  <c r="T57" i="10"/>
  <c r="T58" i="10"/>
  <c r="T59" i="10"/>
  <c r="T60" i="10"/>
  <c r="T61" i="10"/>
  <c r="T62" i="10"/>
  <c r="T63" i="10"/>
  <c r="N56" i="10"/>
  <c r="N55" i="10"/>
  <c r="N54" i="10"/>
  <c r="N53" i="10"/>
  <c r="N52" i="10"/>
  <c r="N51" i="10"/>
  <c r="N50" i="10"/>
  <c r="N49" i="10"/>
  <c r="B56" i="10"/>
  <c r="B57" i="10"/>
  <c r="B58" i="10"/>
  <c r="B59" i="10"/>
  <c r="B60" i="10"/>
  <c r="B61" i="10"/>
  <c r="B62" i="10"/>
  <c r="B63" i="10"/>
  <c r="B35" i="10"/>
  <c r="B34" i="10"/>
  <c r="B33" i="10"/>
  <c r="B32" i="10"/>
  <c r="B31" i="10"/>
  <c r="B30" i="10"/>
  <c r="B29" i="10"/>
  <c r="B28" i="10"/>
  <c r="N14" i="10"/>
  <c r="N15" i="10"/>
  <c r="N16" i="10"/>
  <c r="N17" i="10"/>
  <c r="N18" i="10"/>
  <c r="N19" i="10"/>
  <c r="N20" i="10"/>
  <c r="N21" i="10"/>
  <c r="T14" i="10"/>
  <c r="T15" i="10"/>
  <c r="T16" i="10"/>
  <c r="T17" i="10"/>
  <c r="T18" i="10"/>
  <c r="T19" i="10"/>
  <c r="T20" i="10"/>
  <c r="T21" i="10"/>
  <c r="T35" i="10"/>
  <c r="T36" i="10"/>
  <c r="T37" i="10"/>
  <c r="T38" i="10"/>
  <c r="T39" i="10"/>
  <c r="T40" i="10"/>
  <c r="T41" i="10"/>
  <c r="T42" i="10"/>
  <c r="N35" i="10"/>
  <c r="N36" i="10"/>
  <c r="N37" i="10"/>
  <c r="N38" i="10"/>
  <c r="N39" i="10"/>
  <c r="N40" i="10"/>
  <c r="N41" i="10"/>
  <c r="N42" i="10"/>
  <c r="E25" i="10"/>
  <c r="D25" i="10"/>
  <c r="B25" i="10"/>
  <c r="B14" i="10"/>
  <c r="B13" i="10"/>
  <c r="B12" i="10"/>
  <c r="B11" i="10"/>
  <c r="B10" i="10"/>
  <c r="B9" i="10"/>
  <c r="B8" i="10"/>
  <c r="B7" i="10"/>
  <c r="E4" i="10"/>
  <c r="D4" i="10"/>
  <c r="B4" i="10"/>
  <c r="D29" i="1"/>
  <c r="L8" i="1"/>
  <c r="L9" i="1"/>
  <c r="B4" i="3"/>
  <c r="E4" i="7"/>
  <c r="A36" i="7"/>
  <c r="R8" i="2"/>
  <c r="E4" i="8"/>
  <c r="D3" i="9"/>
  <c r="D13" i="9"/>
  <c r="B13" i="9"/>
  <c r="E3" i="9"/>
  <c r="D33" i="9"/>
  <c r="F3" i="9"/>
  <c r="D23" i="9"/>
  <c r="K13" i="9"/>
  <c r="P8" i="2"/>
  <c r="P9" i="2"/>
  <c r="D3" i="8"/>
  <c r="D13" i="8"/>
  <c r="L8" i="2"/>
  <c r="B4" i="8"/>
  <c r="E3" i="8"/>
  <c r="D33" i="8"/>
  <c r="F3" i="8"/>
  <c r="D23" i="8"/>
  <c r="B3" i="8"/>
  <c r="K13" i="8"/>
  <c r="L13" i="8"/>
  <c r="B2" i="8"/>
  <c r="C2" i="8"/>
  <c r="D2" i="8"/>
  <c r="E2" i="8"/>
  <c r="F2" i="8"/>
  <c r="B2" i="9"/>
  <c r="C2" i="9"/>
  <c r="D2" i="9"/>
  <c r="E2" i="9"/>
  <c r="F2" i="9"/>
  <c r="B2" i="7"/>
  <c r="C2" i="7"/>
  <c r="D2" i="7"/>
  <c r="E2" i="7"/>
  <c r="F2" i="7"/>
  <c r="G2" i="7"/>
  <c r="B3" i="7"/>
  <c r="K13" i="7"/>
  <c r="D3" i="7"/>
  <c r="D13" i="7"/>
  <c r="E3" i="7"/>
  <c r="D33" i="7"/>
  <c r="F33" i="7"/>
  <c r="F3" i="7"/>
  <c r="D23" i="7"/>
  <c r="G3" i="7"/>
  <c r="K33" i="7"/>
  <c r="M33" i="7"/>
  <c r="B4" i="7"/>
  <c r="H16" i="7"/>
  <c r="D4" i="7"/>
  <c r="A16" i="7"/>
  <c r="G4" i="7"/>
  <c r="H36" i="7"/>
  <c r="F28" i="1"/>
  <c r="J28" i="1"/>
  <c r="X8" i="1"/>
  <c r="G4" i="3"/>
  <c r="G3" i="3"/>
  <c r="K33" i="3"/>
  <c r="F3" i="3"/>
  <c r="D23" i="3"/>
  <c r="T28" i="1"/>
  <c r="R8" i="1"/>
  <c r="R9" i="1"/>
  <c r="E3" i="3"/>
  <c r="D33" i="3"/>
  <c r="P8" i="1"/>
  <c r="P9" i="1"/>
  <c r="D3" i="3"/>
  <c r="D13" i="3"/>
  <c r="B13" i="3"/>
  <c r="P28" i="1"/>
  <c r="B3" i="3"/>
  <c r="B2" i="3"/>
  <c r="C2" i="3"/>
  <c r="D2" i="3"/>
  <c r="E2" i="3"/>
  <c r="F2" i="3"/>
  <c r="G2" i="3"/>
  <c r="V9" i="1"/>
  <c r="H9" i="1"/>
  <c r="B9" i="1"/>
  <c r="F9" i="1"/>
  <c r="B201" i="16"/>
  <c r="B371" i="16"/>
  <c r="B270" i="16"/>
  <c r="B134" i="16"/>
  <c r="C3" i="8"/>
  <c r="K23" i="8"/>
  <c r="L23" i="8"/>
  <c r="C67" i="10"/>
  <c r="B202" i="16"/>
  <c r="B372" i="16"/>
  <c r="B168" i="16"/>
  <c r="B32" i="16"/>
  <c r="B269" i="16"/>
  <c r="C3" i="3"/>
  <c r="K23" i="3"/>
  <c r="B134" i="11"/>
  <c r="N29" i="1"/>
  <c r="C3" i="9"/>
  <c r="K23" i="9"/>
  <c r="B167" i="16"/>
  <c r="B31" i="16"/>
  <c r="C46" i="10"/>
  <c r="B133" i="16"/>
  <c r="T8" i="1"/>
  <c r="F4" i="3"/>
  <c r="F4" i="7"/>
  <c r="A26" i="7"/>
  <c r="J8" i="2"/>
  <c r="F4" i="9"/>
  <c r="J9" i="1"/>
  <c r="T8" i="2"/>
  <c r="F4" i="8"/>
  <c r="J20" i="2"/>
  <c r="N76" i="10"/>
  <c r="N75" i="10"/>
  <c r="N74" i="10"/>
  <c r="N73" i="10"/>
  <c r="N72" i="10"/>
  <c r="N71" i="10"/>
  <c r="N70" i="10"/>
  <c r="B23" i="9"/>
  <c r="C23" i="9"/>
  <c r="E23" i="9"/>
  <c r="F23" i="9"/>
  <c r="F23" i="8"/>
  <c r="E23" i="8"/>
  <c r="B23" i="8"/>
  <c r="M13" i="9"/>
  <c r="L13" i="9"/>
  <c r="I13" i="9"/>
  <c r="J13" i="9"/>
  <c r="F5" i="8"/>
  <c r="M23" i="8"/>
  <c r="F5" i="9"/>
  <c r="J23" i="8"/>
  <c r="F13" i="9"/>
  <c r="I23" i="8"/>
  <c r="F33" i="8"/>
  <c r="C33" i="8"/>
  <c r="E33" i="8"/>
  <c r="B33" i="8"/>
  <c r="B33" i="9"/>
  <c r="C33" i="9"/>
  <c r="E33" i="9"/>
  <c r="F33" i="9"/>
  <c r="E13" i="8"/>
  <c r="C13" i="8"/>
  <c r="B13" i="8"/>
  <c r="F13" i="8"/>
  <c r="I23" i="9"/>
  <c r="L23" i="9"/>
  <c r="J23" i="9"/>
  <c r="M23" i="9"/>
  <c r="E13" i="9"/>
  <c r="C13" i="9"/>
  <c r="J13" i="8"/>
  <c r="E5" i="8"/>
  <c r="C23" i="8"/>
  <c r="I13" i="8"/>
  <c r="M13" i="8"/>
  <c r="E5" i="9"/>
  <c r="B5" i="8"/>
  <c r="D5" i="9"/>
  <c r="B371" i="11"/>
  <c r="B270" i="11"/>
  <c r="B202" i="11"/>
  <c r="X26" i="1"/>
  <c r="X30" i="1"/>
  <c r="B167" i="11"/>
  <c r="C4" i="10"/>
  <c r="B201" i="11"/>
  <c r="B31" i="11"/>
  <c r="D4" i="3"/>
  <c r="D5" i="3"/>
  <c r="N28" i="1"/>
  <c r="F9" i="2"/>
  <c r="D28" i="1"/>
  <c r="D30" i="1"/>
  <c r="C6" i="7"/>
  <c r="B26" i="1"/>
  <c r="B30" i="1"/>
  <c r="B6" i="7"/>
  <c r="K16" i="7"/>
  <c r="E4" i="3"/>
  <c r="F5" i="3"/>
  <c r="C3" i="7"/>
  <c r="K23" i="7"/>
  <c r="J23" i="7"/>
  <c r="L26" i="1"/>
  <c r="N26" i="1"/>
  <c r="N30" i="1"/>
  <c r="X9" i="1"/>
  <c r="P26" i="1"/>
  <c r="P30" i="1"/>
  <c r="R26" i="1"/>
  <c r="R30" i="1"/>
  <c r="R31" i="1"/>
  <c r="F23" i="3"/>
  <c r="B23" i="3"/>
  <c r="C23" i="3"/>
  <c r="T55" i="10"/>
  <c r="T54" i="10"/>
  <c r="T53" i="10"/>
  <c r="T52" i="10"/>
  <c r="T51" i="10"/>
  <c r="T50" i="10"/>
  <c r="T49" i="10"/>
  <c r="R9" i="2"/>
  <c r="H35" i="7"/>
  <c r="H35" i="3"/>
  <c r="H38" i="7"/>
  <c r="H38" i="3"/>
  <c r="H34" i="7"/>
  <c r="H34" i="3"/>
  <c r="E33" i="7"/>
  <c r="B76" i="10"/>
  <c r="B75" i="10"/>
  <c r="B74" i="10"/>
  <c r="B73" i="10"/>
  <c r="B72" i="10"/>
  <c r="B71" i="10"/>
  <c r="B70" i="10"/>
  <c r="B5" i="3"/>
  <c r="C33" i="7"/>
  <c r="J33" i="7"/>
  <c r="N13" i="10"/>
  <c r="N12" i="10"/>
  <c r="N11" i="10"/>
  <c r="N10" i="10"/>
  <c r="N9" i="10"/>
  <c r="N8" i="10"/>
  <c r="N7" i="10"/>
  <c r="B15" i="10"/>
  <c r="B16" i="10"/>
  <c r="B17" i="10"/>
  <c r="B18" i="10"/>
  <c r="B19" i="10"/>
  <c r="B20" i="10"/>
  <c r="B21" i="10"/>
  <c r="N57" i="10"/>
  <c r="N58" i="10"/>
  <c r="N59" i="10"/>
  <c r="N60" i="10"/>
  <c r="N61" i="10"/>
  <c r="N62" i="10"/>
  <c r="N63" i="10"/>
  <c r="L9" i="2"/>
  <c r="K13" i="3"/>
  <c r="I13" i="3"/>
  <c r="D4" i="8"/>
  <c r="D5" i="8"/>
  <c r="N34" i="10"/>
  <c r="N33" i="10"/>
  <c r="N32" i="10"/>
  <c r="N31" i="10"/>
  <c r="N30" i="10"/>
  <c r="N29" i="10"/>
  <c r="N28" i="10"/>
  <c r="D5" i="7"/>
  <c r="E33" i="3"/>
  <c r="F33" i="3"/>
  <c r="B33" i="3"/>
  <c r="E5" i="3"/>
  <c r="L33" i="7"/>
  <c r="I33" i="7"/>
  <c r="D20" i="2"/>
  <c r="H37" i="7"/>
  <c r="H37" i="3"/>
  <c r="G5" i="7"/>
  <c r="B9" i="2"/>
  <c r="H36" i="3"/>
  <c r="F13" i="7"/>
  <c r="B13" i="7"/>
  <c r="C13" i="7"/>
  <c r="E13" i="7"/>
  <c r="M33" i="3"/>
  <c r="I33" i="3"/>
  <c r="L33" i="3"/>
  <c r="J33" i="3"/>
  <c r="A18" i="7"/>
  <c r="A14" i="7"/>
  <c r="A16" i="9"/>
  <c r="A15" i="7"/>
  <c r="A16" i="3"/>
  <c r="A17" i="7"/>
  <c r="A16" i="8"/>
  <c r="H16" i="8"/>
  <c r="H16" i="3"/>
  <c r="H14" i="7"/>
  <c r="H16" i="9"/>
  <c r="H17" i="7"/>
  <c r="H15" i="7"/>
  <c r="H18" i="7"/>
  <c r="J23" i="3"/>
  <c r="M23" i="3"/>
  <c r="I23" i="3"/>
  <c r="L23" i="3"/>
  <c r="M13" i="7"/>
  <c r="J13" i="7"/>
  <c r="I13" i="7"/>
  <c r="L13" i="7"/>
  <c r="F23" i="7"/>
  <c r="C23" i="7"/>
  <c r="B23" i="7"/>
  <c r="E23" i="7"/>
  <c r="B36" i="10"/>
  <c r="B37" i="10"/>
  <c r="B38" i="10"/>
  <c r="B39" i="10"/>
  <c r="B40" i="10"/>
  <c r="B41" i="10"/>
  <c r="B42" i="10"/>
  <c r="C33" i="3"/>
  <c r="C25" i="10"/>
  <c r="E13" i="3"/>
  <c r="H9" i="2"/>
  <c r="P20" i="2"/>
  <c r="B55" i="10"/>
  <c r="B54" i="10"/>
  <c r="B53" i="10"/>
  <c r="B52" i="10"/>
  <c r="B51" i="10"/>
  <c r="B50" i="10"/>
  <c r="B49" i="10"/>
  <c r="B33" i="7"/>
  <c r="B5" i="7"/>
  <c r="B168" i="11"/>
  <c r="F13" i="3"/>
  <c r="T34" i="10"/>
  <c r="T33" i="10"/>
  <c r="T32" i="10"/>
  <c r="T31" i="10"/>
  <c r="T30" i="10"/>
  <c r="T29" i="10"/>
  <c r="T28" i="10"/>
  <c r="G5" i="3"/>
  <c r="C13" i="3"/>
  <c r="B32" i="11"/>
  <c r="E23" i="3"/>
  <c r="T13" i="10"/>
  <c r="T12" i="10"/>
  <c r="T11" i="10"/>
  <c r="T10" i="10"/>
  <c r="T9" i="10"/>
  <c r="T8" i="10"/>
  <c r="T7" i="10"/>
  <c r="B20" i="2"/>
  <c r="H20" i="2"/>
  <c r="J9" i="2"/>
  <c r="T9" i="1"/>
  <c r="A27" i="7"/>
  <c r="A25" i="7"/>
  <c r="A24" i="7"/>
  <c r="A28" i="7"/>
  <c r="A26" i="8"/>
  <c r="A26" i="3"/>
  <c r="A26" i="9"/>
  <c r="T9" i="2"/>
  <c r="F5" i="7"/>
  <c r="A36" i="3"/>
  <c r="A36" i="8"/>
  <c r="A35" i="7"/>
  <c r="A37" i="7"/>
  <c r="A34" i="7"/>
  <c r="A38" i="7"/>
  <c r="A36" i="9"/>
  <c r="E5" i="7"/>
  <c r="T78" i="10"/>
  <c r="T79" i="10"/>
  <c r="T80" i="10"/>
  <c r="T81" i="10"/>
  <c r="T82" i="10"/>
  <c r="T83" i="10"/>
  <c r="T84" i="10"/>
  <c r="N8" i="2"/>
  <c r="N9" i="1"/>
  <c r="C4" i="3"/>
  <c r="C5" i="3"/>
  <c r="D8" i="1"/>
  <c r="C4" i="7"/>
  <c r="H26" i="7"/>
  <c r="C4" i="9"/>
  <c r="C5" i="9"/>
  <c r="D9" i="2"/>
  <c r="F26" i="1"/>
  <c r="F30" i="1"/>
  <c r="F31" i="1"/>
  <c r="R20" i="2"/>
  <c r="N20" i="2"/>
  <c r="T20" i="2"/>
  <c r="L20" i="2"/>
  <c r="H26" i="1"/>
  <c r="H30" i="1"/>
  <c r="J26" i="1"/>
  <c r="J30" i="1"/>
  <c r="J32" i="1"/>
  <c r="L14" i="2"/>
  <c r="V26" i="1"/>
  <c r="V30" i="1"/>
  <c r="T26" i="1"/>
  <c r="T30" i="1"/>
  <c r="L30" i="1"/>
  <c r="L37" i="1"/>
  <c r="L38" i="1"/>
  <c r="L40" i="1"/>
  <c r="J37" i="1"/>
  <c r="J38" i="1"/>
  <c r="J40" i="1"/>
  <c r="J44" i="1"/>
  <c r="L16" i="7"/>
  <c r="B32" i="1"/>
  <c r="B3" i="10"/>
  <c r="J13" i="3"/>
  <c r="B37" i="1"/>
  <c r="B38" i="1"/>
  <c r="B40" i="1"/>
  <c r="B41" i="1"/>
  <c r="B31" i="1"/>
  <c r="M16" i="7"/>
  <c r="K14" i="7"/>
  <c r="M23" i="7"/>
  <c r="I23" i="7"/>
  <c r="J15" i="7"/>
  <c r="L23" i="7"/>
  <c r="L26" i="7"/>
  <c r="R32" i="1"/>
  <c r="D27" i="2"/>
  <c r="D31" i="2"/>
  <c r="D33" i="2"/>
  <c r="X31" i="1"/>
  <c r="I14" i="7"/>
  <c r="J14" i="7"/>
  <c r="M13" i="3"/>
  <c r="M14" i="7"/>
  <c r="X37" i="1"/>
  <c r="X38" i="1"/>
  <c r="X40" i="1"/>
  <c r="X44" i="1"/>
  <c r="I17" i="7"/>
  <c r="G6" i="3"/>
  <c r="L35" i="3"/>
  <c r="L13" i="3"/>
  <c r="M15" i="7"/>
  <c r="L14" i="7"/>
  <c r="M18" i="7"/>
  <c r="I16" i="7"/>
  <c r="J16" i="7"/>
  <c r="H27" i="2"/>
  <c r="H31" i="2"/>
  <c r="E6" i="9"/>
  <c r="K15" i="7"/>
  <c r="A17" i="9"/>
  <c r="A17" i="8"/>
  <c r="A17" i="3"/>
  <c r="H17" i="8"/>
  <c r="H17" i="3"/>
  <c r="H17" i="9"/>
  <c r="J17" i="7"/>
  <c r="L15" i="7"/>
  <c r="I15" i="7"/>
  <c r="H14" i="8"/>
  <c r="H14" i="3"/>
  <c r="H14" i="9"/>
  <c r="A14" i="9"/>
  <c r="A14" i="8"/>
  <c r="A14" i="3"/>
  <c r="L18" i="7"/>
  <c r="K17" i="7"/>
  <c r="I18" i="7"/>
  <c r="A18" i="9"/>
  <c r="A18" i="3"/>
  <c r="A18" i="8"/>
  <c r="M17" i="7"/>
  <c r="K18" i="7"/>
  <c r="H15" i="3"/>
  <c r="H15" i="8"/>
  <c r="H15" i="9"/>
  <c r="A15" i="8"/>
  <c r="A15" i="3"/>
  <c r="A15" i="9"/>
  <c r="L17" i="7"/>
  <c r="H18" i="9"/>
  <c r="H18" i="3"/>
  <c r="H18" i="8"/>
  <c r="J18" i="7"/>
  <c r="D32" i="1"/>
  <c r="C3" i="10"/>
  <c r="D37" i="1"/>
  <c r="D38" i="1"/>
  <c r="D40" i="1"/>
  <c r="D43" i="1"/>
  <c r="E6" i="3"/>
  <c r="D36" i="3"/>
  <c r="E24" i="10"/>
  <c r="R37" i="1"/>
  <c r="R38" i="1"/>
  <c r="R40" i="1"/>
  <c r="R43" i="1"/>
  <c r="A28" i="9"/>
  <c r="A28" i="8"/>
  <c r="A28" i="3"/>
  <c r="A25" i="9"/>
  <c r="A25" i="8"/>
  <c r="A25" i="3"/>
  <c r="A24" i="3"/>
  <c r="A24" i="9"/>
  <c r="A24" i="8"/>
  <c r="A27" i="8"/>
  <c r="A27" i="3"/>
  <c r="A27" i="9"/>
  <c r="A37" i="9"/>
  <c r="A37" i="8"/>
  <c r="A37" i="3"/>
  <c r="A38" i="8"/>
  <c r="A38" i="3"/>
  <c r="A38" i="9"/>
  <c r="A34" i="8"/>
  <c r="A34" i="3"/>
  <c r="A34" i="9"/>
  <c r="A35" i="9"/>
  <c r="A35" i="3"/>
  <c r="A35" i="8"/>
  <c r="N9" i="2"/>
  <c r="C4" i="8"/>
  <c r="C5" i="8"/>
  <c r="H56" i="10"/>
  <c r="H57" i="10"/>
  <c r="H58" i="10"/>
  <c r="H59" i="10"/>
  <c r="H60" i="10"/>
  <c r="H61" i="10"/>
  <c r="H62" i="10"/>
  <c r="H63" i="10"/>
  <c r="H35" i="10"/>
  <c r="H36" i="10"/>
  <c r="H37" i="10"/>
  <c r="H38" i="10"/>
  <c r="H39" i="10"/>
  <c r="H40" i="10"/>
  <c r="H41" i="10"/>
  <c r="H42" i="10"/>
  <c r="C5" i="7"/>
  <c r="D9" i="1"/>
  <c r="D31" i="1"/>
  <c r="H77" i="10"/>
  <c r="H78" i="10"/>
  <c r="H79" i="10"/>
  <c r="H80" i="10"/>
  <c r="H81" i="10"/>
  <c r="H82" i="10"/>
  <c r="H83" i="10"/>
  <c r="H84" i="10"/>
  <c r="H14" i="10"/>
  <c r="H26" i="3"/>
  <c r="H27" i="7"/>
  <c r="J27" i="7"/>
  <c r="H26" i="8"/>
  <c r="H25" i="7"/>
  <c r="M25" i="7"/>
  <c r="H24" i="7"/>
  <c r="H26" i="9"/>
  <c r="H28" i="7"/>
  <c r="I28" i="7"/>
  <c r="C6" i="3"/>
  <c r="N32" i="1"/>
  <c r="N31" i="1"/>
  <c r="C24" i="10"/>
  <c r="N37" i="1"/>
  <c r="N38" i="1"/>
  <c r="N40" i="1"/>
  <c r="N27" i="2"/>
  <c r="N31" i="2"/>
  <c r="J31" i="1"/>
  <c r="T27" i="2"/>
  <c r="T31" i="2"/>
  <c r="T32" i="2"/>
  <c r="X32" i="1"/>
  <c r="F6" i="7"/>
  <c r="B26" i="7"/>
  <c r="J26" i="7"/>
  <c r="M26" i="7"/>
  <c r="K26" i="7"/>
  <c r="I26" i="7"/>
  <c r="E6" i="7"/>
  <c r="H37" i="1"/>
  <c r="H38" i="1"/>
  <c r="H40" i="1"/>
  <c r="H32" i="1"/>
  <c r="H31" i="1"/>
  <c r="E3" i="10"/>
  <c r="F32" i="1"/>
  <c r="D6" i="7"/>
  <c r="D3" i="10"/>
  <c r="F37" i="1"/>
  <c r="F38" i="1"/>
  <c r="F40" i="1"/>
  <c r="F44" i="1"/>
  <c r="R27" i="2"/>
  <c r="R31" i="2"/>
  <c r="V32" i="1"/>
  <c r="G6" i="7"/>
  <c r="V37" i="1"/>
  <c r="V38" i="1"/>
  <c r="V40" i="1"/>
  <c r="V41" i="1"/>
  <c r="V31" i="1"/>
  <c r="T32" i="1"/>
  <c r="F6" i="3"/>
  <c r="T31" i="1"/>
  <c r="T37" i="1"/>
  <c r="T38" i="1"/>
  <c r="T40" i="1"/>
  <c r="P27" i="2"/>
  <c r="P31" i="2"/>
  <c r="J27" i="2"/>
  <c r="J31" i="2"/>
  <c r="P32" i="1"/>
  <c r="P31" i="1"/>
  <c r="D24" i="10"/>
  <c r="D6" i="3"/>
  <c r="P37" i="1"/>
  <c r="P38" i="1"/>
  <c r="P40" i="1"/>
  <c r="B27" i="2"/>
  <c r="B31" i="2"/>
  <c r="F27" i="2"/>
  <c r="F31" i="2"/>
  <c r="L27" i="2"/>
  <c r="L31" i="2"/>
  <c r="L41" i="1"/>
  <c r="L44" i="1"/>
  <c r="L43" i="1"/>
  <c r="B24" i="10"/>
  <c r="E30" i="10"/>
  <c r="B6" i="3"/>
  <c r="K16" i="3"/>
  <c r="L31" i="1"/>
  <c r="L32" i="1"/>
  <c r="M16" i="3"/>
  <c r="C21" i="10"/>
  <c r="D16" i="10"/>
  <c r="J43" i="1"/>
  <c r="J41" i="1"/>
  <c r="I14" i="3"/>
  <c r="D41" i="1"/>
  <c r="C13" i="10"/>
  <c r="I16" i="3"/>
  <c r="B44" i="1"/>
  <c r="B43" i="1"/>
  <c r="C6" i="9"/>
  <c r="J26" i="9"/>
  <c r="K37" i="3"/>
  <c r="K35" i="3"/>
  <c r="X43" i="1"/>
  <c r="E15" i="10"/>
  <c r="E25" i="7"/>
  <c r="J38" i="3"/>
  <c r="M35" i="3"/>
  <c r="C45" i="10"/>
  <c r="K36" i="3"/>
  <c r="I35" i="3"/>
  <c r="L38" i="3"/>
  <c r="D38" i="2"/>
  <c r="D39" i="2"/>
  <c r="D41" i="2"/>
  <c r="J35" i="3"/>
  <c r="M37" i="3"/>
  <c r="D32" i="2"/>
  <c r="R41" i="1"/>
  <c r="E33" i="10"/>
  <c r="X41" i="1"/>
  <c r="T33" i="2"/>
  <c r="J37" i="3"/>
  <c r="L36" i="3"/>
  <c r="I36" i="3"/>
  <c r="F36" i="3"/>
  <c r="I34" i="3"/>
  <c r="M34" i="3"/>
  <c r="L34" i="3"/>
  <c r="K34" i="3"/>
  <c r="J34" i="3"/>
  <c r="I37" i="3"/>
  <c r="M38" i="3"/>
  <c r="I38" i="3"/>
  <c r="M36" i="3"/>
  <c r="C36" i="3"/>
  <c r="H33" i="2"/>
  <c r="J36" i="3"/>
  <c r="K38" i="3"/>
  <c r="L37" i="3"/>
  <c r="F37" i="3"/>
  <c r="E35" i="3"/>
  <c r="E37" i="3"/>
  <c r="T38" i="2"/>
  <c r="T39" i="2"/>
  <c r="T41" i="2"/>
  <c r="T45" i="2"/>
  <c r="D37" i="3"/>
  <c r="E38" i="3"/>
  <c r="L15" i="3"/>
  <c r="D35" i="3"/>
  <c r="B34" i="3"/>
  <c r="R44" i="1"/>
  <c r="B37" i="3"/>
  <c r="Q29" i="10"/>
  <c r="R32" i="10"/>
  <c r="K14" i="3"/>
  <c r="E36" i="3"/>
  <c r="B36" i="3"/>
  <c r="Q31" i="10"/>
  <c r="D38" i="3"/>
  <c r="C27" i="7"/>
  <c r="H32" i="2"/>
  <c r="B27" i="7"/>
  <c r="D8" i="10"/>
  <c r="C37" i="3"/>
  <c r="C35" i="3"/>
  <c r="H38" i="2"/>
  <c r="H39" i="2"/>
  <c r="H41" i="2"/>
  <c r="H45" i="2"/>
  <c r="D26" i="7"/>
  <c r="E45" i="10"/>
  <c r="D24" i="7"/>
  <c r="B38" i="3"/>
  <c r="C12" i="10"/>
  <c r="C38" i="3"/>
  <c r="C28" i="7"/>
  <c r="R35" i="10"/>
  <c r="C16" i="10"/>
  <c r="C17" i="10"/>
  <c r="H34" i="10"/>
  <c r="H33" i="10"/>
  <c r="H32" i="10"/>
  <c r="H31" i="10"/>
  <c r="H30" i="10"/>
  <c r="H29" i="10"/>
  <c r="H28" i="10"/>
  <c r="J28" i="10"/>
  <c r="C15" i="10"/>
  <c r="C19" i="10"/>
  <c r="C11" i="10"/>
  <c r="L18" i="10"/>
  <c r="C18" i="10"/>
  <c r="C14" i="10"/>
  <c r="F35" i="3"/>
  <c r="B35" i="3"/>
  <c r="R29" i="10"/>
  <c r="C7" i="10"/>
  <c r="C10" i="10"/>
  <c r="C9" i="10"/>
  <c r="R34" i="10"/>
  <c r="G14" i="10"/>
  <c r="C8" i="10"/>
  <c r="D21" i="10"/>
  <c r="R28" i="10"/>
  <c r="C20" i="10"/>
  <c r="F34" i="3"/>
  <c r="E28" i="7"/>
  <c r="F27" i="7"/>
  <c r="E27" i="7"/>
  <c r="E24" i="7"/>
  <c r="B24" i="7"/>
  <c r="L16" i="10"/>
  <c r="D10" i="10"/>
  <c r="L15" i="10"/>
  <c r="L8" i="10"/>
  <c r="D44" i="1"/>
  <c r="F24" i="7"/>
  <c r="C25" i="7"/>
  <c r="C24" i="7"/>
  <c r="L17" i="10"/>
  <c r="B28" i="7"/>
  <c r="B25" i="7"/>
  <c r="F25" i="7"/>
  <c r="F43" i="1"/>
  <c r="L20" i="10"/>
  <c r="D19" i="10"/>
  <c r="D9" i="10"/>
  <c r="F6" i="8"/>
  <c r="D26" i="8"/>
  <c r="F38" i="3"/>
  <c r="F28" i="7"/>
  <c r="F26" i="7"/>
  <c r="L11" i="10"/>
  <c r="L19" i="10"/>
  <c r="E26" i="7"/>
  <c r="D25" i="7"/>
  <c r="C26" i="7"/>
  <c r="D17" i="10"/>
  <c r="E39" i="10"/>
  <c r="D28" i="7"/>
  <c r="D27" i="7"/>
  <c r="D11" i="10"/>
  <c r="D20" i="10"/>
  <c r="E34" i="3"/>
  <c r="C34" i="3"/>
  <c r="D34" i="3"/>
  <c r="H55" i="10"/>
  <c r="H54" i="10"/>
  <c r="H53" i="10"/>
  <c r="H52" i="10"/>
  <c r="H51" i="10"/>
  <c r="H50" i="10"/>
  <c r="H49" i="10"/>
  <c r="H76" i="10"/>
  <c r="H75" i="10"/>
  <c r="H74" i="10"/>
  <c r="H73" i="10"/>
  <c r="H72" i="10"/>
  <c r="H71" i="10"/>
  <c r="H70" i="10"/>
  <c r="L27" i="7"/>
  <c r="H13" i="10"/>
  <c r="I13" i="10"/>
  <c r="H15" i="10"/>
  <c r="J15" i="10"/>
  <c r="M27" i="7"/>
  <c r="M28" i="7"/>
  <c r="J39" i="10"/>
  <c r="J36" i="10"/>
  <c r="K27" i="7"/>
  <c r="J28" i="7"/>
  <c r="K28" i="7"/>
  <c r="L28" i="7"/>
  <c r="J37" i="10"/>
  <c r="H24" i="8"/>
  <c r="H24" i="3"/>
  <c r="K24" i="3"/>
  <c r="H24" i="9"/>
  <c r="H25" i="8"/>
  <c r="H25" i="3"/>
  <c r="L25" i="3"/>
  <c r="H25" i="9"/>
  <c r="M24" i="7"/>
  <c r="I27" i="7"/>
  <c r="I24" i="7"/>
  <c r="L24" i="7"/>
  <c r="I25" i="7"/>
  <c r="J34" i="10"/>
  <c r="H28" i="8"/>
  <c r="H28" i="3"/>
  <c r="L28" i="3"/>
  <c r="H28" i="9"/>
  <c r="J25" i="7"/>
  <c r="L25" i="7"/>
  <c r="J24" i="7"/>
  <c r="K25" i="7"/>
  <c r="K24" i="7"/>
  <c r="H27" i="3"/>
  <c r="J27" i="3"/>
  <c r="H27" i="9"/>
  <c r="H27" i="8"/>
  <c r="C6" i="8"/>
  <c r="C66" i="10"/>
  <c r="N32" i="2"/>
  <c r="N33" i="2"/>
  <c r="N38" i="2"/>
  <c r="N39" i="2"/>
  <c r="N41" i="2"/>
  <c r="F41" i="1"/>
  <c r="G42" i="10"/>
  <c r="R41" i="10"/>
  <c r="R37" i="10"/>
  <c r="J38" i="10"/>
  <c r="J41" i="10"/>
  <c r="G35" i="10"/>
  <c r="C28" i="10"/>
  <c r="J42" i="10"/>
  <c r="R30" i="10"/>
  <c r="R39" i="10"/>
  <c r="R31" i="10"/>
  <c r="N43" i="1"/>
  <c r="N44" i="1"/>
  <c r="N41" i="1"/>
  <c r="C36" i="10"/>
  <c r="C34" i="10"/>
  <c r="J35" i="10"/>
  <c r="R38" i="10"/>
  <c r="R42" i="10"/>
  <c r="C35" i="10"/>
  <c r="G37" i="10"/>
  <c r="C30" i="10"/>
  <c r="E18" i="10"/>
  <c r="J40" i="10"/>
  <c r="R36" i="10"/>
  <c r="Q8" i="10"/>
  <c r="Q13" i="10"/>
  <c r="R40" i="10"/>
  <c r="R33" i="10"/>
  <c r="I26" i="3"/>
  <c r="M26" i="3"/>
  <c r="J26" i="3"/>
  <c r="K26" i="3"/>
  <c r="L26" i="3"/>
  <c r="Q21" i="10"/>
  <c r="E7" i="10"/>
  <c r="E12" i="10"/>
  <c r="E9" i="10"/>
  <c r="Q14" i="10"/>
  <c r="Q17" i="10"/>
  <c r="L14" i="10"/>
  <c r="Q18" i="10"/>
  <c r="E17" i="10"/>
  <c r="Q20" i="10"/>
  <c r="D13" i="10"/>
  <c r="H44" i="1"/>
  <c r="H41" i="1"/>
  <c r="H43" i="1"/>
  <c r="E20" i="10"/>
  <c r="Q12" i="10"/>
  <c r="Q16" i="10"/>
  <c r="Q11" i="10"/>
  <c r="B35" i="7"/>
  <c r="D34" i="7"/>
  <c r="B38" i="7"/>
  <c r="F36" i="7"/>
  <c r="F38" i="7"/>
  <c r="F34" i="7"/>
  <c r="D38" i="7"/>
  <c r="B37" i="7"/>
  <c r="E35" i="7"/>
  <c r="C38" i="7"/>
  <c r="C36" i="7"/>
  <c r="E34" i="7"/>
  <c r="C34" i="7"/>
  <c r="C35" i="7"/>
  <c r="E36" i="7"/>
  <c r="E38" i="7"/>
  <c r="F35" i="7"/>
  <c r="C37" i="7"/>
  <c r="D36" i="7"/>
  <c r="E37" i="7"/>
  <c r="F37" i="7"/>
  <c r="B34" i="7"/>
  <c r="D35" i="7"/>
  <c r="D37" i="7"/>
  <c r="B36" i="7"/>
  <c r="L12" i="10"/>
  <c r="D7" i="10"/>
  <c r="Q15" i="10"/>
  <c r="Q10" i="10"/>
  <c r="E19" i="10"/>
  <c r="E16" i="10"/>
  <c r="D12" i="10"/>
  <c r="D15" i="10"/>
  <c r="E14" i="10"/>
  <c r="D18" i="10"/>
  <c r="E8" i="10"/>
  <c r="Q19" i="10"/>
  <c r="E13" i="10"/>
  <c r="J14" i="10"/>
  <c r="R15" i="10"/>
  <c r="R12" i="10"/>
  <c r="R11" i="10"/>
  <c r="R18" i="10"/>
  <c r="R9" i="10"/>
  <c r="R20" i="10"/>
  <c r="R19" i="10"/>
  <c r="R16" i="10"/>
  <c r="R17" i="10"/>
  <c r="R7" i="10"/>
  <c r="R13" i="10"/>
  <c r="R10" i="10"/>
  <c r="R21" i="10"/>
  <c r="R14" i="10"/>
  <c r="R8" i="10"/>
  <c r="E10" i="10"/>
  <c r="D14" i="10"/>
  <c r="L7" i="10"/>
  <c r="L21" i="10"/>
  <c r="Q9" i="10"/>
  <c r="E21" i="10"/>
  <c r="Q7" i="10"/>
  <c r="E11" i="10"/>
  <c r="R32" i="2"/>
  <c r="E66" i="10"/>
  <c r="R38" i="2"/>
  <c r="R39" i="2"/>
  <c r="R41" i="2"/>
  <c r="R33" i="2"/>
  <c r="E6" i="8"/>
  <c r="E14" i="7"/>
  <c r="C18" i="7"/>
  <c r="B14" i="7"/>
  <c r="E16" i="7"/>
  <c r="D15" i="7"/>
  <c r="B16" i="7"/>
  <c r="B17" i="7"/>
  <c r="E15" i="7"/>
  <c r="C17" i="7"/>
  <c r="C15" i="7"/>
  <c r="D16" i="7"/>
  <c r="D17" i="7"/>
  <c r="F16" i="7"/>
  <c r="F15" i="7"/>
  <c r="F14" i="7"/>
  <c r="D14" i="7"/>
  <c r="F18" i="7"/>
  <c r="B18" i="7"/>
  <c r="B15" i="7"/>
  <c r="C16" i="7"/>
  <c r="C14" i="7"/>
  <c r="E17" i="7"/>
  <c r="E18" i="7"/>
  <c r="F17" i="7"/>
  <c r="D18" i="7"/>
  <c r="E37" i="9"/>
  <c r="B36" i="9"/>
  <c r="E34" i="9"/>
  <c r="D37" i="9"/>
  <c r="D35" i="9"/>
  <c r="D38" i="9"/>
  <c r="F35" i="9"/>
  <c r="F37" i="9"/>
  <c r="C37" i="9"/>
  <c r="E36" i="9"/>
  <c r="C36" i="9"/>
  <c r="C35" i="9"/>
  <c r="B35" i="9"/>
  <c r="F34" i="9"/>
  <c r="B38" i="9"/>
  <c r="B37" i="9"/>
  <c r="D34" i="9"/>
  <c r="E35" i="9"/>
  <c r="F36" i="9"/>
  <c r="E38" i="9"/>
  <c r="F38" i="9"/>
  <c r="D36" i="9"/>
  <c r="C38" i="9"/>
  <c r="B34" i="9"/>
  <c r="C34" i="9"/>
  <c r="S9" i="10"/>
  <c r="O8" i="10"/>
  <c r="S15" i="10"/>
  <c r="O10" i="10"/>
  <c r="M15" i="10"/>
  <c r="M8" i="10"/>
  <c r="S13" i="10"/>
  <c r="S12" i="10"/>
  <c r="S18" i="10"/>
  <c r="M7" i="10"/>
  <c r="L10" i="10"/>
  <c r="O20" i="10"/>
  <c r="S7" i="10"/>
  <c r="O14" i="10"/>
  <c r="O12" i="10"/>
  <c r="O17" i="10"/>
  <c r="O18" i="10"/>
  <c r="M16" i="10"/>
  <c r="M12" i="10"/>
  <c r="M9" i="10"/>
  <c r="S8" i="10"/>
  <c r="O15" i="10"/>
  <c r="O11" i="10"/>
  <c r="M18" i="10"/>
  <c r="I14" i="10"/>
  <c r="M21" i="10"/>
  <c r="M19" i="10"/>
  <c r="S21" i="10"/>
  <c r="S17" i="10"/>
  <c r="S19" i="10"/>
  <c r="L9" i="10"/>
  <c r="S11" i="10"/>
  <c r="O19" i="10"/>
  <c r="M13" i="10"/>
  <c r="S14" i="10"/>
  <c r="S10" i="10"/>
  <c r="O9" i="10"/>
  <c r="M20" i="10"/>
  <c r="O13" i="10"/>
  <c r="M14" i="10"/>
  <c r="S16" i="10"/>
  <c r="O21" i="10"/>
  <c r="L13" i="10"/>
  <c r="O16" i="10"/>
  <c r="S20" i="10"/>
  <c r="M17" i="10"/>
  <c r="M11" i="10"/>
  <c r="M10" i="10"/>
  <c r="O7" i="10"/>
  <c r="B6" i="9"/>
  <c r="B45" i="10"/>
  <c r="B38" i="2"/>
  <c r="B39" i="2"/>
  <c r="B41" i="2"/>
  <c r="B33" i="2"/>
  <c r="B32" i="2"/>
  <c r="B6" i="8"/>
  <c r="L38" i="2"/>
  <c r="L39" i="2"/>
  <c r="L41" i="2"/>
  <c r="L32" i="2"/>
  <c r="B66" i="10"/>
  <c r="L33" i="2"/>
  <c r="P41" i="1"/>
  <c r="P44" i="1"/>
  <c r="P43" i="1"/>
  <c r="B16" i="3"/>
  <c r="C16" i="3"/>
  <c r="F16" i="3"/>
  <c r="E16" i="3"/>
  <c r="D17" i="3"/>
  <c r="F15" i="3"/>
  <c r="D16" i="3"/>
  <c r="B17" i="3"/>
  <c r="C18" i="3"/>
  <c r="D14" i="3"/>
  <c r="F17" i="3"/>
  <c r="D18" i="3"/>
  <c r="C14" i="3"/>
  <c r="B15" i="3"/>
  <c r="E18" i="3"/>
  <c r="D15" i="3"/>
  <c r="E14" i="3"/>
  <c r="B14" i="3"/>
  <c r="C15" i="3"/>
  <c r="F18" i="3"/>
  <c r="C17" i="3"/>
  <c r="E15" i="3"/>
  <c r="E17" i="3"/>
  <c r="B18" i="3"/>
  <c r="F14" i="3"/>
  <c r="F6" i="9"/>
  <c r="J38" i="2"/>
  <c r="J39" i="2"/>
  <c r="J41" i="2"/>
  <c r="J32" i="2"/>
  <c r="J33" i="2"/>
  <c r="F26" i="3"/>
  <c r="C24" i="3"/>
  <c r="C26" i="3"/>
  <c r="D24" i="3"/>
  <c r="D27" i="3"/>
  <c r="D28" i="3"/>
  <c r="F25" i="3"/>
  <c r="D26" i="3"/>
  <c r="E24" i="3"/>
  <c r="F27" i="3"/>
  <c r="B26" i="3"/>
  <c r="B28" i="3"/>
  <c r="F24" i="3"/>
  <c r="C27" i="3"/>
  <c r="F28" i="3"/>
  <c r="B25" i="3"/>
  <c r="C28" i="3"/>
  <c r="C25" i="3"/>
  <c r="E26" i="3"/>
  <c r="E28" i="3"/>
  <c r="E25" i="3"/>
  <c r="B27" i="3"/>
  <c r="B24" i="3"/>
  <c r="E27" i="3"/>
  <c r="D25" i="3"/>
  <c r="S35" i="10"/>
  <c r="O33" i="10"/>
  <c r="O38" i="10"/>
  <c r="I36" i="10"/>
  <c r="M34" i="10"/>
  <c r="L32" i="10"/>
  <c r="L39" i="10"/>
  <c r="S38" i="10"/>
  <c r="S34" i="10"/>
  <c r="M36" i="10"/>
  <c r="I42" i="10"/>
  <c r="I39" i="10"/>
  <c r="S37" i="10"/>
  <c r="O34" i="10"/>
  <c r="O31" i="10"/>
  <c r="I38" i="10"/>
  <c r="I41" i="10"/>
  <c r="M31" i="10"/>
  <c r="O40" i="10"/>
  <c r="S32" i="10"/>
  <c r="L37" i="10"/>
  <c r="L36" i="10"/>
  <c r="M39" i="10"/>
  <c r="M32" i="10"/>
  <c r="O35" i="10"/>
  <c r="S31" i="10"/>
  <c r="O36" i="10"/>
  <c r="O30" i="10"/>
  <c r="S40" i="10"/>
  <c r="M29" i="10"/>
  <c r="L35" i="10"/>
  <c r="M42" i="10"/>
  <c r="O39" i="10"/>
  <c r="O42" i="10"/>
  <c r="S29" i="10"/>
  <c r="S28" i="10"/>
  <c r="O41" i="10"/>
  <c r="M41" i="10"/>
  <c r="M33" i="10"/>
  <c r="M37" i="10"/>
  <c r="L34" i="10"/>
  <c r="S30" i="10"/>
  <c r="M40" i="10"/>
  <c r="S33" i="10"/>
  <c r="M35" i="10"/>
  <c r="M30" i="10"/>
  <c r="I40" i="10"/>
  <c r="I35" i="10"/>
  <c r="D29" i="10"/>
  <c r="S36" i="10"/>
  <c r="O28" i="10"/>
  <c r="O32" i="10"/>
  <c r="O29" i="10"/>
  <c r="I37" i="10"/>
  <c r="L29" i="10"/>
  <c r="S41" i="10"/>
  <c r="M38" i="10"/>
  <c r="O37" i="10"/>
  <c r="S42" i="10"/>
  <c r="M28" i="10"/>
  <c r="S39" i="10"/>
  <c r="D42" i="10"/>
  <c r="D31" i="10"/>
  <c r="D33" i="10"/>
  <c r="F32" i="2"/>
  <c r="F33" i="2"/>
  <c r="D45" i="10"/>
  <c r="D6" i="9"/>
  <c r="F38" i="2"/>
  <c r="F39" i="2"/>
  <c r="F41" i="2"/>
  <c r="P38" i="2"/>
  <c r="P39" i="2"/>
  <c r="P41" i="2"/>
  <c r="D66" i="10"/>
  <c r="P33" i="2"/>
  <c r="D6" i="8"/>
  <c r="P32" i="2"/>
  <c r="V44" i="1"/>
  <c r="V43" i="1"/>
  <c r="J37" i="7"/>
  <c r="K34" i="7"/>
  <c r="M37" i="7"/>
  <c r="I36" i="7"/>
  <c r="L35" i="7"/>
  <c r="I37" i="7"/>
  <c r="I35" i="7"/>
  <c r="K35" i="7"/>
  <c r="L38" i="7"/>
  <c r="J36" i="7"/>
  <c r="I34" i="7"/>
  <c r="L37" i="7"/>
  <c r="M34" i="7"/>
  <c r="I38" i="7"/>
  <c r="K37" i="7"/>
  <c r="J38" i="7"/>
  <c r="M36" i="7"/>
  <c r="M38" i="7"/>
  <c r="J34" i="7"/>
  <c r="J35" i="7"/>
  <c r="L34" i="7"/>
  <c r="L36" i="7"/>
  <c r="K38" i="7"/>
  <c r="M35" i="7"/>
  <c r="K36" i="7"/>
  <c r="T43" i="1"/>
  <c r="T44" i="1"/>
  <c r="T41" i="1"/>
  <c r="C41" i="10"/>
  <c r="G38" i="10"/>
  <c r="C29" i="10"/>
  <c r="C39" i="10"/>
  <c r="G36" i="10"/>
  <c r="Q42" i="10"/>
  <c r="Q34" i="10"/>
  <c r="D32" i="10"/>
  <c r="L33" i="10"/>
  <c r="L40" i="10"/>
  <c r="C32" i="10"/>
  <c r="G40" i="10"/>
  <c r="G39" i="10"/>
  <c r="D37" i="10"/>
  <c r="C40" i="10"/>
  <c r="E37" i="10"/>
  <c r="Q28" i="10"/>
  <c r="D34" i="10"/>
  <c r="D38" i="10"/>
  <c r="D30" i="10"/>
  <c r="L31" i="10"/>
  <c r="D39" i="10"/>
  <c r="L17" i="3"/>
  <c r="E28" i="10"/>
  <c r="Q38" i="10"/>
  <c r="D41" i="10"/>
  <c r="D36" i="10"/>
  <c r="D28" i="10"/>
  <c r="D40" i="10"/>
  <c r="Q37" i="10"/>
  <c r="E38" i="10"/>
  <c r="M14" i="3"/>
  <c r="K18" i="3"/>
  <c r="L18" i="3"/>
  <c r="Q30" i="10"/>
  <c r="Q33" i="10"/>
  <c r="C38" i="10"/>
  <c r="C42" i="10"/>
  <c r="E40" i="10"/>
  <c r="Q32" i="10"/>
  <c r="J17" i="3"/>
  <c r="E34" i="10"/>
  <c r="Q40" i="10"/>
  <c r="C33" i="10"/>
  <c r="C37" i="10"/>
  <c r="Q39" i="10"/>
  <c r="E41" i="10"/>
  <c r="Q41" i="10"/>
  <c r="I17" i="3"/>
  <c r="I15" i="3"/>
  <c r="J15" i="3"/>
  <c r="I18" i="3"/>
  <c r="Q35" i="10"/>
  <c r="L16" i="3"/>
  <c r="M17" i="3"/>
  <c r="M18" i="3"/>
  <c r="M15" i="3"/>
  <c r="L14" i="3"/>
  <c r="E42" i="10"/>
  <c r="E31" i="10"/>
  <c r="J16" i="3"/>
  <c r="D35" i="10"/>
  <c r="L42" i="10"/>
  <c r="L28" i="10"/>
  <c r="L38" i="10"/>
  <c r="L41" i="10"/>
  <c r="L30" i="10"/>
  <c r="C31" i="10"/>
  <c r="G41" i="10"/>
  <c r="E29" i="10"/>
  <c r="E35" i="10"/>
  <c r="J14" i="3"/>
  <c r="K15" i="3"/>
  <c r="E32" i="10"/>
  <c r="E36" i="10"/>
  <c r="K17" i="3"/>
  <c r="Q36" i="10"/>
  <c r="J18" i="3"/>
  <c r="M26" i="9"/>
  <c r="L26" i="9"/>
  <c r="I26" i="9"/>
  <c r="K26" i="9"/>
  <c r="R52" i="10"/>
  <c r="J57" i="10"/>
  <c r="D44" i="2"/>
  <c r="D45" i="2"/>
  <c r="H42" i="2"/>
  <c r="D42" i="2"/>
  <c r="H44" i="2"/>
  <c r="J63" i="10"/>
  <c r="R54" i="10"/>
  <c r="J49" i="10"/>
  <c r="R50" i="10"/>
  <c r="R62" i="10"/>
  <c r="I31" i="10"/>
  <c r="J62" i="10"/>
  <c r="M27" i="3"/>
  <c r="G31" i="10"/>
  <c r="I28" i="10"/>
  <c r="R56" i="10"/>
  <c r="T44" i="2"/>
  <c r="I34" i="10"/>
  <c r="J61" i="10"/>
  <c r="G34" i="10"/>
  <c r="J32" i="10"/>
  <c r="T42" i="2"/>
  <c r="R55" i="10"/>
  <c r="J56" i="10"/>
  <c r="J29" i="10"/>
  <c r="G32" i="10"/>
  <c r="R51" i="10"/>
  <c r="B24" i="8"/>
  <c r="J54" i="10"/>
  <c r="E24" i="8"/>
  <c r="B28" i="8"/>
  <c r="R58" i="10"/>
  <c r="E26" i="8"/>
  <c r="F26" i="8"/>
  <c r="I30" i="10"/>
  <c r="R53" i="10"/>
  <c r="R59" i="10"/>
  <c r="R57" i="10"/>
  <c r="G33" i="10"/>
  <c r="J30" i="10"/>
  <c r="G30" i="10"/>
  <c r="C27" i="8"/>
  <c r="F25" i="8"/>
  <c r="I32" i="10"/>
  <c r="R60" i="10"/>
  <c r="J50" i="10"/>
  <c r="R49" i="10"/>
  <c r="J59" i="10"/>
  <c r="J33" i="10"/>
  <c r="G28" i="10"/>
  <c r="F27" i="8"/>
  <c r="D28" i="8"/>
  <c r="B26" i="8"/>
  <c r="I33" i="10"/>
  <c r="F24" i="8"/>
  <c r="R61" i="10"/>
  <c r="J58" i="10"/>
  <c r="R63" i="10"/>
  <c r="J52" i="10"/>
  <c r="G29" i="10"/>
  <c r="J31" i="10"/>
  <c r="E27" i="8"/>
  <c r="I29" i="10"/>
  <c r="J55" i="10"/>
  <c r="D24" i="8"/>
  <c r="J60" i="10"/>
  <c r="J51" i="10"/>
  <c r="B25" i="8"/>
  <c r="C28" i="8"/>
  <c r="D27" i="8"/>
  <c r="B27" i="8"/>
  <c r="C26" i="8"/>
  <c r="E28" i="8"/>
  <c r="C25" i="8"/>
  <c r="D25" i="8"/>
  <c r="F28" i="8"/>
  <c r="C24" i="8"/>
  <c r="E25" i="8"/>
  <c r="J53" i="10"/>
  <c r="J13" i="10"/>
  <c r="I15" i="10"/>
  <c r="H16" i="10"/>
  <c r="G15" i="10"/>
  <c r="I28" i="3"/>
  <c r="H12" i="10"/>
  <c r="G13" i="10"/>
  <c r="L24" i="3"/>
  <c r="J24" i="3"/>
  <c r="I25" i="3"/>
  <c r="I24" i="3"/>
  <c r="L27" i="3"/>
  <c r="M24" i="3"/>
  <c r="K25" i="3"/>
  <c r="K28" i="3"/>
  <c r="M25" i="3"/>
  <c r="I27" i="3"/>
  <c r="M27" i="9"/>
  <c r="I27" i="9"/>
  <c r="K27" i="9"/>
  <c r="J27" i="9"/>
  <c r="L27" i="9"/>
  <c r="L25" i="9"/>
  <c r="K25" i="9"/>
  <c r="M25" i="9"/>
  <c r="I25" i="9"/>
  <c r="J25" i="9"/>
  <c r="K27" i="3"/>
  <c r="M28" i="3"/>
  <c r="M24" i="9"/>
  <c r="J24" i="9"/>
  <c r="L24" i="9"/>
  <c r="I24" i="9"/>
  <c r="K24" i="9"/>
  <c r="J25" i="3"/>
  <c r="J28" i="9"/>
  <c r="M28" i="9"/>
  <c r="L28" i="9"/>
  <c r="K28" i="9"/>
  <c r="I28" i="9"/>
  <c r="J28" i="3"/>
  <c r="N42" i="2"/>
  <c r="N45" i="2"/>
  <c r="N44" i="2"/>
  <c r="M27" i="8"/>
  <c r="I25" i="8"/>
  <c r="L24" i="8"/>
  <c r="K24" i="8"/>
  <c r="K26" i="8"/>
  <c r="M26" i="8"/>
  <c r="J27" i="8"/>
  <c r="M25" i="8"/>
  <c r="I28" i="8"/>
  <c r="M24" i="8"/>
  <c r="K27" i="8"/>
  <c r="M28" i="8"/>
  <c r="L26" i="8"/>
  <c r="J26" i="8"/>
  <c r="I26" i="8"/>
  <c r="L27" i="8"/>
  <c r="L25" i="8"/>
  <c r="K28" i="8"/>
  <c r="I24" i="8"/>
  <c r="J28" i="8"/>
  <c r="L28" i="8"/>
  <c r="I27" i="8"/>
  <c r="J25" i="8"/>
  <c r="J24" i="8"/>
  <c r="K25" i="8"/>
  <c r="R44" i="2"/>
  <c r="R45" i="2"/>
  <c r="R42" i="2"/>
  <c r="D35" i="8"/>
  <c r="C37" i="8"/>
  <c r="D38" i="8"/>
  <c r="F34" i="8"/>
  <c r="D37" i="8"/>
  <c r="E34" i="8"/>
  <c r="F37" i="8"/>
  <c r="F35" i="8"/>
  <c r="E36" i="8"/>
  <c r="B36" i="8"/>
  <c r="B34" i="8"/>
  <c r="B35" i="8"/>
  <c r="F36" i="8"/>
  <c r="E37" i="8"/>
  <c r="C36" i="8"/>
  <c r="F38" i="8"/>
  <c r="C34" i="8"/>
  <c r="B38" i="8"/>
  <c r="C35" i="8"/>
  <c r="E38" i="8"/>
  <c r="B37" i="8"/>
  <c r="C38" i="8"/>
  <c r="E35" i="8"/>
  <c r="D34" i="8"/>
  <c r="D36" i="8"/>
  <c r="R82" i="10"/>
  <c r="R79" i="10"/>
  <c r="J75" i="10"/>
  <c r="J78" i="10"/>
  <c r="J82" i="10"/>
  <c r="J77" i="10"/>
  <c r="R76" i="10"/>
  <c r="J71" i="10"/>
  <c r="R75" i="10"/>
  <c r="R80" i="10"/>
  <c r="R72" i="10"/>
  <c r="R84" i="10"/>
  <c r="R77" i="10"/>
  <c r="R78" i="10"/>
  <c r="R71" i="10"/>
  <c r="J80" i="10"/>
  <c r="J70" i="10"/>
  <c r="J72" i="10"/>
  <c r="J79" i="10"/>
  <c r="R81" i="10"/>
  <c r="R83" i="10"/>
  <c r="J83" i="10"/>
  <c r="R73" i="10"/>
  <c r="R74" i="10"/>
  <c r="J81" i="10"/>
  <c r="J74" i="10"/>
  <c r="R70" i="10"/>
  <c r="J76" i="10"/>
  <c r="J84" i="10"/>
  <c r="J73" i="10"/>
  <c r="J44" i="2"/>
  <c r="J42" i="2"/>
  <c r="J45" i="2"/>
  <c r="D26" i="9"/>
  <c r="F27" i="9"/>
  <c r="C24" i="9"/>
  <c r="D24" i="9"/>
  <c r="B25" i="9"/>
  <c r="B24" i="9"/>
  <c r="F25" i="9"/>
  <c r="E26" i="9"/>
  <c r="F24" i="9"/>
  <c r="C25" i="9"/>
  <c r="E24" i="9"/>
  <c r="D25" i="9"/>
  <c r="F26" i="9"/>
  <c r="D27" i="9"/>
  <c r="C28" i="9"/>
  <c r="E27" i="9"/>
  <c r="F28" i="9"/>
  <c r="B26" i="9"/>
  <c r="B27" i="9"/>
  <c r="E25" i="9"/>
  <c r="C26" i="9"/>
  <c r="C27" i="9"/>
  <c r="E28" i="9"/>
  <c r="D28" i="9"/>
  <c r="B28" i="9"/>
  <c r="L42" i="2"/>
  <c r="L45" i="2"/>
  <c r="L44" i="2"/>
  <c r="D16" i="8"/>
  <c r="C16" i="8"/>
  <c r="B16" i="8"/>
  <c r="F16" i="8"/>
  <c r="E16" i="8"/>
  <c r="F14" i="8"/>
  <c r="B17" i="8"/>
  <c r="C15" i="8"/>
  <c r="F15" i="8"/>
  <c r="C14" i="8"/>
  <c r="B18" i="8"/>
  <c r="E18" i="8"/>
  <c r="F17" i="8"/>
  <c r="D18" i="8"/>
  <c r="D17" i="8"/>
  <c r="B14" i="8"/>
  <c r="C17" i="8"/>
  <c r="E15" i="8"/>
  <c r="D14" i="8"/>
  <c r="E17" i="8"/>
  <c r="B15" i="8"/>
  <c r="F18" i="8"/>
  <c r="C18" i="8"/>
  <c r="D15" i="8"/>
  <c r="E14" i="8"/>
  <c r="L15" i="8"/>
  <c r="M17" i="8"/>
  <c r="M14" i="8"/>
  <c r="I15" i="8"/>
  <c r="J17" i="8"/>
  <c r="K18" i="8"/>
  <c r="I14" i="8"/>
  <c r="K17" i="8"/>
  <c r="J18" i="8"/>
  <c r="K15" i="8"/>
  <c r="I16" i="8"/>
  <c r="M18" i="8"/>
  <c r="L16" i="8"/>
  <c r="M16" i="8"/>
  <c r="J15" i="8"/>
  <c r="I17" i="8"/>
  <c r="K16" i="8"/>
  <c r="L17" i="8"/>
  <c r="M15" i="8"/>
  <c r="L18" i="8"/>
  <c r="K14" i="8"/>
  <c r="L14" i="8"/>
  <c r="J16" i="8"/>
  <c r="J14" i="8"/>
  <c r="I18" i="8"/>
  <c r="P45" i="2"/>
  <c r="P44" i="2"/>
  <c r="P42" i="2"/>
  <c r="B42" i="2"/>
  <c r="B44" i="2"/>
  <c r="B45" i="2"/>
  <c r="O56" i="10"/>
  <c r="S56" i="10"/>
  <c r="L55" i="10"/>
  <c r="L57" i="10"/>
  <c r="O51" i="10"/>
  <c r="O53" i="10"/>
  <c r="O59" i="10"/>
  <c r="L54" i="10"/>
  <c r="S61" i="10"/>
  <c r="O54" i="10"/>
  <c r="O52" i="10"/>
  <c r="S57" i="10"/>
  <c r="L58" i="10"/>
  <c r="L52" i="10"/>
  <c r="O57" i="10"/>
  <c r="O58" i="10"/>
  <c r="O55" i="10"/>
  <c r="L50" i="10"/>
  <c r="L51" i="10"/>
  <c r="M50" i="10"/>
  <c r="I52" i="10"/>
  <c r="L59" i="10"/>
  <c r="I49" i="10"/>
  <c r="I50" i="10"/>
  <c r="I55" i="10"/>
  <c r="M51" i="10"/>
  <c r="L49" i="10"/>
  <c r="S63" i="10"/>
  <c r="S51" i="10"/>
  <c r="O62" i="10"/>
  <c r="O63" i="10"/>
  <c r="L56" i="10"/>
  <c r="I51" i="10"/>
  <c r="M52" i="10"/>
  <c r="I62" i="10"/>
  <c r="L62" i="10"/>
  <c r="M63" i="10"/>
  <c r="S55" i="10"/>
  <c r="S58" i="10"/>
  <c r="I57" i="10"/>
  <c r="M56" i="10"/>
  <c r="M62" i="10"/>
  <c r="L63" i="10"/>
  <c r="S54" i="10"/>
  <c r="M55" i="10"/>
  <c r="I56" i="10"/>
  <c r="S60" i="10"/>
  <c r="I58" i="10"/>
  <c r="I54" i="10"/>
  <c r="M60" i="10"/>
  <c r="M61" i="10"/>
  <c r="M53" i="10"/>
  <c r="M57" i="10"/>
  <c r="L60" i="10"/>
  <c r="O61" i="10"/>
  <c r="L53" i="10"/>
  <c r="S59" i="10"/>
  <c r="O60" i="10"/>
  <c r="S53" i="10"/>
  <c r="S52" i="10"/>
  <c r="L61" i="10"/>
  <c r="I61" i="10"/>
  <c r="S62" i="10"/>
  <c r="I60" i="10"/>
  <c r="O49" i="10"/>
  <c r="S50" i="10"/>
  <c r="M54" i="10"/>
  <c r="M59" i="10"/>
  <c r="I63" i="10"/>
  <c r="I59" i="10"/>
  <c r="S49" i="10"/>
  <c r="I53" i="10"/>
  <c r="O50" i="10"/>
  <c r="M49" i="10"/>
  <c r="M58" i="10"/>
  <c r="L78" i="10"/>
  <c r="M78" i="10"/>
  <c r="S84" i="10"/>
  <c r="I77" i="10"/>
  <c r="M75" i="10"/>
  <c r="M80" i="10"/>
  <c r="L76" i="10"/>
  <c r="L81" i="10"/>
  <c r="L74" i="10"/>
  <c r="S75" i="10"/>
  <c r="S82" i="10"/>
  <c r="S77" i="10"/>
  <c r="M76" i="10"/>
  <c r="S73" i="10"/>
  <c r="M77" i="10"/>
  <c r="I75" i="10"/>
  <c r="I73" i="10"/>
  <c r="M81" i="10"/>
  <c r="I84" i="10"/>
  <c r="I82" i="10"/>
  <c r="I78" i="10"/>
  <c r="L79" i="10"/>
  <c r="L80" i="10"/>
  <c r="O78" i="10"/>
  <c r="I76" i="10"/>
  <c r="I72" i="10"/>
  <c r="I79" i="10"/>
  <c r="I83" i="10"/>
  <c r="S79" i="10"/>
  <c r="O73" i="10"/>
  <c r="L75" i="10"/>
  <c r="I74" i="10"/>
  <c r="S81" i="10"/>
  <c r="S78" i="10"/>
  <c r="S71" i="10"/>
  <c r="M82" i="10"/>
  <c r="M83" i="10"/>
  <c r="O84" i="10"/>
  <c r="M79" i="10"/>
  <c r="L77" i="10"/>
  <c r="I81" i="10"/>
  <c r="S80" i="10"/>
  <c r="O82" i="10"/>
  <c r="M73" i="10"/>
  <c r="S70" i="10"/>
  <c r="O83" i="10"/>
  <c r="M84" i="10"/>
  <c r="L70" i="10"/>
  <c r="M74" i="10"/>
  <c r="L73" i="10"/>
  <c r="L84" i="10"/>
  <c r="M70" i="10"/>
  <c r="O74" i="10"/>
  <c r="O81" i="10"/>
  <c r="L82" i="10"/>
  <c r="L83" i="10"/>
  <c r="O70" i="10"/>
  <c r="S76" i="10"/>
  <c r="I71" i="10"/>
  <c r="O80" i="10"/>
  <c r="O76" i="10"/>
  <c r="M72" i="10"/>
  <c r="M71" i="10"/>
  <c r="S74" i="10"/>
  <c r="O77" i="10"/>
  <c r="L72" i="10"/>
  <c r="I70" i="10"/>
  <c r="O79" i="10"/>
  <c r="O75" i="10"/>
  <c r="S72" i="10"/>
  <c r="O71" i="10"/>
  <c r="S83" i="10"/>
  <c r="L71" i="10"/>
  <c r="I80" i="10"/>
  <c r="O72" i="10"/>
  <c r="F44" i="2"/>
  <c r="F42" i="2"/>
  <c r="F45" i="2"/>
  <c r="E54" i="10"/>
  <c r="E60" i="10"/>
  <c r="E58" i="10"/>
  <c r="C54" i="10"/>
  <c r="G61" i="10"/>
  <c r="E57" i="10"/>
  <c r="E56" i="10"/>
  <c r="D55" i="10"/>
  <c r="Q55" i="10"/>
  <c r="E59" i="10"/>
  <c r="D53" i="10"/>
  <c r="D54" i="10"/>
  <c r="Q58" i="10"/>
  <c r="Q54" i="10"/>
  <c r="Q57" i="10"/>
  <c r="E55" i="10"/>
  <c r="G59" i="10"/>
  <c r="C56" i="10"/>
  <c r="D61" i="10"/>
  <c r="C51" i="10"/>
  <c r="Q62" i="10"/>
  <c r="E50" i="10"/>
  <c r="D58" i="10"/>
  <c r="C60" i="10"/>
  <c r="C63" i="10"/>
  <c r="C61" i="10"/>
  <c r="Q49" i="10"/>
  <c r="Q53" i="10"/>
  <c r="G53" i="10"/>
  <c r="G50" i="10"/>
  <c r="G56" i="10"/>
  <c r="E61" i="10"/>
  <c r="D51" i="10"/>
  <c r="Q63" i="10"/>
  <c r="D63" i="10"/>
  <c r="Q59" i="10"/>
  <c r="D52" i="10"/>
  <c r="C59" i="10"/>
  <c r="G60" i="10"/>
  <c r="C57" i="10"/>
  <c r="E51" i="10"/>
  <c r="E49" i="10"/>
  <c r="E52" i="10"/>
  <c r="G58" i="10"/>
  <c r="D49" i="10"/>
  <c r="D60" i="10"/>
  <c r="D57" i="10"/>
  <c r="E63" i="10"/>
  <c r="D56" i="10"/>
  <c r="G57" i="10"/>
  <c r="E62" i="10"/>
  <c r="C52" i="10"/>
  <c r="G63" i="10"/>
  <c r="G51" i="10"/>
  <c r="G62" i="10"/>
  <c r="Q52" i="10"/>
  <c r="D62" i="10"/>
  <c r="D59" i="10"/>
  <c r="G54" i="10"/>
  <c r="Q51" i="10"/>
  <c r="C50" i="10"/>
  <c r="E53" i="10"/>
  <c r="G55" i="10"/>
  <c r="C53" i="10"/>
  <c r="C62" i="10"/>
  <c r="C49" i="10"/>
  <c r="Q56" i="10"/>
  <c r="Q60" i="10"/>
  <c r="Q61" i="10"/>
  <c r="C58" i="10"/>
  <c r="C55" i="10"/>
  <c r="G52" i="10"/>
  <c r="Q50" i="10"/>
  <c r="G49" i="10"/>
  <c r="D50" i="10"/>
  <c r="D18" i="9"/>
  <c r="E14" i="9"/>
  <c r="F16" i="9"/>
  <c r="B18" i="9"/>
  <c r="E17" i="9"/>
  <c r="C16" i="9"/>
  <c r="F14" i="9"/>
  <c r="C18" i="9"/>
  <c r="B17" i="9"/>
  <c r="B16" i="9"/>
  <c r="C17" i="9"/>
  <c r="D15" i="9"/>
  <c r="F17" i="9"/>
  <c r="E15" i="9"/>
  <c r="F18" i="9"/>
  <c r="E18" i="9"/>
  <c r="D17" i="9"/>
  <c r="B15" i="9"/>
  <c r="D14" i="9"/>
  <c r="F15" i="9"/>
  <c r="C14" i="9"/>
  <c r="D16" i="9"/>
  <c r="B14" i="9"/>
  <c r="E16" i="9"/>
  <c r="C15" i="9"/>
  <c r="G79" i="10"/>
  <c r="D80" i="10"/>
  <c r="G77" i="10"/>
  <c r="C74" i="10"/>
  <c r="G76" i="10"/>
  <c r="E77" i="10"/>
  <c r="E78" i="10"/>
  <c r="D74" i="10"/>
  <c r="G71" i="10"/>
  <c r="C81" i="10"/>
  <c r="Q82" i="10"/>
  <c r="Q84" i="10"/>
  <c r="G82" i="10"/>
  <c r="G83" i="10"/>
  <c r="C78" i="10"/>
  <c r="G75" i="10"/>
  <c r="Q74" i="10"/>
  <c r="C75" i="10"/>
  <c r="G74" i="10"/>
  <c r="G84" i="10"/>
  <c r="D78" i="10"/>
  <c r="E79" i="10"/>
  <c r="E81" i="10"/>
  <c r="Q78" i="10"/>
  <c r="D76" i="10"/>
  <c r="G72" i="10"/>
  <c r="D81" i="10"/>
  <c r="C79" i="10"/>
  <c r="C80" i="10"/>
  <c r="D77" i="10"/>
  <c r="D75" i="10"/>
  <c r="D79" i="10"/>
  <c r="Q73" i="10"/>
  <c r="Q75" i="10"/>
  <c r="E74" i="10"/>
  <c r="E73" i="10"/>
  <c r="D84" i="10"/>
  <c r="G80" i="10"/>
  <c r="G73" i="10"/>
  <c r="C76" i="10"/>
  <c r="Q83" i="10"/>
  <c r="Q79" i="10"/>
  <c r="C84" i="10"/>
  <c r="G81" i="10"/>
  <c r="E82" i="10"/>
  <c r="Q71" i="10"/>
  <c r="D83" i="10"/>
  <c r="Q72" i="10"/>
  <c r="E75" i="10"/>
  <c r="C82" i="10"/>
  <c r="E83" i="10"/>
  <c r="G78" i="10"/>
  <c r="E70" i="10"/>
  <c r="C77" i="10"/>
  <c r="E80" i="10"/>
  <c r="E76" i="10"/>
  <c r="Q70" i="10"/>
  <c r="C70" i="10"/>
  <c r="C73" i="10"/>
  <c r="E84" i="10"/>
  <c r="E71" i="10"/>
  <c r="Q81" i="10"/>
  <c r="D71" i="10"/>
  <c r="C72" i="10"/>
  <c r="D70" i="10"/>
  <c r="G70" i="10"/>
  <c r="Q76" i="10"/>
  <c r="Q80" i="10"/>
  <c r="D73" i="10"/>
  <c r="D82" i="10"/>
  <c r="D72" i="10"/>
  <c r="C83" i="10"/>
  <c r="C71" i="10"/>
  <c r="E72" i="10"/>
  <c r="Q77" i="10"/>
  <c r="I15" i="9"/>
  <c r="K17" i="9"/>
  <c r="K14" i="9"/>
  <c r="I16" i="9"/>
  <c r="J14" i="9"/>
  <c r="M16" i="9"/>
  <c r="L14" i="9"/>
  <c r="L16" i="9"/>
  <c r="M17" i="9"/>
  <c r="M14" i="9"/>
  <c r="J18" i="9"/>
  <c r="I17" i="9"/>
  <c r="J16" i="9"/>
  <c r="J15" i="9"/>
  <c r="L18" i="9"/>
  <c r="K16" i="9"/>
  <c r="L17" i="9"/>
  <c r="K18" i="9"/>
  <c r="L15" i="9"/>
  <c r="I14" i="9"/>
  <c r="M18" i="9"/>
  <c r="K15" i="9"/>
  <c r="J17" i="9"/>
  <c r="I18" i="9"/>
  <c r="M15" i="9"/>
  <c r="H11" i="10"/>
  <c r="G12" i="10"/>
  <c r="I12" i="10"/>
  <c r="J12" i="10"/>
  <c r="H17" i="10"/>
  <c r="G16" i="10"/>
  <c r="J16" i="10"/>
  <c r="I16" i="10"/>
  <c r="H10" i="10"/>
  <c r="J11" i="10"/>
  <c r="I11" i="10"/>
  <c r="G11" i="10"/>
  <c r="H18" i="10"/>
  <c r="G17" i="10"/>
  <c r="I17" i="10"/>
  <c r="J17" i="10"/>
  <c r="H9" i="10"/>
  <c r="G10" i="10"/>
  <c r="J10" i="10"/>
  <c r="I10" i="10"/>
  <c r="H19" i="10"/>
  <c r="G18" i="10"/>
  <c r="J18" i="10"/>
  <c r="I18" i="10"/>
  <c r="H8" i="10"/>
  <c r="G9" i="10"/>
  <c r="J9" i="10"/>
  <c r="I9" i="10"/>
  <c r="H20" i="10"/>
  <c r="I19" i="10"/>
  <c r="J19" i="10"/>
  <c r="G19" i="10"/>
  <c r="H7" i="10"/>
  <c r="G8" i="10"/>
  <c r="J8" i="10"/>
  <c r="I8" i="10"/>
  <c r="H21" i="10"/>
  <c r="J20" i="10"/>
  <c r="I20" i="10"/>
  <c r="G20" i="10"/>
  <c r="G7" i="10"/>
  <c r="J7" i="10"/>
  <c r="I7" i="10"/>
  <c r="G21" i="10"/>
  <c r="J21" i="10"/>
  <c r="I21" i="10"/>
</calcChain>
</file>

<file path=xl/sharedStrings.xml><?xml version="1.0" encoding="utf-8"?>
<sst xmlns="http://schemas.openxmlformats.org/spreadsheetml/2006/main" count="770" uniqueCount="195">
  <si>
    <t>IRRIGATED</t>
  </si>
  <si>
    <t>NON-IRRIGATED</t>
  </si>
  <si>
    <t>Cotton</t>
  </si>
  <si>
    <t>Peanuts</t>
  </si>
  <si>
    <t>Corn</t>
  </si>
  <si>
    <t>Soybeans</t>
  </si>
  <si>
    <t>Sorghum</t>
  </si>
  <si>
    <t>Wheat</t>
  </si>
  <si>
    <t>BWEP</t>
  </si>
  <si>
    <t>Chemicals</t>
  </si>
  <si>
    <t>Scouting</t>
  </si>
  <si>
    <t>Repairs and Maintenance</t>
  </si>
  <si>
    <t>Irrigation</t>
  </si>
  <si>
    <t>Labor</t>
  </si>
  <si>
    <t>Insurance</t>
  </si>
  <si>
    <t>Drying and Cleaning</t>
  </si>
  <si>
    <t>Other</t>
  </si>
  <si>
    <t>Interest on Operating Capital</t>
  </si>
  <si>
    <t>Marketing and Fees</t>
  </si>
  <si>
    <t>Machinery and Equipment</t>
  </si>
  <si>
    <t>Buildings</t>
  </si>
  <si>
    <t>Miscellaneous Overhead</t>
  </si>
  <si>
    <t>Int Mgmt</t>
  </si>
  <si>
    <t>Grain</t>
  </si>
  <si>
    <t xml:space="preserve">Seed </t>
  </si>
  <si>
    <t>Conventional Tillage</t>
  </si>
  <si>
    <t>Strip-Tillage</t>
  </si>
  <si>
    <t>Fertilizer &amp; Lime*</t>
  </si>
  <si>
    <t>Fuel and Lube**</t>
  </si>
  <si>
    <t>Irrigation***</t>
  </si>
  <si>
    <t>Cover Crop Seed*</t>
  </si>
  <si>
    <t>Fertilizer &amp; Lime**</t>
  </si>
  <si>
    <t>Fuel and Lube***</t>
  </si>
  <si>
    <t>Irrigation****</t>
  </si>
  <si>
    <t>BREAKEVEN PRICE (Total Costs)</t>
  </si>
  <si>
    <t>By A.R. Smith, N.B. Smith and W.D. Shurley, UGA Extension Economists, Department of Agricultural &amp; Applied Economics</t>
  </si>
  <si>
    <t>NET RETURNS ABOVE VARIABLE COSTS PER ACRE</t>
  </si>
  <si>
    <t>Average</t>
  </si>
  <si>
    <t>+10%</t>
  </si>
  <si>
    <t>+25%</t>
  </si>
  <si>
    <t>Crop</t>
  </si>
  <si>
    <t>Yield</t>
  </si>
  <si>
    <t>Price</t>
  </si>
  <si>
    <t>TVC</t>
  </si>
  <si>
    <t>Revenue</t>
  </si>
  <si>
    <t>Irrigated</t>
  </si>
  <si>
    <t>Non-irrigated</t>
  </si>
  <si>
    <t>Irrigated Corn</t>
  </si>
  <si>
    <t>Irrigated Grain Sorghum</t>
  </si>
  <si>
    <t>Irrigated Soybeans</t>
  </si>
  <si>
    <t>Irrigated Cotton</t>
  </si>
  <si>
    <t>Dryland Corn</t>
  </si>
  <si>
    <t>Dryland Cotton</t>
  </si>
  <si>
    <t>Dryland Soybeans</t>
  </si>
  <si>
    <t>Dryland Grain Sorghum</t>
  </si>
  <si>
    <t>Irrigated Corn, Strip Till</t>
  </si>
  <si>
    <t>Irrigated Cotton, Strip Till</t>
  </si>
  <si>
    <t>Irrigated Grain Sorghum, Strip Till</t>
  </si>
  <si>
    <t>Irrigated Soybeans, Strip Till</t>
  </si>
  <si>
    <t>Dryland Corn, Strip Till</t>
  </si>
  <si>
    <t>Dryland Grain Sorghum, Strip Till</t>
  </si>
  <si>
    <t>Dryland Soybeans, Strip Till</t>
  </si>
  <si>
    <t>Dryland Cotton, Strip Till</t>
  </si>
  <si>
    <t>Conventional Wheat</t>
  </si>
  <si>
    <t>Intensively Managed Wheat</t>
  </si>
  <si>
    <t>P=</t>
  </si>
  <si>
    <t>K=</t>
  </si>
  <si>
    <t>per Gallon</t>
  </si>
  <si>
    <t>Peanut</t>
  </si>
  <si>
    <t xml:space="preserve">Soybean </t>
  </si>
  <si>
    <t>Irr Var Cost</t>
  </si>
  <si>
    <t>Irr Yield</t>
  </si>
  <si>
    <t>Dry Var Cost</t>
  </si>
  <si>
    <t>Dry Yield</t>
  </si>
  <si>
    <t>Cotton Price Determines</t>
  </si>
  <si>
    <t>Peanut Price Determines</t>
  </si>
  <si>
    <t>Corn Price Determines</t>
  </si>
  <si>
    <t>Soybean Price Determines</t>
  </si>
  <si>
    <t>Irrigated Peanut</t>
  </si>
  <si>
    <t>Irrigated Soybean</t>
  </si>
  <si>
    <t>Non Irrigated Peanut</t>
  </si>
  <si>
    <t>Non Irrigated Corn</t>
  </si>
  <si>
    <t>Non Irrigated Soybean</t>
  </si>
  <si>
    <t>Non Irrigated Cotton</t>
  </si>
  <si>
    <t>Strip Tillage Prices</t>
  </si>
  <si>
    <t>Conventional Tillage Prices</t>
  </si>
  <si>
    <t>1)</t>
  </si>
  <si>
    <t>2)</t>
  </si>
  <si>
    <t>3)</t>
  </si>
  <si>
    <t>4)</t>
  </si>
  <si>
    <t>Irrigated peanut is compared to irrigated cotton and non-irrigated peanut is compared to non-irrigated cotton.</t>
  </si>
  <si>
    <t>Irrigated corn is compared to irrigated cotton and non-irrigated corn is compared to non-irrigated cotton.</t>
  </si>
  <si>
    <t>Irrigated soybean is compared to irrigated cotton and non-irrigated soybean is compared to non-irrigated cotton.</t>
  </si>
  <si>
    <t>* The above chart is based on the following assumptions:</t>
  </si>
  <si>
    <t>Irrigated cotton is compared to irrigated peanut and non-irrigated cotton is compared to non-irrigated peanut.</t>
  </si>
  <si>
    <t>Irrigated corn is compared to irrigated peanut and non-irrigated corn is compared to non-irrigated peanut.</t>
  </si>
  <si>
    <t>Irrigated soybean is compared to irrigated peanut and non-irrigated soybean is compared to non-irrigated peanut.</t>
  </si>
  <si>
    <t>Irrigated cotton is compared to irrigated corn and non-irrigated cotton is compared to non-irrigated corn.</t>
  </si>
  <si>
    <t>Irrigated peanut is compared to irrigated corn and non-irrigated peanut is compared to non-irrigated corn.</t>
  </si>
  <si>
    <t>Irrigated soybean is compared to irrigated corn and non-irrigated soybean is compared to non-irrigated corn.</t>
  </si>
  <si>
    <t>Irrigated cotton is compared to irrigated soybean and non-irrigated cotton is compared to non-irrigated soybean.</t>
  </si>
  <si>
    <t>Irrigated peanut is compared to irrigated soybean and non-irrigated peanut is compared to non-irrigated soybean.</t>
  </si>
  <si>
    <t>Irrigated corn is compared to irrigated soybean and non-irrigated corn is compared to non-irrigated soybean.</t>
  </si>
  <si>
    <t>Prices shown are those needed to cover budgeted operating expenses for strip tillage production listed in the crop comparison tool.</t>
  </si>
  <si>
    <t>Prices shown are those needed to cover budgeted operating costs for conventional till production listed in the crop comparison tool.</t>
  </si>
  <si>
    <t>Peanut to Cotton</t>
  </si>
  <si>
    <t>Corn to Cotton</t>
  </si>
  <si>
    <t>Soybean to Cotton</t>
  </si>
  <si>
    <t>Cotton to Peanut</t>
  </si>
  <si>
    <t>Corn to Peanut</t>
  </si>
  <si>
    <t>Soybean to Peanut</t>
  </si>
  <si>
    <t>Cotton to Corn</t>
  </si>
  <si>
    <t>Peanut to Corn</t>
  </si>
  <si>
    <t>Soybean to Corn</t>
  </si>
  <si>
    <t>Cotton to Soybean</t>
  </si>
  <si>
    <t>Peanut to Soybean</t>
  </si>
  <si>
    <t>Corn to Soybean</t>
  </si>
  <si>
    <t>Click on the box to see a chart of the two commodities that you wish to compare.</t>
  </si>
  <si>
    <t>Conventional Tillage: Equal Returns Above Variable Costs Price Comparisons</t>
  </si>
  <si>
    <t>Strip Tillage: Equal Returns Above Variable Costs Price Comparisons</t>
  </si>
  <si>
    <t>Irrigated Peanuts</t>
  </si>
  <si>
    <t>Dryland Peanuts</t>
  </si>
  <si>
    <t>Irrigated Peanuts, Strip Till</t>
  </si>
  <si>
    <t>Dryland Peanuts, Strip Till</t>
  </si>
  <si>
    <t>EXPECTED SEASON AVG PRICE</t>
  </si>
  <si>
    <t>BREAKEVEN PRICE</t>
  </si>
  <si>
    <t>Chicken Litter</t>
  </si>
  <si>
    <t>Land Rent</t>
  </si>
  <si>
    <t>Sensitivity Analysis of Yields and Prices of Conventional-Tillage, Irrigated Crops, South Georgia</t>
  </si>
  <si>
    <t>Sensitivity Analysis of Yields and Prices of Conventional-Tillage, Dryland Crops, South Georgia</t>
  </si>
  <si>
    <t>Sensitivity Analysis of Yields and Prices on Strip-Tillage, Irrigated Crops, South Georgia</t>
  </si>
  <si>
    <t>Sensitivity Analysis of Yields and Prices on Strip-Tillage, Dryland Crops, South Georgia</t>
  </si>
  <si>
    <t>Remaining Uncontracted Pounds per Acre</t>
  </si>
  <si>
    <t>Contracted Pounds per Acre</t>
  </si>
  <si>
    <t>Contracted Price per Ton</t>
  </si>
  <si>
    <t>Expected Harvest Price per Ton</t>
  </si>
  <si>
    <t>Irrigated Peanut Price Calculator</t>
  </si>
  <si>
    <t>Average Dryland Peanut Price</t>
  </si>
  <si>
    <t>Average Irrigated Peanut Price</t>
  </si>
  <si>
    <t>Non Irrigated Peanut Price Calculator</t>
  </si>
  <si>
    <t>Expected Pounds Irrigated Yield</t>
  </si>
  <si>
    <t>Expected Pounds Non-Irrigated Yield</t>
  </si>
  <si>
    <t>Contracted Peanut Yield Calculator</t>
  </si>
  <si>
    <t>Percent contracted</t>
  </si>
  <si>
    <t>Last year's yield (pounds)</t>
  </si>
  <si>
    <t>Pounds contracted this year</t>
  </si>
  <si>
    <t>Last Year's Total Acres</t>
  </si>
  <si>
    <t>In the blue cell to the left, put your expected irrigated yield per acre.</t>
  </si>
  <si>
    <t>In the blue cells to the left, fill in the amount of pounds you contracted and the respective contract price (you can adjust the pounds and prices)</t>
  </si>
  <si>
    <t>In this blue cell, put in your expectation of harvest price.</t>
  </si>
  <si>
    <t>In the yellow cell to the left, put your expected non-irrigated yield per acre.</t>
  </si>
  <si>
    <t>In the yellow cells to the left, fill in the amount of pounds you contracted and the respective contract price (you can adjust the pounds and prices)</t>
  </si>
  <si>
    <t>In this yellow cell, put in your expectation of harvest price.</t>
  </si>
  <si>
    <t>**** Season Average Diesel Fuel Price:</t>
  </si>
  <si>
    <t>April 2012</t>
  </si>
  <si>
    <t>EXPECTED YIELD per ACRE</t>
  </si>
  <si>
    <t>GROSS RETURN per ACRE</t>
  </si>
  <si>
    <t>VARIABLE COSTS per ACRE</t>
  </si>
  <si>
    <t>TOTAL VARIABLE COSTS per ACRE</t>
  </si>
  <si>
    <t>lbs</t>
  </si>
  <si>
    <t>/lb</t>
  </si>
  <si>
    <t>/ton</t>
  </si>
  <si>
    <t>bu</t>
  </si>
  <si>
    <t>/bu</t>
  </si>
  <si>
    <t>RETURN ABOVE VARIABLE COST per ACRE</t>
  </si>
  <si>
    <t>FIXED COSTS per ACRE</t>
  </si>
  <si>
    <t>TOTAL SPECIFIED FIXED COSTS per ACRE</t>
  </si>
  <si>
    <t>TOTAL COST EXCL. LAND &amp; MGT per ACRE</t>
  </si>
  <si>
    <t>RETURN TO LAND AND MGT per ACRE</t>
  </si>
  <si>
    <t>BREAKEVEN YIELD per ACRE</t>
  </si>
  <si>
    <t>N=</t>
  </si>
  <si>
    <t>BREAKEVEN PRICE  (Variable Cost)</t>
  </si>
  <si>
    <t>Gin &amp; Warehouse (net after cottonseed)</t>
  </si>
  <si>
    <t>Custom Application</t>
  </si>
  <si>
    <t>Hand Weeding</t>
  </si>
  <si>
    <t>Handweeding</t>
  </si>
  <si>
    <t>* Expected fertilizer $/lb. of nutrient:</t>
  </si>
  <si>
    <t>** Season Average Diesel fuel price:</t>
  </si>
  <si>
    <t>* Value only if cover crop is not harvested, i.e. wheat for grain, etc.</t>
  </si>
  <si>
    <t>** Expected fertilizer $/lb.of nutrient:</t>
  </si>
  <si>
    <t>SUMMARY OF SOUTH GEORGIA CROP ENTERPRISE ESTIMATES, 2016</t>
  </si>
  <si>
    <t>January 2016</t>
  </si>
  <si>
    <t>*** Average of diesel and electric irrigation application costs.  Electric is estimated at $7/appl and diesel is estimated at $9/appl when diesel cost $1.80/gal.</t>
  </si>
  <si>
    <t>By A.R. Smith, W.D. Shurley, UGA Extension Economists, Department of Ag. &amp; Applied Economics; and N.B. Smith, Clemson University Agribusiness Extension Crop Economist</t>
  </si>
  <si>
    <t>By A.R. Smith, W.D. Shurley, UGA Extension Economists, Department of Agricultural &amp; Applied Economics; and N.B. Smith, Clemson University Agribusiness Extension Crop Economist</t>
  </si>
  <si>
    <t>ctn</t>
  </si>
  <si>
    <t>crn</t>
  </si>
  <si>
    <t>pnt</t>
  </si>
  <si>
    <t>soy</t>
  </si>
  <si>
    <t>grsor</t>
  </si>
  <si>
    <t>cor</t>
  </si>
  <si>
    <t>avc</t>
  </si>
  <si>
    <t>agr</t>
  </si>
  <si>
    <t>aravc</t>
  </si>
  <si>
    <t>aravc-lr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</si>
</sst>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.00"/>
    <numFmt numFmtId="166" formatCode="&quot;$&quot;#,##0"/>
    <numFmt numFmtId="167" formatCode="&quot;$&quot;#,##0.000"/>
    <numFmt numFmtId="168" formatCode="_(* #,##0_);_(* \(#,##0\);_(* &quot;-&quot;??_);_(@_)"/>
    <numFmt numFmtId="169" formatCode="0.0000"/>
    <numFmt numFmtId="170" formatCode="[$-F400]h:mm:ss\ AM/PM"/>
  </numFmts>
  <fonts count="2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u/>
      <sz val="14"/>
      <name val="Calibri"/>
      <family val="2"/>
      <scheme val="minor"/>
    </font>
    <font>
      <b/>
      <u/>
      <sz val="10"/>
      <color theme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u/>
      <sz val="10"/>
      <color theme="11"/>
      <name val="Arial"/>
    </font>
  </fonts>
  <fills count="1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EF4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339933"/>
        <bgColor indexed="64"/>
      </patternFill>
    </fill>
  </fills>
  <borders count="73"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medium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medium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 style="medium">
        <color auto="1"/>
      </bottom>
      <diagonal/>
    </border>
    <border>
      <left/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 style="double">
        <color auto="1"/>
      </top>
      <bottom style="thin">
        <color auto="1"/>
      </bottom>
      <diagonal/>
    </border>
    <border>
      <left/>
      <right style="hair">
        <color auto="1"/>
      </right>
      <top style="double">
        <color auto="1"/>
      </top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medium">
        <color auto="1"/>
      </top>
      <bottom style="thin">
        <color auto="1"/>
      </bottom>
      <diagonal/>
    </border>
    <border>
      <left/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/>
      <top style="medium">
        <color auto="1"/>
      </top>
      <bottom style="double">
        <color auto="1"/>
      </bottom>
      <diagonal/>
    </border>
    <border>
      <left/>
      <right style="hair">
        <color auto="1"/>
      </right>
      <top style="medium">
        <color auto="1"/>
      </top>
      <bottom style="double">
        <color auto="1"/>
      </bottom>
      <diagonal/>
    </border>
  </borders>
  <cellStyleXfs count="13">
    <xf numFmtId="0" fontId="0" fillId="0" borderId="0"/>
    <xf numFmtId="43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454">
    <xf numFmtId="0" fontId="0" fillId="0" borderId="0" xfId="0"/>
    <xf numFmtId="0" fontId="4" fillId="0" borderId="0" xfId="0" applyFont="1"/>
    <xf numFmtId="0" fontId="0" fillId="0" borderId="0" xfId="0" applyBorder="1"/>
    <xf numFmtId="0" fontId="0" fillId="0" borderId="0" xfId="0" applyAlignment="1">
      <alignment horizontal="center"/>
    </xf>
    <xf numFmtId="164" fontId="0" fillId="0" borderId="0" xfId="2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0" fontId="3" fillId="0" borderId="0" xfId="0" applyFont="1"/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44" fontId="8" fillId="4" borderId="0" xfId="2" applyFont="1" applyFill="1" applyAlignment="1">
      <alignment horizontal="center"/>
    </xf>
    <xf numFmtId="164" fontId="8" fillId="4" borderId="0" xfId="2" applyNumberFormat="1" applyFont="1" applyFill="1" applyAlignment="1">
      <alignment horizontal="center"/>
    </xf>
    <xf numFmtId="44" fontId="3" fillId="4" borderId="9" xfId="2" applyFont="1" applyFill="1" applyBorder="1" applyAlignment="1">
      <alignment horizontal="center"/>
    </xf>
    <xf numFmtId="0" fontId="0" fillId="4" borderId="0" xfId="0" applyFill="1"/>
    <xf numFmtId="44" fontId="8" fillId="5" borderId="0" xfId="2" applyFont="1" applyFill="1" applyAlignment="1">
      <alignment horizontal="center"/>
    </xf>
    <xf numFmtId="164" fontId="8" fillId="5" borderId="0" xfId="2" applyNumberFormat="1" applyFont="1" applyFill="1" applyAlignment="1">
      <alignment horizontal="center"/>
    </xf>
    <xf numFmtId="44" fontId="3" fillId="5" borderId="9" xfId="2" applyFont="1" applyFill="1" applyBorder="1" applyAlignment="1">
      <alignment horizontal="center"/>
    </xf>
    <xf numFmtId="0" fontId="0" fillId="5" borderId="0" xfId="0" applyFill="1"/>
    <xf numFmtId="44" fontId="8" fillId="5" borderId="0" xfId="2" applyNumberFormat="1" applyFont="1" applyFill="1" applyAlignment="1">
      <alignment horizontal="center"/>
    </xf>
    <xf numFmtId="44" fontId="8" fillId="6" borderId="0" xfId="2" applyFont="1" applyFill="1" applyAlignment="1">
      <alignment horizontal="center"/>
    </xf>
    <xf numFmtId="164" fontId="8" fillId="6" borderId="0" xfId="2" applyNumberFormat="1" applyFont="1" applyFill="1" applyAlignment="1">
      <alignment horizontal="center"/>
    </xf>
    <xf numFmtId="44" fontId="8" fillId="7" borderId="0" xfId="2" applyFont="1" applyFill="1" applyAlignment="1">
      <alignment horizontal="center"/>
    </xf>
    <xf numFmtId="164" fontId="8" fillId="7" borderId="0" xfId="2" applyNumberFormat="1" applyFont="1" applyFill="1" applyAlignment="1">
      <alignment horizontal="center"/>
    </xf>
    <xf numFmtId="164" fontId="3" fillId="7" borderId="9" xfId="2" applyNumberFormat="1" applyFont="1" applyFill="1" applyBorder="1" applyAlignment="1">
      <alignment horizontal="center"/>
    </xf>
    <xf numFmtId="0" fontId="0" fillId="7" borderId="0" xfId="0" applyFill="1"/>
    <xf numFmtId="44" fontId="3" fillId="6" borderId="9" xfId="2" applyFont="1" applyFill="1" applyBorder="1" applyAlignment="1">
      <alignment horizontal="center"/>
    </xf>
    <xf numFmtId="0" fontId="4" fillId="6" borderId="7" xfId="0" applyFont="1" applyFill="1" applyBorder="1" applyAlignment="1">
      <alignment horizontal="center" wrapText="1"/>
    </xf>
    <xf numFmtId="0" fontId="4" fillId="7" borderId="7" xfId="0" applyFont="1" applyFill="1" applyBorder="1" applyAlignment="1">
      <alignment horizontal="center" wrapText="1"/>
    </xf>
    <xf numFmtId="0" fontId="4" fillId="5" borderId="7" xfId="0" applyFont="1" applyFill="1" applyBorder="1" applyAlignment="1">
      <alignment horizontal="center" wrapText="1"/>
    </xf>
    <xf numFmtId="0" fontId="4" fillId="4" borderId="7" xfId="0" applyFont="1" applyFill="1" applyBorder="1" applyAlignment="1">
      <alignment horizontal="center" wrapText="1"/>
    </xf>
    <xf numFmtId="0" fontId="3" fillId="0" borderId="0" xfId="0" applyFont="1" applyBorder="1"/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0" fillId="4" borderId="7" xfId="0" applyFill="1" applyBorder="1" applyAlignment="1">
      <alignment horizontal="center" wrapText="1"/>
    </xf>
    <xf numFmtId="0" fontId="0" fillId="5" borderId="7" xfId="0" applyFill="1" applyBorder="1" applyAlignment="1">
      <alignment horizontal="center" wrapText="1"/>
    </xf>
    <xf numFmtId="0" fontId="0" fillId="7" borderId="7" xfId="0" applyFill="1" applyBorder="1" applyAlignment="1">
      <alignment horizontal="center" wrapText="1"/>
    </xf>
    <xf numFmtId="0" fontId="0" fillId="6" borderId="7" xfId="0" applyFill="1" applyBorder="1" applyAlignment="1">
      <alignment horizontal="center" wrapText="1"/>
    </xf>
    <xf numFmtId="44" fontId="8" fillId="4" borderId="0" xfId="2" applyNumberFormat="1" applyFont="1" applyFill="1" applyAlignment="1">
      <alignment horizontal="center"/>
    </xf>
    <xf numFmtId="44" fontId="8" fillId="6" borderId="0" xfId="2" applyFont="1" applyFill="1" applyBorder="1" applyAlignment="1">
      <alignment horizontal="center"/>
    </xf>
    <xf numFmtId="164" fontId="8" fillId="6" borderId="0" xfId="2" applyNumberFormat="1" applyFont="1" applyFill="1" applyBorder="1" applyAlignment="1">
      <alignment horizontal="center"/>
    </xf>
    <xf numFmtId="44" fontId="8" fillId="7" borderId="0" xfId="2" applyFont="1" applyFill="1" applyBorder="1" applyAlignment="1">
      <alignment horizontal="center"/>
    </xf>
    <xf numFmtId="164" fontId="8" fillId="7" borderId="0" xfId="2" applyNumberFormat="1" applyFont="1" applyFill="1" applyBorder="1" applyAlignment="1">
      <alignment horizontal="center"/>
    </xf>
    <xf numFmtId="44" fontId="8" fillId="5" borderId="0" xfId="2" applyNumberFormat="1" applyFont="1" applyFill="1" applyBorder="1" applyAlignment="1">
      <alignment horizontal="center"/>
    </xf>
    <xf numFmtId="164" fontId="8" fillId="5" borderId="0" xfId="2" applyNumberFormat="1" applyFont="1" applyFill="1" applyBorder="1" applyAlignment="1">
      <alignment horizontal="center"/>
    </xf>
    <xf numFmtId="44" fontId="8" fillId="5" borderId="0" xfId="2" applyFont="1" applyFill="1" applyBorder="1" applyAlignment="1">
      <alignment horizontal="center"/>
    </xf>
    <xf numFmtId="44" fontId="8" fillId="4" borderId="0" xfId="2" applyFont="1" applyFill="1" applyBorder="1" applyAlignment="1">
      <alignment horizontal="center"/>
    </xf>
    <xf numFmtId="164" fontId="8" fillId="4" borderId="0" xfId="2" applyNumberFormat="1" applyFont="1" applyFill="1" applyBorder="1" applyAlignment="1">
      <alignment horizontal="center"/>
    </xf>
    <xf numFmtId="0" fontId="0" fillId="0" borderId="10" xfId="0" applyBorder="1"/>
    <xf numFmtId="44" fontId="8" fillId="6" borderId="10" xfId="2" applyFont="1" applyFill="1" applyBorder="1" applyAlignment="1">
      <alignment horizontal="center"/>
    </xf>
    <xf numFmtId="164" fontId="8" fillId="6" borderId="10" xfId="2" applyNumberFormat="1" applyFont="1" applyFill="1" applyBorder="1" applyAlignment="1">
      <alignment horizontal="center"/>
    </xf>
    <xf numFmtId="44" fontId="8" fillId="7" borderId="10" xfId="2" applyFont="1" applyFill="1" applyBorder="1" applyAlignment="1">
      <alignment horizontal="center"/>
    </xf>
    <xf numFmtId="164" fontId="8" fillId="7" borderId="10" xfId="2" applyNumberFormat="1" applyFont="1" applyFill="1" applyBorder="1" applyAlignment="1">
      <alignment horizontal="center"/>
    </xf>
    <xf numFmtId="44" fontId="8" fillId="5" borderId="10" xfId="2" applyNumberFormat="1" applyFont="1" applyFill="1" applyBorder="1" applyAlignment="1">
      <alignment horizontal="center"/>
    </xf>
    <xf numFmtId="164" fontId="8" fillId="5" borderId="10" xfId="2" applyNumberFormat="1" applyFont="1" applyFill="1" applyBorder="1" applyAlignment="1">
      <alignment horizontal="center"/>
    </xf>
    <xf numFmtId="44" fontId="8" fillId="5" borderId="10" xfId="2" applyFont="1" applyFill="1" applyBorder="1" applyAlignment="1">
      <alignment horizontal="center"/>
    </xf>
    <xf numFmtId="44" fontId="8" fillId="4" borderId="10" xfId="2" applyFont="1" applyFill="1" applyBorder="1" applyAlignment="1">
      <alignment horizontal="center"/>
    </xf>
    <xf numFmtId="164" fontId="8" fillId="4" borderId="10" xfId="2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64" fontId="0" fillId="0" borderId="0" xfId="2" applyNumberFormat="1" applyFont="1" applyFill="1" applyAlignment="1">
      <alignment horizontal="center"/>
    </xf>
    <xf numFmtId="3" fontId="0" fillId="0" borderId="0" xfId="0" applyNumberFormat="1" applyFill="1" applyAlignment="1">
      <alignment horizontal="center"/>
    </xf>
    <xf numFmtId="0" fontId="3" fillId="8" borderId="0" xfId="0" applyFont="1" applyFill="1" applyAlignment="1">
      <alignment vertical="center"/>
    </xf>
    <xf numFmtId="0" fontId="4" fillId="8" borderId="0" xfId="0" applyFont="1" applyFill="1"/>
    <xf numFmtId="0" fontId="5" fillId="8" borderId="0" xfId="0" applyFont="1" applyFill="1" applyBorder="1" applyAlignment="1">
      <alignment horizontal="center"/>
    </xf>
    <xf numFmtId="0" fontId="6" fillId="8" borderId="0" xfId="0" applyFont="1" applyFill="1" applyBorder="1"/>
    <xf numFmtId="0" fontId="6" fillId="8" borderId="6" xfId="0" applyFont="1" applyFill="1" applyBorder="1"/>
    <xf numFmtId="0" fontId="5" fillId="8" borderId="6" xfId="0" applyFont="1" applyFill="1" applyBorder="1" applyAlignment="1">
      <alignment horizontal="center"/>
    </xf>
    <xf numFmtId="3" fontId="5" fillId="8" borderId="6" xfId="0" applyNumberFormat="1" applyFont="1" applyFill="1" applyBorder="1" applyAlignment="1" applyProtection="1">
      <alignment horizontal="right"/>
      <protection locked="0"/>
    </xf>
    <xf numFmtId="3" fontId="5" fillId="8" borderId="0" xfId="0" applyNumberFormat="1" applyFont="1" applyFill="1" applyBorder="1" applyAlignment="1" applyProtection="1">
      <alignment horizontal="right"/>
      <protection locked="0"/>
    </xf>
    <xf numFmtId="167" fontId="5" fillId="8" borderId="0" xfId="0" applyNumberFormat="1" applyFont="1" applyFill="1" applyBorder="1" applyAlignment="1" applyProtection="1">
      <alignment horizontal="right"/>
      <protection locked="0"/>
    </xf>
    <xf numFmtId="166" fontId="5" fillId="8" borderId="0" xfId="0" applyNumberFormat="1" applyFont="1" applyFill="1" applyBorder="1" applyAlignment="1" applyProtection="1">
      <alignment horizontal="right"/>
      <protection locked="0"/>
    </xf>
    <xf numFmtId="165" fontId="5" fillId="8" borderId="0" xfId="0" applyNumberFormat="1" applyFont="1" applyFill="1" applyBorder="1" applyAlignment="1" applyProtection="1">
      <alignment horizontal="right"/>
      <protection locked="0"/>
    </xf>
    <xf numFmtId="0" fontId="6" fillId="8" borderId="7" xfId="0" applyFont="1" applyFill="1" applyBorder="1"/>
    <xf numFmtId="166" fontId="6" fillId="8" borderId="7" xfId="0" applyNumberFormat="1" applyFont="1" applyFill="1" applyBorder="1"/>
    <xf numFmtId="166" fontId="6" fillId="8" borderId="0" xfId="0" applyNumberFormat="1" applyFont="1" applyFill="1" applyBorder="1"/>
    <xf numFmtId="166" fontId="5" fillId="8" borderId="7" xfId="0" applyNumberFormat="1" applyFont="1" applyFill="1" applyBorder="1" applyAlignment="1" applyProtection="1">
      <alignment horizontal="right"/>
      <protection locked="0"/>
    </xf>
    <xf numFmtId="0" fontId="7" fillId="8" borderId="0" xfId="0" applyFont="1" applyFill="1" applyBorder="1" applyAlignment="1">
      <alignment horizontal="center"/>
    </xf>
    <xf numFmtId="0" fontId="0" fillId="8" borderId="0" xfId="0" applyFill="1" applyBorder="1"/>
    <xf numFmtId="0" fontId="4" fillId="8" borderId="20" xfId="0" applyFont="1" applyFill="1" applyBorder="1" applyAlignment="1">
      <alignment horizontal="right"/>
    </xf>
    <xf numFmtId="9" fontId="4" fillId="8" borderId="7" xfId="0" applyNumberFormat="1" applyFont="1" applyFill="1" applyBorder="1" applyAlignment="1">
      <alignment horizontal="center"/>
    </xf>
    <xf numFmtId="3" fontId="4" fillId="8" borderId="7" xfId="0" applyNumberFormat="1" applyFont="1" applyFill="1" applyBorder="1" applyAlignment="1">
      <alignment horizontal="center"/>
    </xf>
    <xf numFmtId="9" fontId="4" fillId="8" borderId="7" xfId="0" quotePrefix="1" applyNumberFormat="1" applyFont="1" applyFill="1" applyBorder="1" applyAlignment="1">
      <alignment horizontal="center"/>
    </xf>
    <xf numFmtId="9" fontId="4" fillId="8" borderId="6" xfId="0" applyNumberFormat="1" applyFont="1" applyFill="1" applyBorder="1" applyAlignment="1">
      <alignment horizontal="center"/>
    </xf>
    <xf numFmtId="3" fontId="4" fillId="8" borderId="6" xfId="0" applyNumberFormat="1" applyFont="1" applyFill="1" applyBorder="1" applyAlignment="1">
      <alignment horizontal="center"/>
    </xf>
    <xf numFmtId="9" fontId="4" fillId="8" borderId="6" xfId="0" quotePrefix="1" applyNumberFormat="1" applyFont="1" applyFill="1" applyBorder="1" applyAlignment="1">
      <alignment horizontal="center"/>
    </xf>
    <xf numFmtId="0" fontId="4" fillId="8" borderId="20" xfId="0" applyFont="1" applyFill="1" applyBorder="1" applyAlignment="1">
      <alignment horizontal="left"/>
    </xf>
    <xf numFmtId="7" fontId="4" fillId="8" borderId="21" xfId="2" applyNumberFormat="1" applyFont="1" applyFill="1" applyBorder="1" applyAlignment="1">
      <alignment horizontal="center"/>
    </xf>
    <xf numFmtId="164" fontId="4" fillId="8" borderId="6" xfId="2" applyNumberFormat="1" applyFont="1" applyFill="1" applyBorder="1"/>
    <xf numFmtId="7" fontId="4" fillId="8" borderId="22" xfId="2" applyNumberFormat="1" applyFont="1" applyFill="1" applyBorder="1" applyAlignment="1">
      <alignment horizontal="center"/>
    </xf>
    <xf numFmtId="164" fontId="4" fillId="8" borderId="0" xfId="2" applyNumberFormat="1" applyFont="1" applyFill="1" applyBorder="1"/>
    <xf numFmtId="7" fontId="4" fillId="8" borderId="23" xfId="2" applyNumberFormat="1" applyFont="1" applyFill="1" applyBorder="1" applyAlignment="1">
      <alignment horizontal="center"/>
    </xf>
    <xf numFmtId="164" fontId="4" fillId="8" borderId="10" xfId="2" applyNumberFormat="1" applyFont="1" applyFill="1" applyBorder="1"/>
    <xf numFmtId="5" fontId="4" fillId="8" borderId="21" xfId="2" applyNumberFormat="1" applyFont="1" applyFill="1" applyBorder="1" applyAlignment="1">
      <alignment horizontal="center"/>
    </xf>
    <xf numFmtId="5" fontId="4" fillId="8" borderId="22" xfId="2" applyNumberFormat="1" applyFont="1" applyFill="1" applyBorder="1" applyAlignment="1">
      <alignment horizontal="center"/>
    </xf>
    <xf numFmtId="5" fontId="4" fillId="8" borderId="23" xfId="2" applyNumberFormat="1" applyFont="1" applyFill="1" applyBorder="1" applyAlignment="1">
      <alignment horizontal="center"/>
    </xf>
    <xf numFmtId="0" fontId="5" fillId="8" borderId="0" xfId="0" applyFont="1" applyFill="1" applyBorder="1" applyAlignment="1"/>
    <xf numFmtId="0" fontId="11" fillId="8" borderId="0" xfId="0" applyFont="1" applyFill="1" applyAlignment="1"/>
    <xf numFmtId="0" fontId="12" fillId="8" borderId="0" xfId="0" applyFont="1" applyFill="1"/>
    <xf numFmtId="0" fontId="12" fillId="0" borderId="0" xfId="0" applyFont="1"/>
    <xf numFmtId="0" fontId="12" fillId="8" borderId="0" xfId="0" applyFont="1" applyFill="1" applyBorder="1" applyAlignment="1"/>
    <xf numFmtId="49" fontId="13" fillId="3" borderId="7" xfId="0" applyNumberFormat="1" applyFont="1" applyFill="1" applyBorder="1" applyAlignment="1"/>
    <xf numFmtId="49" fontId="13" fillId="3" borderId="21" xfId="0" applyNumberFormat="1" applyFont="1" applyFill="1" applyBorder="1" applyAlignment="1"/>
    <xf numFmtId="0" fontId="14" fillId="8" borderId="0" xfId="0" applyFont="1" applyFill="1"/>
    <xf numFmtId="0" fontId="14" fillId="0" borderId="0" xfId="0" applyFont="1"/>
    <xf numFmtId="0" fontId="11" fillId="3" borderId="24" xfId="0" applyFont="1" applyFill="1" applyBorder="1"/>
    <xf numFmtId="0" fontId="13" fillId="8" borderId="16" xfId="0" applyFont="1" applyFill="1" applyBorder="1" applyAlignment="1">
      <alignment horizontal="center"/>
    </xf>
    <xf numFmtId="0" fontId="13" fillId="8" borderId="20" xfId="0" applyFont="1" applyFill="1" applyBorder="1" applyAlignment="1">
      <alignment horizontal="center"/>
    </xf>
    <xf numFmtId="0" fontId="12" fillId="8" borderId="17" xfId="0" applyFont="1" applyFill="1" applyBorder="1"/>
    <xf numFmtId="0" fontId="13" fillId="8" borderId="13" xfId="0" applyFont="1" applyFill="1" applyBorder="1" applyAlignment="1">
      <alignment horizontal="center"/>
    </xf>
    <xf numFmtId="0" fontId="13" fillId="8" borderId="0" xfId="0" applyFont="1" applyFill="1" applyBorder="1" applyAlignment="1">
      <alignment horizontal="center"/>
    </xf>
    <xf numFmtId="0" fontId="11" fillId="8" borderId="17" xfId="0" applyFont="1" applyFill="1" applyBorder="1"/>
    <xf numFmtId="0" fontId="11" fillId="8" borderId="19" xfId="0" applyFont="1" applyFill="1" applyBorder="1"/>
    <xf numFmtId="0" fontId="11" fillId="8" borderId="2" xfId="0" applyFont="1" applyFill="1" applyBorder="1"/>
    <xf numFmtId="0" fontId="11" fillId="8" borderId="1" xfId="0" applyFont="1" applyFill="1" applyBorder="1"/>
    <xf numFmtId="0" fontId="14" fillId="8" borderId="8" xfId="0" applyFont="1" applyFill="1" applyBorder="1" applyAlignment="1">
      <alignment horizontal="right"/>
    </xf>
    <xf numFmtId="0" fontId="14" fillId="8" borderId="7" xfId="0" applyFont="1" applyFill="1" applyBorder="1" applyAlignment="1">
      <alignment horizontal="right"/>
    </xf>
    <xf numFmtId="0" fontId="14" fillId="8" borderId="16" xfId="0" applyFont="1" applyFill="1" applyBorder="1" applyAlignment="1">
      <alignment horizontal="right"/>
    </xf>
    <xf numFmtId="0" fontId="14" fillId="8" borderId="20" xfId="0" applyFont="1" applyFill="1" applyBorder="1" applyAlignment="1">
      <alignment horizontal="right"/>
    </xf>
    <xf numFmtId="1" fontId="14" fillId="8" borderId="0" xfId="0" applyNumberFormat="1" applyFont="1" applyFill="1" applyBorder="1" applyAlignment="1" applyProtection="1">
      <alignment horizontal="right"/>
      <protection locked="0"/>
    </xf>
    <xf numFmtId="1" fontId="14" fillId="8" borderId="15" xfId="0" applyNumberFormat="1" applyFont="1" applyFill="1" applyBorder="1" applyAlignment="1" applyProtection="1">
      <alignment horizontal="right"/>
      <protection locked="0"/>
    </xf>
    <xf numFmtId="1" fontId="14" fillId="8" borderId="22" xfId="0" applyNumberFormat="1" applyFont="1" applyFill="1" applyBorder="1" applyAlignment="1" applyProtection="1">
      <alignment horizontal="right"/>
      <protection locked="0"/>
    </xf>
    <xf numFmtId="1" fontId="14" fillId="8" borderId="13" xfId="0" applyNumberFormat="1" applyFont="1" applyFill="1" applyBorder="1" applyAlignment="1" applyProtection="1">
      <alignment horizontal="right"/>
      <protection locked="0"/>
    </xf>
    <xf numFmtId="1" fontId="14" fillId="8" borderId="0" xfId="0" applyNumberFormat="1" applyFont="1" applyFill="1" applyBorder="1" applyAlignment="1">
      <alignment horizontal="right"/>
    </xf>
    <xf numFmtId="1" fontId="14" fillId="8" borderId="15" xfId="0" applyNumberFormat="1" applyFont="1" applyFill="1" applyBorder="1" applyAlignment="1">
      <alignment horizontal="right"/>
    </xf>
    <xf numFmtId="1" fontId="14" fillId="8" borderId="22" xfId="0" applyNumberFormat="1" applyFont="1" applyFill="1" applyBorder="1" applyAlignment="1">
      <alignment horizontal="right"/>
    </xf>
    <xf numFmtId="1" fontId="14" fillId="8" borderId="13" xfId="0" applyNumberFormat="1" applyFont="1" applyFill="1" applyBorder="1" applyAlignment="1">
      <alignment horizontal="right"/>
    </xf>
    <xf numFmtId="1" fontId="14" fillId="8" borderId="23" xfId="0" applyNumberFormat="1" applyFont="1" applyFill="1" applyBorder="1" applyAlignment="1">
      <alignment horizontal="right"/>
    </xf>
    <xf numFmtId="0" fontId="11" fillId="8" borderId="18" xfId="0" applyFont="1" applyFill="1" applyBorder="1"/>
    <xf numFmtId="166" fontId="15" fillId="3" borderId="4" xfId="0" applyNumberFormat="1" applyFont="1" applyFill="1" applyBorder="1"/>
    <xf numFmtId="0" fontId="11" fillId="2" borderId="1" xfId="0" applyFont="1" applyFill="1" applyBorder="1"/>
    <xf numFmtId="165" fontId="13" fillId="2" borderId="8" xfId="2" applyNumberFormat="1" applyFont="1" applyFill="1" applyBorder="1" applyAlignment="1">
      <alignment horizontal="right"/>
    </xf>
    <xf numFmtId="165" fontId="15" fillId="2" borderId="7" xfId="2" applyNumberFormat="1" applyFont="1" applyFill="1" applyBorder="1" applyAlignment="1">
      <alignment horizontal="left"/>
    </xf>
    <xf numFmtId="165" fontId="13" fillId="2" borderId="7" xfId="2" applyNumberFormat="1" applyFont="1" applyFill="1" applyBorder="1" applyAlignment="1">
      <alignment horizontal="right"/>
    </xf>
    <xf numFmtId="165" fontId="15" fillId="2" borderId="16" xfId="2" applyNumberFormat="1" applyFont="1" applyFill="1" applyBorder="1" applyAlignment="1">
      <alignment horizontal="left"/>
    </xf>
    <xf numFmtId="165" fontId="15" fillId="2" borderId="20" xfId="2" applyNumberFormat="1" applyFont="1" applyFill="1" applyBorder="1" applyAlignment="1">
      <alignment horizontal="left"/>
    </xf>
    <xf numFmtId="0" fontId="15" fillId="8" borderId="1" xfId="0" applyFont="1" applyFill="1" applyBorder="1"/>
    <xf numFmtId="0" fontId="16" fillId="8" borderId="17" xfId="0" applyFont="1" applyFill="1" applyBorder="1"/>
    <xf numFmtId="6" fontId="14" fillId="8" borderId="13" xfId="0" applyNumberFormat="1" applyFont="1" applyFill="1" applyBorder="1" applyAlignment="1">
      <alignment horizontal="right"/>
    </xf>
    <xf numFmtId="6" fontId="14" fillId="8" borderId="0" xfId="0" applyNumberFormat="1" applyFont="1" applyFill="1" applyBorder="1" applyAlignment="1">
      <alignment horizontal="right"/>
    </xf>
    <xf numFmtId="6" fontId="14" fillId="8" borderId="15" xfId="0" applyNumberFormat="1" applyFont="1" applyFill="1" applyBorder="1" applyAlignment="1">
      <alignment horizontal="right"/>
    </xf>
    <xf numFmtId="6" fontId="14" fillId="8" borderId="20" xfId="0" applyNumberFormat="1" applyFont="1" applyFill="1" applyBorder="1" applyAlignment="1">
      <alignment horizontal="right"/>
    </xf>
    <xf numFmtId="0" fontId="15" fillId="8" borderId="18" xfId="0" applyFont="1" applyFill="1" applyBorder="1"/>
    <xf numFmtId="165" fontId="11" fillId="3" borderId="3" xfId="0" applyNumberFormat="1" applyFont="1" applyFill="1" applyBorder="1"/>
    <xf numFmtId="165" fontId="14" fillId="8" borderId="13" xfId="0" applyNumberFormat="1" applyFont="1" applyFill="1" applyBorder="1" applyAlignment="1">
      <alignment horizontal="right"/>
    </xf>
    <xf numFmtId="165" fontId="14" fillId="8" borderId="0" xfId="0" applyNumberFormat="1" applyFont="1" applyFill="1" applyBorder="1" applyAlignment="1">
      <alignment horizontal="right"/>
    </xf>
    <xf numFmtId="165" fontId="14" fillId="8" borderId="15" xfId="0" applyNumberFormat="1" applyFont="1" applyFill="1" applyBorder="1" applyAlignment="1">
      <alignment horizontal="right"/>
    </xf>
    <xf numFmtId="165" fontId="14" fillId="8" borderId="22" xfId="0" applyNumberFormat="1" applyFont="1" applyFill="1" applyBorder="1" applyAlignment="1">
      <alignment horizontal="right"/>
    </xf>
    <xf numFmtId="165" fontId="13" fillId="2" borderId="5" xfId="2" applyNumberFormat="1" applyFont="1" applyFill="1" applyBorder="1" applyAlignment="1">
      <alignment horizontal="right"/>
    </xf>
    <xf numFmtId="165" fontId="15" fillId="2" borderId="6" xfId="2" applyNumberFormat="1" applyFont="1" applyFill="1" applyBorder="1" applyAlignment="1">
      <alignment horizontal="left"/>
    </xf>
    <xf numFmtId="165" fontId="13" fillId="2" borderId="6" xfId="2" applyNumberFormat="1" applyFont="1" applyFill="1" applyBorder="1" applyAlignment="1">
      <alignment horizontal="right"/>
    </xf>
    <xf numFmtId="0" fontId="11" fillId="2" borderId="2" xfId="0" applyFont="1" applyFill="1" applyBorder="1"/>
    <xf numFmtId="3" fontId="13" fillId="2" borderId="8" xfId="0" applyNumberFormat="1" applyFont="1" applyFill="1" applyBorder="1" applyAlignment="1">
      <alignment horizontal="right"/>
    </xf>
    <xf numFmtId="3" fontId="15" fillId="2" borderId="7" xfId="0" applyNumberFormat="1" applyFont="1" applyFill="1" applyBorder="1" applyAlignment="1">
      <alignment horizontal="left"/>
    </xf>
    <xf numFmtId="1" fontId="13" fillId="2" borderId="7" xfId="0" applyNumberFormat="1" applyFont="1" applyFill="1" applyBorder="1" applyAlignment="1">
      <alignment horizontal="right"/>
    </xf>
    <xf numFmtId="0" fontId="12" fillId="8" borderId="6" xfId="0" applyFont="1" applyFill="1" applyBorder="1" applyAlignment="1">
      <alignment horizontal="left"/>
    </xf>
    <xf numFmtId="0" fontId="12" fillId="8" borderId="6" xfId="0" applyFont="1" applyFill="1" applyBorder="1" applyAlignment="1"/>
    <xf numFmtId="0" fontId="12" fillId="0" borderId="0" xfId="0" applyFont="1" applyFill="1"/>
    <xf numFmtId="0" fontId="11" fillId="8" borderId="0" xfId="0" applyFont="1" applyFill="1" applyBorder="1" applyAlignment="1">
      <alignment horizontal="left"/>
    </xf>
    <xf numFmtId="0" fontId="11" fillId="8" borderId="0" xfId="0" applyFont="1" applyFill="1" applyBorder="1" applyAlignment="1">
      <alignment horizontal="right"/>
    </xf>
    <xf numFmtId="0" fontId="12" fillId="8" borderId="0" xfId="0" applyFont="1" applyFill="1" applyAlignment="1">
      <alignment horizontal="left"/>
    </xf>
    <xf numFmtId="0" fontId="12" fillId="8" borderId="0" xfId="0" applyFont="1" applyFill="1" applyAlignment="1"/>
    <xf numFmtId="8" fontId="11" fillId="8" borderId="0" xfId="0" applyNumberFormat="1" applyFont="1" applyFill="1" applyAlignment="1" applyProtection="1">
      <protection locked="0"/>
    </xf>
    <xf numFmtId="0" fontId="13" fillId="8" borderId="0" xfId="0" applyFont="1" applyFill="1" applyAlignment="1"/>
    <xf numFmtId="0" fontId="14" fillId="8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166" fontId="11" fillId="3" borderId="4" xfId="0" applyNumberFormat="1" applyFont="1" applyFill="1" applyBorder="1"/>
    <xf numFmtId="166" fontId="14" fillId="8" borderId="0" xfId="0" applyNumberFormat="1" applyFont="1" applyFill="1"/>
    <xf numFmtId="166" fontId="14" fillId="0" borderId="0" xfId="0" applyNumberFormat="1" applyFont="1"/>
    <xf numFmtId="165" fontId="14" fillId="8" borderId="0" xfId="0" applyNumberFormat="1" applyFont="1" applyFill="1"/>
    <xf numFmtId="165" fontId="14" fillId="0" borderId="0" xfId="0" applyNumberFormat="1" applyFont="1"/>
    <xf numFmtId="165" fontId="13" fillId="2" borderId="5" xfId="2" applyNumberFormat="1" applyFont="1" applyFill="1" applyBorder="1" applyAlignment="1"/>
    <xf numFmtId="165" fontId="11" fillId="8" borderId="6" xfId="0" applyNumberFormat="1" applyFont="1" applyFill="1" applyBorder="1" applyAlignment="1" applyProtection="1">
      <protection locked="0"/>
    </xf>
    <xf numFmtId="0" fontId="11" fillId="8" borderId="6" xfId="0" applyFont="1" applyFill="1" applyBorder="1" applyAlignment="1">
      <alignment horizontal="right"/>
    </xf>
    <xf numFmtId="0" fontId="12" fillId="8" borderId="0" xfId="0" applyFont="1" applyFill="1" applyBorder="1"/>
    <xf numFmtId="0" fontId="14" fillId="8" borderId="0" xfId="0" applyFont="1" applyFill="1" applyBorder="1" applyAlignment="1"/>
    <xf numFmtId="0" fontId="14" fillId="8" borderId="0" xfId="0" applyFont="1" applyFill="1" applyAlignment="1"/>
    <xf numFmtId="0" fontId="14" fillId="8" borderId="0" xfId="0" applyFont="1" applyFill="1" applyAlignment="1">
      <alignment horizontal="left"/>
    </xf>
    <xf numFmtId="0" fontId="11" fillId="5" borderId="24" xfId="0" applyFont="1" applyFill="1" applyBorder="1" applyAlignment="1">
      <alignment horizontal="left"/>
    </xf>
    <xf numFmtId="0" fontId="12" fillId="8" borderId="17" xfId="0" applyFont="1" applyFill="1" applyBorder="1" applyAlignment="1">
      <alignment horizontal="center"/>
    </xf>
    <xf numFmtId="0" fontId="14" fillId="0" borderId="0" xfId="0" applyFont="1" applyFill="1"/>
    <xf numFmtId="0" fontId="13" fillId="8" borderId="13" xfId="0" applyFont="1" applyFill="1" applyBorder="1" applyAlignment="1">
      <alignment horizontal="center" vertical="center"/>
    </xf>
    <xf numFmtId="0" fontId="19" fillId="6" borderId="9" xfId="3" applyFont="1" applyFill="1" applyBorder="1" applyAlignment="1">
      <alignment horizontal="center" vertical="center" wrapText="1"/>
    </xf>
    <xf numFmtId="0" fontId="13" fillId="8" borderId="0" xfId="0" applyFont="1" applyFill="1" applyBorder="1" applyAlignment="1">
      <alignment horizontal="center" vertical="center"/>
    </xf>
    <xf numFmtId="0" fontId="19" fillId="7" borderId="9" xfId="3" applyFont="1" applyFill="1" applyBorder="1" applyAlignment="1">
      <alignment horizontal="center" vertical="center" wrapText="1"/>
    </xf>
    <xf numFmtId="0" fontId="19" fillId="5" borderId="9" xfId="3" applyFont="1" applyFill="1" applyBorder="1" applyAlignment="1">
      <alignment horizontal="center" vertical="center" wrapText="1"/>
    </xf>
    <xf numFmtId="0" fontId="19" fillId="4" borderId="9" xfId="3" applyFont="1" applyFill="1" applyBorder="1" applyAlignment="1">
      <alignment horizontal="center" vertical="center" wrapText="1"/>
    </xf>
    <xf numFmtId="0" fontId="13" fillId="8" borderId="15" xfId="0" applyFont="1" applyFill="1" applyBorder="1" applyAlignment="1">
      <alignment horizontal="center" vertical="center"/>
    </xf>
    <xf numFmtId="0" fontId="13" fillId="8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8" borderId="13" xfId="0" applyFont="1" applyFill="1" applyBorder="1" applyAlignment="1">
      <alignment horizontal="center" vertical="center"/>
    </xf>
    <xf numFmtId="0" fontId="14" fillId="8" borderId="15" xfId="0" applyFont="1" applyFill="1" applyBorder="1" applyAlignment="1">
      <alignment horizontal="center" vertical="center"/>
    </xf>
    <xf numFmtId="0" fontId="14" fillId="8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8" borderId="14" xfId="0" applyFont="1" applyFill="1" applyBorder="1"/>
    <xf numFmtId="0" fontId="13" fillId="8" borderId="11" xfId="0" applyFont="1" applyFill="1" applyBorder="1"/>
    <xf numFmtId="0" fontId="14" fillId="8" borderId="12" xfId="0" applyFont="1" applyFill="1" applyBorder="1"/>
    <xf numFmtId="0" fontId="13" fillId="8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" fillId="8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3" fontId="1" fillId="8" borderId="0" xfId="0" applyNumberFormat="1" applyFont="1" applyFill="1" applyAlignment="1">
      <alignment vertical="center"/>
    </xf>
    <xf numFmtId="9" fontId="1" fillId="8" borderId="0" xfId="4" applyFont="1" applyFill="1" applyAlignment="1">
      <alignment vertical="center"/>
    </xf>
    <xf numFmtId="3" fontId="1" fillId="8" borderId="0" xfId="4" applyNumberFormat="1" applyFont="1" applyFill="1" applyAlignment="1">
      <alignment vertical="center"/>
    </xf>
    <xf numFmtId="168" fontId="1" fillId="8" borderId="0" xfId="1" applyNumberFormat="1" applyFont="1" applyFill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3" fontId="3" fillId="9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 horizontal="center" vertical="center" wrapText="1"/>
    </xf>
    <xf numFmtId="3" fontId="3" fillId="9" borderId="0" xfId="1" applyNumberFormat="1" applyFont="1" applyFill="1" applyBorder="1" applyAlignment="1" applyProtection="1">
      <alignment horizontal="center" vertical="center" wrapText="1"/>
      <protection locked="0"/>
    </xf>
    <xf numFmtId="166" fontId="3" fillId="9" borderId="0" xfId="2" applyNumberFormat="1" applyFont="1" applyFill="1" applyBorder="1" applyAlignment="1" applyProtection="1">
      <alignment horizontal="center" vertical="center" wrapText="1"/>
      <protection locked="0"/>
    </xf>
    <xf numFmtId="3" fontId="3" fillId="9" borderId="26" xfId="1" applyNumberFormat="1" applyFont="1" applyFill="1" applyBorder="1" applyAlignment="1" applyProtection="1">
      <alignment horizontal="center" vertical="center" wrapText="1"/>
      <protection locked="0"/>
    </xf>
    <xf numFmtId="166" fontId="3" fillId="9" borderId="26" xfId="2" applyNumberFormat="1" applyFont="1" applyFill="1" applyBorder="1" applyAlignment="1" applyProtection="1">
      <alignment horizontal="center" vertical="center" wrapText="1"/>
      <protection locked="0"/>
    </xf>
    <xf numFmtId="3" fontId="3" fillId="9" borderId="10" xfId="1" applyNumberFormat="1" applyFont="1" applyFill="1" applyBorder="1" applyAlignment="1" applyProtection="1">
      <alignment horizontal="center" vertical="center" wrapText="1"/>
      <protection locked="0"/>
    </xf>
    <xf numFmtId="166" fontId="3" fillId="9" borderId="10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7" xfId="0" applyNumberFormat="1" applyFont="1" applyBorder="1" applyAlignment="1">
      <alignment horizontal="center" vertical="center" wrapText="1"/>
    </xf>
    <xf numFmtId="166" fontId="1" fillId="0" borderId="7" xfId="0" applyNumberFormat="1" applyFont="1" applyBorder="1" applyAlignment="1">
      <alignment horizontal="center" vertical="center" wrapText="1"/>
    </xf>
    <xf numFmtId="3" fontId="1" fillId="0" borderId="0" xfId="1" applyNumberFormat="1" applyFont="1" applyAlignment="1" applyProtection="1">
      <alignment horizontal="center" vertical="center"/>
    </xf>
    <xf numFmtId="166" fontId="3" fillId="9" borderId="0" xfId="0" applyNumberFormat="1" applyFont="1" applyFill="1" applyAlignment="1" applyProtection="1">
      <alignment horizontal="center" vertical="center" wrapText="1"/>
      <protection locked="0"/>
    </xf>
    <xf numFmtId="0" fontId="1" fillId="8" borderId="7" xfId="0" applyFont="1" applyFill="1" applyBorder="1" applyAlignment="1">
      <alignment horizontal="center" vertical="center" wrapText="1"/>
    </xf>
    <xf numFmtId="166" fontId="1" fillId="8" borderId="7" xfId="2" applyNumberFormat="1" applyFont="1" applyFill="1" applyBorder="1" applyAlignment="1">
      <alignment horizontal="center" vertical="center"/>
    </xf>
    <xf numFmtId="0" fontId="3" fillId="8" borderId="0" xfId="0" applyFont="1" applyFill="1" applyBorder="1" applyAlignment="1">
      <alignment horizontal="center" vertical="center" wrapText="1"/>
    </xf>
    <xf numFmtId="166" fontId="3" fillId="8" borderId="0" xfId="2" applyNumberFormat="1" applyFont="1" applyFill="1" applyBorder="1" applyAlignment="1">
      <alignment horizontal="center" vertical="center"/>
    </xf>
    <xf numFmtId="3" fontId="3" fillId="5" borderId="10" xfId="0" applyNumberFormat="1" applyFont="1" applyFill="1" applyBorder="1" applyAlignment="1" applyProtection="1">
      <alignment horizontal="center" vertical="center"/>
      <protection locked="0"/>
    </xf>
    <xf numFmtId="3" fontId="3" fillId="5" borderId="0" xfId="1" applyNumberFormat="1" applyFont="1" applyFill="1" applyBorder="1" applyAlignment="1" applyProtection="1">
      <alignment horizontal="center" vertical="center" wrapText="1"/>
      <protection locked="0"/>
    </xf>
    <xf numFmtId="166" fontId="3" fillId="5" borderId="0" xfId="2" applyNumberFormat="1" applyFont="1" applyFill="1" applyBorder="1" applyAlignment="1" applyProtection="1">
      <alignment horizontal="center" vertical="center" wrapText="1"/>
      <protection locked="0"/>
    </xf>
    <xf numFmtId="3" fontId="3" fillId="5" borderId="26" xfId="1" applyNumberFormat="1" applyFont="1" applyFill="1" applyBorder="1" applyAlignment="1" applyProtection="1">
      <alignment horizontal="center" vertical="center" wrapText="1"/>
      <protection locked="0"/>
    </xf>
    <xf numFmtId="166" fontId="3" fillId="5" borderId="26" xfId="2" applyNumberFormat="1" applyFont="1" applyFill="1" applyBorder="1" applyAlignment="1" applyProtection="1">
      <alignment horizontal="center" vertical="center" wrapText="1"/>
      <protection locked="0"/>
    </xf>
    <xf numFmtId="3" fontId="3" fillId="5" borderId="10" xfId="1" applyNumberFormat="1" applyFont="1" applyFill="1" applyBorder="1" applyAlignment="1" applyProtection="1">
      <alignment horizontal="center" vertical="center" wrapText="1"/>
      <protection locked="0"/>
    </xf>
    <xf numFmtId="166" fontId="3" fillId="5" borderId="10" xfId="0" applyNumberFormat="1" applyFont="1" applyFill="1" applyBorder="1" applyAlignment="1" applyProtection="1">
      <alignment horizontal="center" vertical="center" wrapText="1"/>
      <protection locked="0"/>
    </xf>
    <xf numFmtId="166" fontId="3" fillId="5" borderId="0" xfId="0" applyNumberFormat="1" applyFont="1" applyFill="1" applyAlignment="1" applyProtection="1">
      <alignment horizontal="center" vertical="center" wrapText="1"/>
      <protection locked="0"/>
    </xf>
    <xf numFmtId="0" fontId="14" fillId="8" borderId="0" xfId="0" applyFont="1" applyFill="1" applyAlignment="1">
      <alignment horizontal="right"/>
    </xf>
    <xf numFmtId="49" fontId="11" fillId="3" borderId="25" xfId="0" quotePrefix="1" applyNumberFormat="1" applyFont="1" applyFill="1" applyBorder="1" applyAlignment="1"/>
    <xf numFmtId="1" fontId="14" fillId="8" borderId="13" xfId="0" applyNumberFormat="1" applyFont="1" applyFill="1" applyBorder="1" applyAlignment="1" applyProtection="1">
      <alignment horizontal="center"/>
      <protection locked="0"/>
    </xf>
    <xf numFmtId="1" fontId="14" fillId="8" borderId="0" xfId="0" applyNumberFormat="1" applyFont="1" applyFill="1" applyBorder="1" applyAlignment="1" applyProtection="1">
      <alignment horizontal="center"/>
      <protection locked="0"/>
    </xf>
    <xf numFmtId="165" fontId="11" fillId="8" borderId="6" xfId="0" applyNumberFormat="1" applyFont="1" applyFill="1" applyBorder="1" applyAlignment="1" applyProtection="1">
      <alignment horizontal="left"/>
      <protection locked="0"/>
    </xf>
    <xf numFmtId="0" fontId="13" fillId="8" borderId="6" xfId="0" applyFont="1" applyFill="1" applyBorder="1" applyAlignment="1">
      <alignment horizontal="center"/>
    </xf>
    <xf numFmtId="165" fontId="11" fillId="8" borderId="0" xfId="0" applyNumberFormat="1" applyFont="1" applyFill="1" applyBorder="1" applyAlignment="1" applyProtection="1">
      <alignment horizontal="left"/>
      <protection locked="0"/>
    </xf>
    <xf numFmtId="0" fontId="11" fillId="8" borderId="0" xfId="0" applyFont="1" applyFill="1"/>
    <xf numFmtId="165" fontId="15" fillId="2" borderId="60" xfId="2" applyNumberFormat="1" applyFont="1" applyFill="1" applyBorder="1" applyAlignment="1">
      <alignment horizontal="left"/>
    </xf>
    <xf numFmtId="166" fontId="13" fillId="2" borderId="59" xfId="2" applyNumberFormat="1" applyFont="1" applyFill="1" applyBorder="1" applyAlignment="1">
      <alignment horizontal="right"/>
    </xf>
    <xf numFmtId="165" fontId="13" fillId="2" borderId="59" xfId="2" applyNumberFormat="1" applyFont="1" applyFill="1" applyBorder="1" applyAlignment="1">
      <alignment horizontal="right"/>
    </xf>
    <xf numFmtId="3" fontId="15" fillId="2" borderId="60" xfId="0" applyNumberFormat="1" applyFont="1" applyFill="1" applyBorder="1" applyAlignment="1">
      <alignment horizontal="left"/>
    </xf>
    <xf numFmtId="166" fontId="13" fillId="2" borderId="61" xfId="2" applyNumberFormat="1" applyFont="1" applyFill="1" applyBorder="1" applyAlignment="1">
      <alignment horizontal="right"/>
    </xf>
    <xf numFmtId="165" fontId="13" fillId="2" borderId="61" xfId="2" applyNumberFormat="1" applyFont="1" applyFill="1" applyBorder="1" applyAlignment="1">
      <alignment horizontal="right"/>
    </xf>
    <xf numFmtId="165" fontId="15" fillId="2" borderId="63" xfId="2" applyNumberFormat="1" applyFont="1" applyFill="1" applyBorder="1" applyAlignment="1">
      <alignment horizontal="left"/>
    </xf>
    <xf numFmtId="3" fontId="13" fillId="2" borderId="59" xfId="0" applyNumberFormat="1" applyFont="1" applyFill="1" applyBorder="1" applyAlignment="1">
      <alignment horizontal="right"/>
    </xf>
    <xf numFmtId="1" fontId="13" fillId="2" borderId="59" xfId="0" applyNumberFormat="1" applyFont="1" applyFill="1" applyBorder="1" applyAlignment="1">
      <alignment horizontal="right"/>
    </xf>
    <xf numFmtId="165" fontId="11" fillId="8" borderId="0" xfId="0" applyNumberFormat="1" applyFont="1" applyFill="1" applyBorder="1" applyAlignment="1" applyProtection="1">
      <protection locked="0"/>
    </xf>
    <xf numFmtId="0" fontId="13" fillId="8" borderId="63" xfId="0" applyFont="1" applyFill="1" applyBorder="1" applyAlignment="1">
      <alignment horizontal="center"/>
    </xf>
    <xf numFmtId="0" fontId="14" fillId="8" borderId="59" xfId="0" applyFont="1" applyFill="1" applyBorder="1" applyAlignment="1">
      <alignment horizontal="right"/>
    </xf>
    <xf numFmtId="0" fontId="14" fillId="8" borderId="60" xfId="0" applyFont="1" applyFill="1" applyBorder="1" applyAlignment="1">
      <alignment horizontal="right"/>
    </xf>
    <xf numFmtId="1" fontId="14" fillId="8" borderId="57" xfId="0" applyNumberFormat="1" applyFont="1" applyFill="1" applyBorder="1" applyAlignment="1" applyProtection="1">
      <alignment horizontal="right"/>
      <protection locked="0"/>
    </xf>
    <xf numFmtId="1" fontId="14" fillId="8" borderId="58" xfId="0" applyNumberFormat="1" applyFont="1" applyFill="1" applyBorder="1" applyAlignment="1" applyProtection="1">
      <alignment horizontal="right"/>
      <protection locked="0"/>
    </xf>
    <xf numFmtId="1" fontId="14" fillId="8" borderId="57" xfId="0" applyNumberFormat="1" applyFont="1" applyFill="1" applyBorder="1" applyAlignment="1">
      <alignment horizontal="right"/>
    </xf>
    <xf numFmtId="1" fontId="14" fillId="8" borderId="58" xfId="0" applyNumberFormat="1" applyFont="1" applyFill="1" applyBorder="1" applyAlignment="1">
      <alignment horizontal="right"/>
    </xf>
    <xf numFmtId="6" fontId="14" fillId="8" borderId="57" xfId="0" applyNumberFormat="1" applyFont="1" applyFill="1" applyBorder="1" applyAlignment="1">
      <alignment horizontal="right"/>
    </xf>
    <xf numFmtId="6" fontId="14" fillId="8" borderId="58" xfId="0" applyNumberFormat="1" applyFont="1" applyFill="1" applyBorder="1" applyAlignment="1">
      <alignment horizontal="right"/>
    </xf>
    <xf numFmtId="165" fontId="14" fillId="8" borderId="57" xfId="0" applyNumberFormat="1" applyFont="1" applyFill="1" applyBorder="1" applyAlignment="1">
      <alignment horizontal="right"/>
    </xf>
    <xf numFmtId="165" fontId="14" fillId="8" borderId="58" xfId="0" applyNumberFormat="1" applyFont="1" applyFill="1" applyBorder="1" applyAlignment="1">
      <alignment horizontal="right"/>
    </xf>
    <xf numFmtId="0" fontId="13" fillId="8" borderId="61" xfId="0" applyFont="1" applyFill="1" applyBorder="1" applyAlignment="1">
      <alignment horizontal="center"/>
    </xf>
    <xf numFmtId="166" fontId="13" fillId="2" borderId="59" xfId="2" applyNumberFormat="1" applyFont="1" applyFill="1" applyBorder="1" applyAlignment="1"/>
    <xf numFmtId="0" fontId="11" fillId="7" borderId="1" xfId="0" applyFont="1" applyFill="1" applyBorder="1"/>
    <xf numFmtId="165" fontId="13" fillId="7" borderId="8" xfId="2" applyNumberFormat="1" applyFont="1" applyFill="1" applyBorder="1" applyAlignment="1">
      <alignment horizontal="right"/>
    </xf>
    <xf numFmtId="165" fontId="15" fillId="7" borderId="7" xfId="2" applyNumberFormat="1" applyFont="1" applyFill="1" applyBorder="1" applyAlignment="1">
      <alignment horizontal="left"/>
    </xf>
    <xf numFmtId="166" fontId="13" fillId="7" borderId="59" xfId="2" applyNumberFormat="1" applyFont="1" applyFill="1" applyBorder="1" applyAlignment="1">
      <alignment horizontal="right"/>
    </xf>
    <xf numFmtId="165" fontId="15" fillId="7" borderId="60" xfId="2" applyNumberFormat="1" applyFont="1" applyFill="1" applyBorder="1" applyAlignment="1">
      <alignment horizontal="left"/>
    </xf>
    <xf numFmtId="165" fontId="13" fillId="7" borderId="59" xfId="2" applyNumberFormat="1" applyFont="1" applyFill="1" applyBorder="1" applyAlignment="1">
      <alignment horizontal="right"/>
    </xf>
    <xf numFmtId="165" fontId="13" fillId="7" borderId="7" xfId="2" applyNumberFormat="1" applyFont="1" applyFill="1" applyBorder="1" applyAlignment="1">
      <alignment horizontal="right"/>
    </xf>
    <xf numFmtId="165" fontId="15" fillId="7" borderId="20" xfId="2" applyNumberFormat="1" applyFont="1" applyFill="1" applyBorder="1" applyAlignment="1">
      <alignment horizontal="left"/>
    </xf>
    <xf numFmtId="165" fontId="20" fillId="13" borderId="64" xfId="0" applyNumberFormat="1" applyFont="1" applyFill="1" applyBorder="1" applyAlignment="1" applyProtection="1">
      <alignment horizontal="right"/>
    </xf>
    <xf numFmtId="165" fontId="21" fillId="13" borderId="65" xfId="0" quotePrefix="1" applyNumberFormat="1" applyFont="1" applyFill="1" applyBorder="1" applyAlignment="1" applyProtection="1">
      <alignment horizontal="left"/>
      <protection locked="0"/>
    </xf>
    <xf numFmtId="165" fontId="20" fillId="13" borderId="28" xfId="0" applyNumberFormat="1" applyFont="1" applyFill="1" applyBorder="1" applyAlignment="1" applyProtection="1">
      <alignment horizontal="right"/>
    </xf>
    <xf numFmtId="165" fontId="21" fillId="13" borderId="30" xfId="0" quotePrefix="1" applyNumberFormat="1" applyFont="1" applyFill="1" applyBorder="1" applyAlignment="1" applyProtection="1">
      <alignment horizontal="left"/>
      <protection locked="0"/>
    </xf>
    <xf numFmtId="165" fontId="20" fillId="13" borderId="64" xfId="0" applyNumberFormat="1" applyFont="1" applyFill="1" applyBorder="1" applyAlignment="1" applyProtection="1">
      <alignment horizontal="right"/>
      <protection locked="0"/>
    </xf>
    <xf numFmtId="165" fontId="20" fillId="13" borderId="28" xfId="0" applyNumberFormat="1" applyFont="1" applyFill="1" applyBorder="1" applyAlignment="1" applyProtection="1">
      <alignment horizontal="right"/>
      <protection locked="0"/>
    </xf>
    <xf numFmtId="165" fontId="21" fillId="13" borderId="29" xfId="0" quotePrefix="1" applyNumberFormat="1" applyFont="1" applyFill="1" applyBorder="1" applyAlignment="1" applyProtection="1">
      <alignment horizontal="left"/>
      <protection locked="0"/>
    </xf>
    <xf numFmtId="165" fontId="21" fillId="13" borderId="28" xfId="0" quotePrefix="1" applyNumberFormat="1" applyFont="1" applyFill="1" applyBorder="1" applyAlignment="1" applyProtection="1">
      <alignment horizontal="left"/>
      <protection locked="0"/>
    </xf>
    <xf numFmtId="165" fontId="20" fillId="13" borderId="27" xfId="0" applyNumberFormat="1" applyFont="1" applyFill="1" applyBorder="1" applyAlignment="1" applyProtection="1">
      <protection locked="0"/>
    </xf>
    <xf numFmtId="3" fontId="20" fillId="14" borderId="59" xfId="0" applyNumberFormat="1" applyFont="1" applyFill="1" applyBorder="1" applyAlignment="1" applyProtection="1">
      <alignment horizontal="right"/>
    </xf>
    <xf numFmtId="3" fontId="21" fillId="14" borderId="60" xfId="0" applyNumberFormat="1" applyFont="1" applyFill="1" applyBorder="1" applyAlignment="1" applyProtection="1">
      <alignment horizontal="left"/>
      <protection locked="0"/>
    </xf>
    <xf numFmtId="166" fontId="20" fillId="14" borderId="64" xfId="0" applyNumberFormat="1" applyFont="1" applyFill="1" applyBorder="1" applyAlignment="1" applyProtection="1">
      <alignment horizontal="right"/>
    </xf>
    <xf numFmtId="165" fontId="21" fillId="14" borderId="65" xfId="0" quotePrefix="1" applyNumberFormat="1" applyFont="1" applyFill="1" applyBorder="1" applyAlignment="1" applyProtection="1">
      <alignment horizontal="left"/>
      <protection locked="0"/>
    </xf>
    <xf numFmtId="3" fontId="20" fillId="15" borderId="59" xfId="0" applyNumberFormat="1" applyFont="1" applyFill="1" applyBorder="1" applyAlignment="1" applyProtection="1">
      <alignment horizontal="right"/>
      <protection locked="0"/>
    </xf>
    <xf numFmtId="3" fontId="21" fillId="15" borderId="60" xfId="0" applyNumberFormat="1" applyFont="1" applyFill="1" applyBorder="1" applyAlignment="1" applyProtection="1">
      <alignment horizontal="left"/>
      <protection locked="0"/>
    </xf>
    <xf numFmtId="3" fontId="20" fillId="15" borderId="7" xfId="0" applyNumberFormat="1" applyFont="1" applyFill="1" applyBorder="1" applyAlignment="1" applyProtection="1">
      <alignment horizontal="right"/>
      <protection locked="0"/>
    </xf>
    <xf numFmtId="3" fontId="21" fillId="15" borderId="20" xfId="0" applyNumberFormat="1" applyFont="1" applyFill="1" applyBorder="1" applyAlignment="1" applyProtection="1">
      <alignment horizontal="left"/>
      <protection locked="0"/>
    </xf>
    <xf numFmtId="3" fontId="21" fillId="15" borderId="16" xfId="0" applyNumberFormat="1" applyFont="1" applyFill="1" applyBorder="1" applyAlignment="1" applyProtection="1">
      <alignment horizontal="left"/>
      <protection locked="0"/>
    </xf>
    <xf numFmtId="3" fontId="21" fillId="15" borderId="7" xfId="0" applyNumberFormat="1" applyFont="1" applyFill="1" applyBorder="1" applyAlignment="1" applyProtection="1">
      <alignment horizontal="left"/>
      <protection locked="0"/>
    </xf>
    <xf numFmtId="3" fontId="20" fillId="15" borderId="8" xfId="0" applyNumberFormat="1" applyFont="1" applyFill="1" applyBorder="1" applyAlignment="1" applyProtection="1">
      <protection locked="0"/>
    </xf>
    <xf numFmtId="3" fontId="20" fillId="15" borderId="8" xfId="0" applyNumberFormat="1" applyFont="1" applyFill="1" applyBorder="1" applyAlignment="1" applyProtection="1">
      <alignment horizontal="right"/>
      <protection locked="0"/>
    </xf>
    <xf numFmtId="165" fontId="20" fillId="13" borderId="27" xfId="0" applyNumberFormat="1" applyFont="1" applyFill="1" applyBorder="1" applyAlignment="1" applyProtection="1">
      <alignment horizontal="right"/>
      <protection locked="0"/>
    </xf>
    <xf numFmtId="0" fontId="13" fillId="14" borderId="61" xfId="0" applyFont="1" applyFill="1" applyBorder="1" applyAlignment="1">
      <alignment horizontal="center"/>
    </xf>
    <xf numFmtId="0" fontId="13" fillId="14" borderId="6" xfId="0" applyFont="1" applyFill="1" applyBorder="1" applyAlignment="1">
      <alignment horizontal="center"/>
    </xf>
    <xf numFmtId="3" fontId="21" fillId="14" borderId="7" xfId="0" applyNumberFormat="1" applyFont="1" applyFill="1" applyBorder="1" applyAlignment="1" applyProtection="1">
      <alignment horizontal="left"/>
      <protection locked="0"/>
    </xf>
    <xf numFmtId="165" fontId="21" fillId="14" borderId="28" xfId="0" quotePrefix="1" applyNumberFormat="1" applyFont="1" applyFill="1" applyBorder="1" applyAlignment="1" applyProtection="1">
      <alignment horizontal="left"/>
      <protection locked="0"/>
    </xf>
    <xf numFmtId="0" fontId="20" fillId="14" borderId="61" xfId="0" applyFont="1" applyFill="1" applyBorder="1" applyAlignment="1">
      <alignment horizontal="center"/>
    </xf>
    <xf numFmtId="0" fontId="20" fillId="14" borderId="6" xfId="0" applyFont="1" applyFill="1" applyBorder="1" applyAlignment="1">
      <alignment horizontal="center"/>
    </xf>
    <xf numFmtId="170" fontId="11" fillId="3" borderId="25" xfId="0" quotePrefix="1" applyNumberFormat="1" applyFont="1" applyFill="1" applyBorder="1" applyAlignment="1"/>
    <xf numFmtId="1" fontId="14" fillId="8" borderId="0" xfId="0" applyNumberFormat="1" applyFont="1" applyFill="1" applyBorder="1" applyAlignment="1" applyProtection="1">
      <alignment horizontal="center"/>
      <protection locked="0"/>
    </xf>
    <xf numFmtId="1" fontId="14" fillId="8" borderId="13" xfId="0" applyNumberFormat="1" applyFont="1" applyFill="1" applyBorder="1" applyAlignment="1" applyProtection="1">
      <alignment horizontal="center"/>
      <protection locked="0"/>
    </xf>
    <xf numFmtId="1" fontId="14" fillId="8" borderId="22" xfId="0" applyNumberFormat="1" applyFont="1" applyFill="1" applyBorder="1" applyAlignment="1" applyProtection="1">
      <alignment horizontal="center"/>
      <protection locked="0"/>
    </xf>
    <xf numFmtId="0" fontId="14" fillId="8" borderId="60" xfId="0" applyFont="1" applyFill="1" applyBorder="1" applyAlignment="1">
      <alignment horizontal="center"/>
    </xf>
    <xf numFmtId="0" fontId="14" fillId="8" borderId="59" xfId="0" applyFont="1" applyFill="1" applyBorder="1" applyAlignment="1">
      <alignment horizontal="center"/>
    </xf>
    <xf numFmtId="6" fontId="14" fillId="8" borderId="59" xfId="0" applyNumberFormat="1" applyFont="1" applyFill="1" applyBorder="1" applyAlignment="1">
      <alignment horizontal="center"/>
    </xf>
    <xf numFmtId="6" fontId="14" fillId="8" borderId="60" xfId="0" applyNumberFormat="1" applyFont="1" applyFill="1" applyBorder="1" applyAlignment="1">
      <alignment horizontal="center"/>
    </xf>
    <xf numFmtId="165" fontId="15" fillId="2" borderId="10" xfId="2" applyNumberFormat="1" applyFont="1" applyFill="1" applyBorder="1" applyAlignment="1">
      <alignment horizontal="left"/>
    </xf>
    <xf numFmtId="0" fontId="14" fillId="8" borderId="0" xfId="0" applyFont="1" applyFill="1" applyBorder="1" applyAlignment="1">
      <alignment horizontal="center"/>
    </xf>
    <xf numFmtId="0" fontId="14" fillId="8" borderId="0" xfId="0" applyFont="1" applyFill="1" applyBorder="1"/>
    <xf numFmtId="165" fontId="20" fillId="13" borderId="27" xfId="0" applyNumberFormat="1" applyFont="1" applyFill="1" applyBorder="1" applyAlignment="1" applyProtection="1">
      <alignment horizontal="right"/>
    </xf>
    <xf numFmtId="169" fontId="14" fillId="8" borderId="0" xfId="0" applyNumberFormat="1" applyFont="1" applyFill="1" applyBorder="1"/>
    <xf numFmtId="166" fontId="14" fillId="8" borderId="0" xfId="0" applyNumberFormat="1" applyFont="1" applyFill="1" applyBorder="1"/>
    <xf numFmtId="165" fontId="14" fillId="8" borderId="0" xfId="0" applyNumberFormat="1" applyFont="1" applyFill="1" applyBorder="1"/>
    <xf numFmtId="1" fontId="13" fillId="2" borderId="8" xfId="0" applyNumberFormat="1" applyFont="1" applyFill="1" applyBorder="1" applyAlignment="1">
      <alignment horizontal="right"/>
    </xf>
    <xf numFmtId="0" fontId="14" fillId="8" borderId="10" xfId="0" applyFont="1" applyFill="1" applyBorder="1"/>
    <xf numFmtId="49" fontId="11" fillId="3" borderId="7" xfId="0" quotePrefix="1" applyNumberFormat="1" applyFont="1" applyFill="1" applyBorder="1" applyAlignment="1"/>
    <xf numFmtId="49" fontId="11" fillId="3" borderId="20" xfId="0" quotePrefix="1" applyNumberFormat="1" applyFont="1" applyFill="1" applyBorder="1" applyAlignment="1"/>
    <xf numFmtId="0" fontId="16" fillId="8" borderId="10" xfId="0" applyFont="1" applyFill="1" applyBorder="1" applyAlignment="1"/>
    <xf numFmtId="0" fontId="16" fillId="8" borderId="0" xfId="0" applyFont="1" applyFill="1" applyBorder="1" applyAlignment="1"/>
    <xf numFmtId="0" fontId="16" fillId="8" borderId="0" xfId="0" applyFont="1" applyFill="1"/>
    <xf numFmtId="0" fontId="16" fillId="0" borderId="0" xfId="0" applyFont="1"/>
    <xf numFmtId="165" fontId="14" fillId="8" borderId="66" xfId="0" applyNumberFormat="1" applyFont="1" applyFill="1" applyBorder="1" applyAlignment="1">
      <alignment horizontal="center"/>
    </xf>
    <xf numFmtId="165" fontId="14" fillId="8" borderId="67" xfId="0" applyNumberFormat="1" applyFont="1" applyFill="1" applyBorder="1" applyAlignment="1">
      <alignment horizontal="center"/>
    </xf>
    <xf numFmtId="1" fontId="14" fillId="8" borderId="57" xfId="0" applyNumberFormat="1" applyFont="1" applyFill="1" applyBorder="1" applyAlignment="1" applyProtection="1">
      <alignment horizontal="center"/>
      <protection locked="0"/>
    </xf>
    <xf numFmtId="1" fontId="14" fillId="8" borderId="58" xfId="0" applyNumberFormat="1" applyFont="1" applyFill="1" applyBorder="1" applyAlignment="1" applyProtection="1">
      <alignment horizontal="center"/>
      <protection locked="0"/>
    </xf>
    <xf numFmtId="0" fontId="12" fillId="8" borderId="0" xfId="0" applyFont="1" applyFill="1" applyBorder="1" applyAlignment="1">
      <alignment horizontal="left"/>
    </xf>
    <xf numFmtId="1" fontId="14" fillId="8" borderId="54" xfId="0" applyNumberFormat="1" applyFont="1" applyFill="1" applyBorder="1" applyAlignment="1" applyProtection="1">
      <alignment horizontal="center"/>
      <protection locked="0"/>
    </xf>
    <xf numFmtId="1" fontId="14" fillId="8" borderId="51" xfId="0" applyNumberFormat="1" applyFont="1" applyFill="1" applyBorder="1" applyAlignment="1">
      <alignment horizontal="center"/>
    </xf>
    <xf numFmtId="166" fontId="14" fillId="8" borderId="49" xfId="2" applyNumberFormat="1" applyFont="1" applyFill="1" applyBorder="1" applyAlignment="1">
      <alignment horizontal="center"/>
    </xf>
    <xf numFmtId="6" fontId="14" fillId="8" borderId="49" xfId="0" applyNumberFormat="1" applyFont="1" applyFill="1" applyBorder="1" applyAlignment="1">
      <alignment horizontal="center"/>
    </xf>
    <xf numFmtId="166" fontId="13" fillId="8" borderId="52" xfId="2" applyNumberFormat="1" applyFont="1" applyFill="1" applyBorder="1" applyAlignment="1">
      <alignment horizontal="center"/>
    </xf>
    <xf numFmtId="165" fontId="14" fillId="8" borderId="56" xfId="0" applyNumberFormat="1" applyFont="1" applyFill="1" applyBorder="1" applyAlignment="1">
      <alignment horizontal="center"/>
    </xf>
    <xf numFmtId="165" fontId="14" fillId="8" borderId="34" xfId="0" applyNumberFormat="1" applyFont="1" applyFill="1" applyBorder="1" applyAlignment="1">
      <alignment horizontal="center"/>
    </xf>
    <xf numFmtId="165" fontId="14" fillId="8" borderId="33" xfId="0" applyNumberFormat="1" applyFont="1" applyFill="1" applyBorder="1" applyAlignment="1">
      <alignment horizontal="center"/>
    </xf>
    <xf numFmtId="166" fontId="13" fillId="3" borderId="55" xfId="2" applyNumberFormat="1" applyFont="1" applyFill="1" applyBorder="1" applyAlignment="1">
      <alignment horizontal="center"/>
    </xf>
    <xf numFmtId="1" fontId="14" fillId="8" borderId="13" xfId="0" applyNumberFormat="1" applyFont="1" applyFill="1" applyBorder="1" applyAlignment="1" applyProtection="1">
      <alignment horizontal="center"/>
      <protection locked="0"/>
    </xf>
    <xf numFmtId="1" fontId="14" fillId="8" borderId="0" xfId="0" applyNumberFormat="1" applyFont="1" applyFill="1" applyBorder="1" applyAlignment="1" applyProtection="1">
      <alignment horizontal="center"/>
      <protection locked="0"/>
    </xf>
    <xf numFmtId="1" fontId="14" fillId="8" borderId="38" xfId="0" applyNumberFormat="1" applyFont="1" applyFill="1" applyBorder="1" applyAlignment="1">
      <alignment horizontal="center"/>
    </xf>
    <xf numFmtId="1" fontId="14" fillId="8" borderId="10" xfId="0" applyNumberFormat="1" applyFont="1" applyFill="1" applyBorder="1" applyAlignment="1">
      <alignment horizontal="center"/>
    </xf>
    <xf numFmtId="166" fontId="14" fillId="8" borderId="8" xfId="2" applyNumberFormat="1" applyFont="1" applyFill="1" applyBorder="1" applyAlignment="1">
      <alignment horizontal="center"/>
    </xf>
    <xf numFmtId="166" fontId="14" fillId="8" borderId="7" xfId="2" applyNumberFormat="1" applyFont="1" applyFill="1" applyBorder="1" applyAlignment="1">
      <alignment horizontal="center"/>
    </xf>
    <xf numFmtId="166" fontId="13" fillId="3" borderId="42" xfId="2" applyNumberFormat="1" applyFont="1" applyFill="1" applyBorder="1" applyAlignment="1">
      <alignment horizontal="center"/>
    </xf>
    <xf numFmtId="166" fontId="13" fillId="3" borderId="31" xfId="2" applyNumberFormat="1" applyFont="1" applyFill="1" applyBorder="1" applyAlignment="1">
      <alignment horizontal="center"/>
    </xf>
    <xf numFmtId="1" fontId="14" fillId="8" borderId="22" xfId="0" applyNumberFormat="1" applyFont="1" applyFill="1" applyBorder="1" applyAlignment="1" applyProtection="1">
      <alignment horizontal="center"/>
      <protection locked="0"/>
    </xf>
    <xf numFmtId="6" fontId="14" fillId="8" borderId="7" xfId="0" applyNumberFormat="1" applyFont="1" applyFill="1" applyBorder="1" applyAlignment="1">
      <alignment horizontal="center"/>
    </xf>
    <xf numFmtId="6" fontId="14" fillId="8" borderId="20" xfId="0" applyNumberFormat="1" applyFont="1" applyFill="1" applyBorder="1" applyAlignment="1">
      <alignment horizontal="center"/>
    </xf>
    <xf numFmtId="166" fontId="14" fillId="8" borderId="20" xfId="2" applyNumberFormat="1" applyFont="1" applyFill="1" applyBorder="1" applyAlignment="1">
      <alignment horizontal="center"/>
    </xf>
    <xf numFmtId="1" fontId="14" fillId="8" borderId="23" xfId="0" applyNumberFormat="1" applyFont="1" applyFill="1" applyBorder="1" applyAlignment="1">
      <alignment horizontal="center"/>
    </xf>
    <xf numFmtId="6" fontId="14" fillId="8" borderId="8" xfId="0" applyNumberFormat="1" applyFont="1" applyFill="1" applyBorder="1" applyAlignment="1">
      <alignment horizontal="center"/>
    </xf>
    <xf numFmtId="166" fontId="13" fillId="8" borderId="28" xfId="2" applyNumberFormat="1" applyFont="1" applyFill="1" applyBorder="1" applyAlignment="1">
      <alignment horizontal="center"/>
    </xf>
    <xf numFmtId="166" fontId="13" fillId="8" borderId="27" xfId="2" applyNumberFormat="1" applyFont="1" applyFill="1" applyBorder="1" applyAlignment="1">
      <alignment horizontal="center"/>
    </xf>
    <xf numFmtId="165" fontId="14" fillId="8" borderId="35" xfId="0" applyNumberFormat="1" applyFont="1" applyFill="1" applyBorder="1" applyAlignment="1">
      <alignment horizontal="center"/>
    </xf>
    <xf numFmtId="166" fontId="13" fillId="8" borderId="30" xfId="2" applyNumberFormat="1" applyFont="1" applyFill="1" applyBorder="1" applyAlignment="1">
      <alignment horizontal="center"/>
    </xf>
    <xf numFmtId="166" fontId="13" fillId="3" borderId="32" xfId="2" applyNumberFormat="1" applyFont="1" applyFill="1" applyBorder="1" applyAlignment="1">
      <alignment horizontal="center"/>
    </xf>
    <xf numFmtId="1" fontId="14" fillId="8" borderId="0" xfId="0" applyNumberFormat="1" applyFont="1" applyFill="1" applyBorder="1" applyAlignment="1">
      <alignment horizontal="center"/>
    </xf>
    <xf numFmtId="1" fontId="14" fillId="8" borderId="22" xfId="0" applyNumberFormat="1" applyFont="1" applyFill="1" applyBorder="1" applyAlignment="1">
      <alignment horizontal="center"/>
    </xf>
    <xf numFmtId="1" fontId="14" fillId="8" borderId="54" xfId="0" applyNumberFormat="1" applyFont="1" applyFill="1" applyBorder="1" applyAlignment="1">
      <alignment horizontal="center"/>
    </xf>
    <xf numFmtId="166" fontId="13" fillId="3" borderId="53" xfId="2" applyNumberFormat="1" applyFont="1" applyFill="1" applyBorder="1" applyAlignment="1">
      <alignment horizontal="center"/>
    </xf>
    <xf numFmtId="166" fontId="13" fillId="3" borderId="36" xfId="2" applyNumberFormat="1" applyFont="1" applyFill="1" applyBorder="1" applyAlignment="1">
      <alignment horizontal="center"/>
    </xf>
    <xf numFmtId="166" fontId="13" fillId="3" borderId="37" xfId="2" applyNumberFormat="1" applyFont="1" applyFill="1" applyBorder="1" applyAlignment="1">
      <alignment horizontal="center"/>
    </xf>
    <xf numFmtId="0" fontId="14" fillId="8" borderId="7" xfId="0" applyFont="1" applyFill="1" applyBorder="1" applyAlignment="1">
      <alignment horizontal="center"/>
    </xf>
    <xf numFmtId="0" fontId="14" fillId="8" borderId="20" xfId="0" applyFont="1" applyFill="1" applyBorder="1" applyAlignment="1">
      <alignment horizontal="center"/>
    </xf>
    <xf numFmtId="0" fontId="14" fillId="8" borderId="49" xfId="0" applyFont="1" applyFill="1" applyBorder="1" applyAlignment="1">
      <alignment horizontal="center"/>
    </xf>
    <xf numFmtId="0" fontId="14" fillId="8" borderId="8" xfId="0" applyFont="1" applyFill="1" applyBorder="1" applyAlignment="1">
      <alignment horizontal="center"/>
    </xf>
    <xf numFmtId="1" fontId="14" fillId="8" borderId="6" xfId="0" applyNumberFormat="1" applyFont="1" applyFill="1" applyBorder="1" applyAlignment="1" applyProtection="1">
      <alignment horizontal="center"/>
      <protection locked="0"/>
    </xf>
    <xf numFmtId="1" fontId="14" fillId="8" borderId="21" xfId="0" applyNumberFormat="1" applyFont="1" applyFill="1" applyBorder="1" applyAlignment="1" applyProtection="1">
      <alignment horizontal="center"/>
      <protection locked="0"/>
    </xf>
    <xf numFmtId="166" fontId="13" fillId="8" borderId="36" xfId="0" applyNumberFormat="1" applyFont="1" applyFill="1" applyBorder="1" applyAlignment="1">
      <alignment horizontal="center"/>
    </xf>
    <xf numFmtId="166" fontId="13" fillId="8" borderId="37" xfId="0" applyNumberFormat="1" applyFont="1" applyFill="1" applyBorder="1" applyAlignment="1">
      <alignment horizontal="center"/>
    </xf>
    <xf numFmtId="166" fontId="13" fillId="8" borderId="53" xfId="0" applyNumberFormat="1" applyFont="1" applyFill="1" applyBorder="1" applyAlignment="1">
      <alignment horizontal="center"/>
    </xf>
    <xf numFmtId="1" fontId="14" fillId="8" borderId="50" xfId="0" applyNumberFormat="1" applyFont="1" applyFill="1" applyBorder="1" applyAlignment="1" applyProtection="1">
      <alignment horizontal="center"/>
      <protection locked="0"/>
    </xf>
    <xf numFmtId="0" fontId="14" fillId="8" borderId="59" xfId="0" applyFont="1" applyFill="1" applyBorder="1" applyAlignment="1">
      <alignment horizontal="center"/>
    </xf>
    <xf numFmtId="166" fontId="13" fillId="8" borderId="39" xfId="0" applyNumberFormat="1" applyFont="1" applyFill="1" applyBorder="1" applyAlignment="1">
      <alignment horizontal="center"/>
    </xf>
    <xf numFmtId="1" fontId="14" fillId="8" borderId="61" xfId="0" applyNumberFormat="1" applyFont="1" applyFill="1" applyBorder="1" applyAlignment="1" applyProtection="1">
      <alignment horizontal="center"/>
      <protection locked="0"/>
    </xf>
    <xf numFmtId="1" fontId="14" fillId="8" borderId="5" xfId="0" applyNumberFormat="1" applyFont="1" applyFill="1" applyBorder="1" applyAlignment="1" applyProtection="1">
      <alignment horizontal="center"/>
      <protection locked="0"/>
    </xf>
    <xf numFmtId="166" fontId="13" fillId="8" borderId="69" xfId="0" applyNumberFormat="1" applyFont="1" applyFill="1" applyBorder="1" applyAlignment="1">
      <alignment horizontal="center"/>
    </xf>
    <xf numFmtId="1" fontId="14" fillId="8" borderId="13" xfId="0" applyNumberFormat="1" applyFont="1" applyFill="1" applyBorder="1" applyAlignment="1">
      <alignment horizontal="center"/>
    </xf>
    <xf numFmtId="166" fontId="13" fillId="3" borderId="39" xfId="2" applyNumberFormat="1" applyFont="1" applyFill="1" applyBorder="1" applyAlignment="1">
      <alignment horizontal="center"/>
    </xf>
    <xf numFmtId="0" fontId="13" fillId="14" borderId="50" xfId="0" applyFont="1" applyFill="1" applyBorder="1" applyAlignment="1">
      <alignment horizontal="center"/>
    </xf>
    <xf numFmtId="0" fontId="13" fillId="8" borderId="5" xfId="0" applyFont="1" applyFill="1" applyBorder="1" applyAlignment="1">
      <alignment horizontal="center"/>
    </xf>
    <xf numFmtId="0" fontId="13" fillId="8" borderId="6" xfId="0" applyFont="1" applyFill="1" applyBorder="1" applyAlignment="1">
      <alignment horizontal="center"/>
    </xf>
    <xf numFmtId="0" fontId="13" fillId="8" borderId="50" xfId="0" applyFont="1" applyFill="1" applyBorder="1" applyAlignment="1">
      <alignment horizontal="center"/>
    </xf>
    <xf numFmtId="0" fontId="13" fillId="8" borderId="21" xfId="0" applyFont="1" applyFill="1" applyBorder="1" applyAlignment="1">
      <alignment horizontal="center"/>
    </xf>
    <xf numFmtId="0" fontId="13" fillId="8" borderId="51" xfId="0" applyFont="1" applyFill="1" applyBorder="1" applyAlignment="1">
      <alignment horizontal="center"/>
    </xf>
    <xf numFmtId="0" fontId="13" fillId="8" borderId="10" xfId="0" applyFont="1" applyFill="1" applyBorder="1" applyAlignment="1">
      <alignment horizontal="center"/>
    </xf>
    <xf numFmtId="0" fontId="13" fillId="8" borderId="23" xfId="0" applyFont="1" applyFill="1" applyBorder="1" applyAlignment="1">
      <alignment horizontal="center"/>
    </xf>
    <xf numFmtId="0" fontId="13" fillId="8" borderId="38" xfId="0" applyFont="1" applyFill="1" applyBorder="1" applyAlignment="1">
      <alignment horizontal="center"/>
    </xf>
    <xf numFmtId="0" fontId="20" fillId="14" borderId="51" xfId="0" applyFont="1" applyFill="1" applyBorder="1" applyAlignment="1">
      <alignment horizontal="center"/>
    </xf>
    <xf numFmtId="0" fontId="13" fillId="8" borderId="61" xfId="0" applyFont="1" applyFill="1" applyBorder="1" applyAlignment="1">
      <alignment horizontal="center"/>
    </xf>
    <xf numFmtId="0" fontId="13" fillId="8" borderId="62" xfId="0" applyFont="1" applyFill="1" applyBorder="1" applyAlignment="1">
      <alignment horizontal="center"/>
    </xf>
    <xf numFmtId="0" fontId="13" fillId="8" borderId="8" xfId="0" applyFont="1" applyFill="1" applyBorder="1" applyAlignment="1">
      <alignment horizontal="center"/>
    </xf>
    <xf numFmtId="0" fontId="13" fillId="8" borderId="7" xfId="0" applyFont="1" applyFill="1" applyBorder="1" applyAlignment="1">
      <alignment horizontal="center"/>
    </xf>
    <xf numFmtId="0" fontId="13" fillId="8" borderId="20" xfId="0" applyFont="1" applyFill="1" applyBorder="1" applyAlignment="1">
      <alignment horizontal="center"/>
    </xf>
    <xf numFmtId="0" fontId="3" fillId="0" borderId="7" xfId="0" applyFont="1" applyBorder="1" applyAlignment="1">
      <alignment horizontal="left"/>
    </xf>
    <xf numFmtId="0" fontId="3" fillId="6" borderId="0" xfId="0" applyFont="1" applyFill="1" applyAlignment="1">
      <alignment horizontal="center"/>
    </xf>
    <xf numFmtId="0" fontId="3" fillId="7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166" fontId="13" fillId="3" borderId="40" xfId="2" applyNumberFormat="1" applyFont="1" applyFill="1" applyBorder="1" applyAlignment="1">
      <alignment horizontal="center"/>
    </xf>
    <xf numFmtId="166" fontId="13" fillId="8" borderId="29" xfId="2" applyNumberFormat="1" applyFont="1" applyFill="1" applyBorder="1" applyAlignment="1">
      <alignment horizontal="center"/>
    </xf>
    <xf numFmtId="1" fontId="14" fillId="8" borderId="57" xfId="0" applyNumberFormat="1" applyFont="1" applyFill="1" applyBorder="1" applyAlignment="1">
      <alignment horizontal="center"/>
    </xf>
    <xf numFmtId="1" fontId="14" fillId="8" borderId="58" xfId="0" applyNumberFormat="1" applyFont="1" applyFill="1" applyBorder="1" applyAlignment="1">
      <alignment horizontal="center"/>
    </xf>
    <xf numFmtId="166" fontId="13" fillId="3" borderId="69" xfId="2" applyNumberFormat="1" applyFont="1" applyFill="1" applyBorder="1" applyAlignment="1">
      <alignment horizontal="center"/>
    </xf>
    <xf numFmtId="166" fontId="13" fillId="3" borderId="70" xfId="2" applyNumberFormat="1" applyFont="1" applyFill="1" applyBorder="1" applyAlignment="1">
      <alignment horizontal="center"/>
    </xf>
    <xf numFmtId="166" fontId="13" fillId="8" borderId="64" xfId="2" applyNumberFormat="1" applyFont="1" applyFill="1" applyBorder="1" applyAlignment="1">
      <alignment horizontal="center"/>
    </xf>
    <xf numFmtId="166" fontId="13" fillId="8" borderId="65" xfId="2" applyNumberFormat="1" applyFont="1" applyFill="1" applyBorder="1" applyAlignment="1">
      <alignment horizontal="center"/>
    </xf>
    <xf numFmtId="0" fontId="12" fillId="8" borderId="0" xfId="0" applyFont="1" applyFill="1" applyAlignment="1">
      <alignment horizontal="left"/>
    </xf>
    <xf numFmtId="166" fontId="14" fillId="8" borderId="59" xfId="2" applyNumberFormat="1" applyFont="1" applyFill="1" applyBorder="1" applyAlignment="1">
      <alignment horizontal="center"/>
    </xf>
    <xf numFmtId="0" fontId="12" fillId="8" borderId="6" xfId="0" applyFont="1" applyFill="1" applyBorder="1" applyAlignment="1">
      <alignment horizontal="center"/>
    </xf>
    <xf numFmtId="1" fontId="14" fillId="8" borderId="62" xfId="0" applyNumberFormat="1" applyFont="1" applyFill="1" applyBorder="1" applyAlignment="1">
      <alignment horizontal="center"/>
    </xf>
    <xf numFmtId="166" fontId="13" fillId="3" borderId="71" xfId="2" applyNumberFormat="1" applyFont="1" applyFill="1" applyBorder="1" applyAlignment="1">
      <alignment horizontal="center"/>
    </xf>
    <xf numFmtId="166" fontId="13" fillId="3" borderId="72" xfId="2" applyNumberFormat="1" applyFont="1" applyFill="1" applyBorder="1" applyAlignment="1">
      <alignment horizontal="center"/>
    </xf>
    <xf numFmtId="1" fontId="14" fillId="8" borderId="15" xfId="0" applyNumberFormat="1" applyFont="1" applyFill="1" applyBorder="1" applyAlignment="1" applyProtection="1">
      <alignment horizontal="center"/>
      <protection locked="0"/>
    </xf>
    <xf numFmtId="1" fontId="14" fillId="8" borderId="15" xfId="0" applyNumberFormat="1" applyFont="1" applyFill="1" applyBorder="1" applyAlignment="1">
      <alignment horizontal="center"/>
    </xf>
    <xf numFmtId="1" fontId="14" fillId="8" borderId="68" xfId="0" applyNumberFormat="1" applyFont="1" applyFill="1" applyBorder="1" applyAlignment="1">
      <alignment horizontal="center"/>
    </xf>
    <xf numFmtId="166" fontId="14" fillId="8" borderId="60" xfId="2" applyNumberFormat="1" applyFont="1" applyFill="1" applyBorder="1" applyAlignment="1">
      <alignment horizontal="center"/>
    </xf>
    <xf numFmtId="1" fontId="14" fillId="8" borderId="41" xfId="0" applyNumberFormat="1" applyFont="1" applyFill="1" applyBorder="1" applyAlignment="1">
      <alignment horizontal="center"/>
    </xf>
    <xf numFmtId="166" fontId="14" fillId="8" borderId="16" xfId="2" applyNumberFormat="1" applyFont="1" applyFill="1" applyBorder="1" applyAlignment="1">
      <alignment horizontal="center"/>
    </xf>
    <xf numFmtId="166" fontId="13" fillId="3" borderId="43" xfId="2" applyNumberFormat="1" applyFont="1" applyFill="1" applyBorder="1" applyAlignment="1">
      <alignment horizontal="center"/>
    </xf>
    <xf numFmtId="166" fontId="13" fillId="8" borderId="70" xfId="0" applyNumberFormat="1" applyFont="1" applyFill="1" applyBorder="1" applyAlignment="1">
      <alignment horizontal="center"/>
    </xf>
    <xf numFmtId="166" fontId="13" fillId="8" borderId="43" xfId="0" applyNumberFormat="1" applyFont="1" applyFill="1" applyBorder="1" applyAlignment="1">
      <alignment horizontal="center"/>
    </xf>
    <xf numFmtId="0" fontId="20" fillId="14" borderId="62" xfId="0" applyFont="1" applyFill="1" applyBorder="1" applyAlignment="1">
      <alignment horizontal="center"/>
    </xf>
    <xf numFmtId="0" fontId="20" fillId="14" borderId="10" xfId="0" applyFont="1" applyFill="1" applyBorder="1" applyAlignment="1">
      <alignment horizontal="center"/>
    </xf>
    <xf numFmtId="0" fontId="13" fillId="8" borderId="68" xfId="0" applyFont="1" applyFill="1" applyBorder="1" applyAlignment="1">
      <alignment horizontal="center"/>
    </xf>
    <xf numFmtId="0" fontId="13" fillId="8" borderId="44" xfId="0" applyFont="1" applyFill="1" applyBorder="1" applyAlignment="1">
      <alignment horizontal="center"/>
    </xf>
    <xf numFmtId="0" fontId="13" fillId="8" borderId="41" xfId="0" applyFont="1" applyFill="1" applyBorder="1" applyAlignment="1">
      <alignment horizontal="center"/>
    </xf>
    <xf numFmtId="0" fontId="13" fillId="8" borderId="0" xfId="0" applyFont="1" applyFill="1" applyBorder="1" applyAlignment="1">
      <alignment horizontal="center"/>
    </xf>
    <xf numFmtId="0" fontId="13" fillId="8" borderId="22" xfId="0" applyFont="1" applyFill="1" applyBorder="1" applyAlignment="1">
      <alignment horizontal="center"/>
    </xf>
    <xf numFmtId="166" fontId="13" fillId="8" borderId="45" xfId="0" applyNumberFormat="1" applyFont="1" applyFill="1" applyBorder="1" applyAlignment="1">
      <alignment horizontal="center"/>
    </xf>
    <xf numFmtId="166" fontId="13" fillId="8" borderId="46" xfId="0" applyNumberFormat="1" applyFont="1" applyFill="1" applyBorder="1" applyAlignment="1">
      <alignment horizontal="center"/>
    </xf>
    <xf numFmtId="1" fontId="14" fillId="8" borderId="63" xfId="0" applyNumberFormat="1" applyFont="1" applyFill="1" applyBorder="1" applyAlignment="1" applyProtection="1">
      <alignment horizontal="center"/>
      <protection locked="0"/>
    </xf>
    <xf numFmtId="1" fontId="14" fillId="8" borderId="44" xfId="0" applyNumberFormat="1" applyFont="1" applyFill="1" applyBorder="1" applyAlignment="1" applyProtection="1">
      <alignment horizontal="center"/>
      <protection locked="0"/>
    </xf>
    <xf numFmtId="0" fontId="1" fillId="8" borderId="0" xfId="0" applyFont="1" applyFill="1" applyAlignment="1">
      <alignment horizontal="left" vertical="top" wrapText="1"/>
    </xf>
    <xf numFmtId="0" fontId="3" fillId="8" borderId="10" xfId="0" applyFont="1" applyFill="1" applyBorder="1" applyAlignment="1">
      <alignment horizontal="center" vertical="center"/>
    </xf>
    <xf numFmtId="0" fontId="3" fillId="11" borderId="10" xfId="0" applyFont="1" applyFill="1" applyBorder="1" applyAlignment="1">
      <alignment horizontal="center" vertical="center"/>
    </xf>
    <xf numFmtId="0" fontId="1" fillId="8" borderId="0" xfId="0" applyFont="1" applyFill="1" applyAlignment="1">
      <alignment horizontal="left" vertical="center" wrapText="1"/>
    </xf>
    <xf numFmtId="0" fontId="13" fillId="10" borderId="10" xfId="0" applyFont="1" applyFill="1" applyBorder="1" applyAlignment="1">
      <alignment horizontal="center" vertical="center"/>
    </xf>
    <xf numFmtId="0" fontId="18" fillId="8" borderId="47" xfId="0" applyFont="1" applyFill="1" applyBorder="1" applyAlignment="1">
      <alignment horizontal="center" vertical="center"/>
    </xf>
    <xf numFmtId="0" fontId="18" fillId="8" borderId="45" xfId="0" applyFont="1" applyFill="1" applyBorder="1" applyAlignment="1">
      <alignment horizontal="center" vertical="center"/>
    </xf>
    <xf numFmtId="0" fontId="18" fillId="8" borderId="48" xfId="0" applyFont="1" applyFill="1" applyBorder="1" applyAlignment="1">
      <alignment horizontal="center" vertical="center"/>
    </xf>
    <xf numFmtId="0" fontId="17" fillId="8" borderId="13" xfId="0" applyFont="1" applyFill="1" applyBorder="1" applyAlignment="1">
      <alignment horizontal="center" vertical="top"/>
    </xf>
    <xf numFmtId="0" fontId="17" fillId="8" borderId="0" xfId="0" applyFont="1" applyFill="1" applyBorder="1" applyAlignment="1">
      <alignment horizontal="center" vertical="top"/>
    </xf>
    <xf numFmtId="0" fontId="17" fillId="8" borderId="15" xfId="0" applyFont="1" applyFill="1" applyBorder="1" applyAlignment="1">
      <alignment horizontal="center" vertical="top"/>
    </xf>
    <xf numFmtId="0" fontId="14" fillId="8" borderId="0" xfId="0" applyFont="1" applyFill="1" applyAlignment="1">
      <alignment horizontal="left"/>
    </xf>
    <xf numFmtId="0" fontId="14" fillId="8" borderId="0" xfId="0" quotePrefix="1" applyFont="1" applyFill="1" applyAlignment="1">
      <alignment horizontal="left"/>
    </xf>
    <xf numFmtId="0" fontId="6" fillId="8" borderId="7" xfId="0" applyFont="1" applyFill="1" applyBorder="1" applyAlignment="1">
      <alignment horizontal="center"/>
    </xf>
    <xf numFmtId="0" fontId="3" fillId="8" borderId="0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center"/>
    </xf>
    <xf numFmtId="0" fontId="6" fillId="8" borderId="10" xfId="0" applyFont="1" applyFill="1" applyBorder="1" applyAlignment="1">
      <alignment horizontal="center"/>
    </xf>
    <xf numFmtId="0" fontId="6" fillId="8" borderId="6" xfId="0" applyFont="1" applyFill="1" applyBorder="1" applyAlignment="1">
      <alignment horizontal="center"/>
    </xf>
    <xf numFmtId="0" fontId="5" fillId="8" borderId="0" xfId="0" applyFont="1" applyFill="1" applyBorder="1" applyAlignment="1">
      <alignment horizontal="center"/>
    </xf>
    <xf numFmtId="0" fontId="7" fillId="8" borderId="0" xfId="0" applyFont="1" applyFill="1" applyBorder="1" applyAlignment="1">
      <alignment horizontal="left"/>
    </xf>
    <xf numFmtId="49" fontId="3" fillId="12" borderId="10" xfId="0" applyNumberFormat="1" applyFont="1" applyFill="1" applyBorder="1" applyAlignment="1">
      <alignment horizontal="left"/>
    </xf>
    <xf numFmtId="0" fontId="7" fillId="8" borderId="10" xfId="0" applyFont="1" applyFill="1" applyBorder="1" applyAlignment="1">
      <alignment horizontal="left"/>
    </xf>
    <xf numFmtId="0" fontId="5" fillId="8" borderId="10" xfId="0" applyFont="1" applyFill="1" applyBorder="1" applyAlignment="1">
      <alignment horizontal="center"/>
    </xf>
    <xf numFmtId="1" fontId="0" fillId="0" borderId="0" xfId="0" applyNumberFormat="1"/>
  </cellXfs>
  <cellStyles count="13">
    <cellStyle name="Comma" xfId="1" builtinId="3"/>
    <cellStyle name="Currency" xfId="2" builtinId="4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Hyperlink" xfId="3" builtinId="8"/>
    <cellStyle name="Normal" xfId="0" builtinId="0"/>
    <cellStyle name="Percent" xfId="4" builtinId="5"/>
  </cellStyles>
  <dxfs count="9">
    <dxf>
      <font>
        <condense val="0"/>
        <extend val="0"/>
        <color auto="1"/>
      </font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4"/>
        </patternFill>
      </fill>
    </dxf>
    <dxf>
      <font>
        <color rgb="FFFF0000"/>
      </font>
    </dxf>
    <dxf>
      <font>
        <b/>
        <i val="0"/>
        <condense val="0"/>
        <extend val="0"/>
        <color indexed="10"/>
      </font>
    </dxf>
    <dxf>
      <font>
        <color rgb="FF9C0006"/>
      </font>
    </dxf>
    <dxf>
      <font>
        <color rgb="FFFF000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colors>
    <mruColors>
      <color rgb="FF0066FF"/>
      <color rgb="FF339933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Peanut Price Needed to Give Equal Returns Above Variable Costs to Cotton at Budgeted Yields *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0"/>
          <c:order val="0"/>
          <c:tx>
            <c:strRef>
              <c:f>Prices!$C$6</c:f>
              <c:strCache>
                <c:ptCount val="1"/>
                <c:pt idx="0">
                  <c:v>Irrigated Peanut</c:v>
                </c:pt>
              </c:strCache>
            </c:strRef>
          </c:tx>
          <c:marker>
            <c:symbol val="circle"/>
            <c:size val="7"/>
          </c:marker>
          <c:dLbls>
            <c:spPr>
              <a:solidFill>
                <a:schemeClr val="accent1">
                  <a:alpha val="5000"/>
                </a:scheme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Prices!$B$28:$B$42</c:f>
              <c:numCache>
                <c:formatCode>_("$"* #,##0.00_);_("$"* \(#,##0.00\);_("$"* "-"??_);_(@_)</c:formatCode>
                <c:ptCount val="15"/>
                <c:pt idx="0">
                  <c:v>0.5249999999999998</c:v>
                </c:pt>
                <c:pt idx="1">
                  <c:v>0.54999999999999982</c:v>
                </c:pt>
                <c:pt idx="2">
                  <c:v>0.57499999999999984</c:v>
                </c:pt>
                <c:pt idx="3">
                  <c:v>0.59999999999999987</c:v>
                </c:pt>
                <c:pt idx="4">
                  <c:v>0.62499999999999989</c:v>
                </c:pt>
                <c:pt idx="5">
                  <c:v>0.64999999999999991</c:v>
                </c:pt>
                <c:pt idx="6">
                  <c:v>0.67499999999999993</c:v>
                </c:pt>
                <c:pt idx="7">
                  <c:v>0.7</c:v>
                </c:pt>
                <c:pt idx="8">
                  <c:v>0.72499999999999998</c:v>
                </c:pt>
                <c:pt idx="9">
                  <c:v>0.75</c:v>
                </c:pt>
                <c:pt idx="10">
                  <c:v>0.77500000000000002</c:v>
                </c:pt>
                <c:pt idx="11">
                  <c:v>0.8</c:v>
                </c:pt>
                <c:pt idx="12">
                  <c:v>0.82500000000000007</c:v>
                </c:pt>
                <c:pt idx="13">
                  <c:v>0.85000000000000009</c:v>
                </c:pt>
                <c:pt idx="14">
                  <c:v>0.87500000000000011</c:v>
                </c:pt>
              </c:numCache>
            </c:numRef>
          </c:cat>
          <c:val>
            <c:numRef>
              <c:f>Prices!$C$7:$C$21</c:f>
              <c:numCache>
                <c:formatCode>_("$"* #,##0_);_("$"* \(#,##0\);_("$"* "-"??_);_(@_)</c:formatCode>
                <c:ptCount val="15"/>
                <c:pt idx="0">
                  <c:v>302.03120251773043</c:v>
                </c:pt>
                <c:pt idx="1">
                  <c:v>314.79715996453893</c:v>
                </c:pt>
                <c:pt idx="2">
                  <c:v>327.56311741134749</c:v>
                </c:pt>
                <c:pt idx="3">
                  <c:v>340.32907485815599</c:v>
                </c:pt>
                <c:pt idx="4">
                  <c:v>353.09503230496455</c:v>
                </c:pt>
                <c:pt idx="5">
                  <c:v>365.86098975177305</c:v>
                </c:pt>
                <c:pt idx="6">
                  <c:v>378.62694719858155</c:v>
                </c:pt>
                <c:pt idx="7">
                  <c:v>391.3929046453901</c:v>
                </c:pt>
                <c:pt idx="8">
                  <c:v>404.1588620921986</c:v>
                </c:pt>
                <c:pt idx="9">
                  <c:v>416.9248195390071</c:v>
                </c:pt>
                <c:pt idx="10">
                  <c:v>429.69077698581566</c:v>
                </c:pt>
                <c:pt idx="11">
                  <c:v>442.4567344326241</c:v>
                </c:pt>
                <c:pt idx="12">
                  <c:v>455.22269187943272</c:v>
                </c:pt>
                <c:pt idx="13">
                  <c:v>467.98864932624122</c:v>
                </c:pt>
                <c:pt idx="14">
                  <c:v>480.75460677304983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Prices!$C$27</c:f>
              <c:strCache>
                <c:ptCount val="1"/>
                <c:pt idx="0">
                  <c:v>Non Irrigated Peanut</c:v>
                </c:pt>
              </c:strCache>
            </c:strRef>
          </c:tx>
          <c:marker>
            <c:symbol val="square"/>
            <c:size val="6"/>
          </c:marker>
          <c:dLbls>
            <c:spPr>
              <a:solidFill>
                <a:srgbClr val="FF0000">
                  <a:alpha val="5000"/>
                </a:srgb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Prices!$B$28:$B$42</c:f>
              <c:numCache>
                <c:formatCode>_("$"* #,##0.00_);_("$"* \(#,##0.00\);_("$"* "-"??_);_(@_)</c:formatCode>
                <c:ptCount val="15"/>
                <c:pt idx="0">
                  <c:v>0.5249999999999998</c:v>
                </c:pt>
                <c:pt idx="1">
                  <c:v>0.54999999999999982</c:v>
                </c:pt>
                <c:pt idx="2">
                  <c:v>0.57499999999999984</c:v>
                </c:pt>
                <c:pt idx="3">
                  <c:v>0.59999999999999987</c:v>
                </c:pt>
                <c:pt idx="4">
                  <c:v>0.62499999999999989</c:v>
                </c:pt>
                <c:pt idx="5">
                  <c:v>0.64999999999999991</c:v>
                </c:pt>
                <c:pt idx="6">
                  <c:v>0.67499999999999993</c:v>
                </c:pt>
                <c:pt idx="7">
                  <c:v>0.7</c:v>
                </c:pt>
                <c:pt idx="8">
                  <c:v>0.72499999999999998</c:v>
                </c:pt>
                <c:pt idx="9">
                  <c:v>0.75</c:v>
                </c:pt>
                <c:pt idx="10">
                  <c:v>0.77500000000000002</c:v>
                </c:pt>
                <c:pt idx="11">
                  <c:v>0.8</c:v>
                </c:pt>
                <c:pt idx="12">
                  <c:v>0.82500000000000007</c:v>
                </c:pt>
                <c:pt idx="13">
                  <c:v>0.85000000000000009</c:v>
                </c:pt>
                <c:pt idx="14">
                  <c:v>0.87500000000000011</c:v>
                </c:pt>
              </c:numCache>
            </c:numRef>
          </c:cat>
          <c:val>
            <c:numRef>
              <c:f>Prices!$C$28:$C$42</c:f>
              <c:numCache>
                <c:formatCode>_("$"* #,##0_);_("$"* \(#,##0\);_("$"* "-"??_);_(@_)</c:formatCode>
                <c:ptCount val="15"/>
                <c:pt idx="0">
                  <c:v>297.89139811497324</c:v>
                </c:pt>
                <c:pt idx="1">
                  <c:v>308.92080987967915</c:v>
                </c:pt>
                <c:pt idx="2">
                  <c:v>319.95022164438501</c:v>
                </c:pt>
                <c:pt idx="3">
                  <c:v>330.97963340909092</c:v>
                </c:pt>
                <c:pt idx="4">
                  <c:v>342.00904517379689</c:v>
                </c:pt>
                <c:pt idx="5">
                  <c:v>353.0384569385028</c:v>
                </c:pt>
                <c:pt idx="6">
                  <c:v>364.0678687032086</c:v>
                </c:pt>
                <c:pt idx="7">
                  <c:v>375.09728046791452</c:v>
                </c:pt>
                <c:pt idx="8">
                  <c:v>386.12669223262043</c:v>
                </c:pt>
                <c:pt idx="9">
                  <c:v>397.15610399732628</c:v>
                </c:pt>
                <c:pt idx="10">
                  <c:v>408.18551576203214</c:v>
                </c:pt>
                <c:pt idx="11">
                  <c:v>419.21492752673805</c:v>
                </c:pt>
                <c:pt idx="12">
                  <c:v>430.24433929144391</c:v>
                </c:pt>
                <c:pt idx="13">
                  <c:v>441.27375105614988</c:v>
                </c:pt>
                <c:pt idx="14">
                  <c:v>452.30316282085573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902848"/>
        <c:axId val="41904768"/>
      </c:lineChart>
      <c:catAx>
        <c:axId val="419028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Cotton Price ($/lb)</a:t>
                </a:r>
              </a:p>
            </c:rich>
          </c:tx>
          <c:layout>
            <c:manualLayout>
              <c:xMode val="edge"/>
              <c:yMode val="edge"/>
              <c:x val="0.44886532661678202"/>
              <c:y val="0.93017475379680103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1904768"/>
        <c:crosses val="autoZero"/>
        <c:auto val="1"/>
        <c:lblAlgn val="ctr"/>
        <c:lblOffset val="100"/>
        <c:noMultiLvlLbl val="0"/>
      </c:catAx>
      <c:valAx>
        <c:axId val="4190476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Peanut Price ($/ton)</a:t>
                </a:r>
              </a:p>
            </c:rich>
          </c:tx>
          <c:layout>
            <c:manualLayout>
              <c:xMode val="edge"/>
              <c:yMode val="edge"/>
              <c:x val="8.3467827391141405E-5"/>
              <c:y val="0.30024384772416302"/>
            </c:manualLayout>
          </c:layout>
          <c:overlay val="0"/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19028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744568885411099"/>
          <c:y val="0.70227875361733605"/>
          <c:w val="0.21994215940398801"/>
          <c:h val="9.6314467101868695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EF4CE"/>
    </a:solidFill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100"/>
              <a:t>Cotton Price Needed to Give Equal Returns Above Variable Costs to Soybean at Budgeted Yields*</a:t>
            </a:r>
          </a:p>
        </c:rich>
      </c:tx>
      <c:layout>
        <c:manualLayout>
          <c:xMode val="edge"/>
          <c:yMode val="edge"/>
          <c:x val="0.127752796486474"/>
          <c:y val="5.8945611930958999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0"/>
          <c:order val="0"/>
          <c:tx>
            <c:strRef>
              <c:f>Prices!$Q$6</c:f>
              <c:strCache>
                <c:ptCount val="1"/>
                <c:pt idx="0">
                  <c:v>Irrigated Cotton</c:v>
                </c:pt>
              </c:strCache>
            </c:strRef>
          </c:tx>
          <c:marker>
            <c:symbol val="circle"/>
            <c:size val="7"/>
          </c:marker>
          <c:dLbls>
            <c:spPr>
              <a:solidFill>
                <a:schemeClr val="accent1">
                  <a:alpha val="5000"/>
                </a:scheme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Prices!$T$28:$T$42</c:f>
              <c:numCache>
                <c:formatCode>_("$"* #,##0.00_);_("$"* \(#,##0.00\);_("$"* "-"??_);_(@_)</c:formatCode>
                <c:ptCount val="15"/>
                <c:pt idx="0">
                  <c:v>6.1500000000000021</c:v>
                </c:pt>
                <c:pt idx="1">
                  <c:v>6.5000000000000018</c:v>
                </c:pt>
                <c:pt idx="2">
                  <c:v>6.8500000000000014</c:v>
                </c:pt>
                <c:pt idx="3">
                  <c:v>7.2000000000000011</c:v>
                </c:pt>
                <c:pt idx="4">
                  <c:v>7.5500000000000007</c:v>
                </c:pt>
                <c:pt idx="5">
                  <c:v>7.9</c:v>
                </c:pt>
                <c:pt idx="6">
                  <c:v>8.25</c:v>
                </c:pt>
                <c:pt idx="7">
                  <c:v>8.6</c:v>
                </c:pt>
                <c:pt idx="8">
                  <c:v>8.9499999999999993</c:v>
                </c:pt>
                <c:pt idx="9">
                  <c:v>9.2999999999999989</c:v>
                </c:pt>
                <c:pt idx="10">
                  <c:v>9.6499999999999986</c:v>
                </c:pt>
                <c:pt idx="11">
                  <c:v>9.9999999999999982</c:v>
                </c:pt>
                <c:pt idx="12">
                  <c:v>10.349999999999998</c:v>
                </c:pt>
                <c:pt idx="13">
                  <c:v>10.699999999999998</c:v>
                </c:pt>
                <c:pt idx="14">
                  <c:v>11.049999999999997</c:v>
                </c:pt>
              </c:numCache>
            </c:numRef>
          </c:cat>
          <c:val>
            <c:numRef>
              <c:f>Prices!$Q$7:$Q$21</c:f>
              <c:numCache>
                <c:formatCode>_("$"* #,##0.00_);_("$"* \(#,##0.00\);_("$"* "-"??_);_(@_)</c:formatCode>
                <c:ptCount val="15"/>
                <c:pt idx="0">
                  <c:v>0.53152808565277776</c:v>
                </c:pt>
                <c:pt idx="1">
                  <c:v>0.54902808565277783</c:v>
                </c:pt>
                <c:pt idx="2">
                  <c:v>0.56652808565277779</c:v>
                </c:pt>
                <c:pt idx="3">
                  <c:v>0.58402808565277775</c:v>
                </c:pt>
                <c:pt idx="4">
                  <c:v>0.60152808565277782</c:v>
                </c:pt>
                <c:pt idx="5">
                  <c:v>0.61902808565277778</c:v>
                </c:pt>
                <c:pt idx="6">
                  <c:v>0.63652808565277785</c:v>
                </c:pt>
                <c:pt idx="7">
                  <c:v>0.65402808565277781</c:v>
                </c:pt>
                <c:pt idx="8">
                  <c:v>0.67152808565277777</c:v>
                </c:pt>
                <c:pt idx="9">
                  <c:v>0.68902808565277762</c:v>
                </c:pt>
                <c:pt idx="10">
                  <c:v>0.70652808565277758</c:v>
                </c:pt>
                <c:pt idx="11">
                  <c:v>0.72402808565277765</c:v>
                </c:pt>
                <c:pt idx="12">
                  <c:v>0.74152808565277761</c:v>
                </c:pt>
                <c:pt idx="13">
                  <c:v>0.75902808565277757</c:v>
                </c:pt>
                <c:pt idx="14">
                  <c:v>0.77652808565277764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Prices!$Q$27</c:f>
              <c:strCache>
                <c:ptCount val="1"/>
                <c:pt idx="0">
                  <c:v>Non Irrigated Cotton</c:v>
                </c:pt>
              </c:strCache>
            </c:strRef>
          </c:tx>
          <c:marker>
            <c:symbol val="square"/>
            <c:size val="6"/>
          </c:marker>
          <c:dLbls>
            <c:spPr>
              <a:solidFill>
                <a:srgbClr val="FF0000">
                  <a:alpha val="5000"/>
                </a:srgb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Prices!$T$28:$T$42</c:f>
              <c:numCache>
                <c:formatCode>_("$"* #,##0.00_);_("$"* \(#,##0.00\);_("$"* "-"??_);_(@_)</c:formatCode>
                <c:ptCount val="15"/>
                <c:pt idx="0">
                  <c:v>6.1500000000000021</c:v>
                </c:pt>
                <c:pt idx="1">
                  <c:v>6.5000000000000018</c:v>
                </c:pt>
                <c:pt idx="2">
                  <c:v>6.8500000000000014</c:v>
                </c:pt>
                <c:pt idx="3">
                  <c:v>7.2000000000000011</c:v>
                </c:pt>
                <c:pt idx="4">
                  <c:v>7.5500000000000007</c:v>
                </c:pt>
                <c:pt idx="5">
                  <c:v>7.9</c:v>
                </c:pt>
                <c:pt idx="6">
                  <c:v>8.25</c:v>
                </c:pt>
                <c:pt idx="7">
                  <c:v>8.6</c:v>
                </c:pt>
                <c:pt idx="8">
                  <c:v>8.9499999999999993</c:v>
                </c:pt>
                <c:pt idx="9">
                  <c:v>9.2999999999999989</c:v>
                </c:pt>
                <c:pt idx="10">
                  <c:v>9.6499999999999986</c:v>
                </c:pt>
                <c:pt idx="11">
                  <c:v>9.9999999999999982</c:v>
                </c:pt>
                <c:pt idx="12">
                  <c:v>10.349999999999998</c:v>
                </c:pt>
                <c:pt idx="13">
                  <c:v>10.699999999999998</c:v>
                </c:pt>
                <c:pt idx="14">
                  <c:v>11.049999999999997</c:v>
                </c:pt>
              </c:numCache>
            </c:numRef>
          </c:cat>
          <c:val>
            <c:numRef>
              <c:f>Prices!$Q$28:$Q$42</c:f>
              <c:numCache>
                <c:formatCode>_("$"* #,##0.00_);_("$"* \(#,##0.00\);_("$"* "-"??_);_(@_)</c:formatCode>
                <c:ptCount val="15"/>
                <c:pt idx="0">
                  <c:v>0.55124394107272723</c:v>
                </c:pt>
                <c:pt idx="1">
                  <c:v>0.56524394107272724</c:v>
                </c:pt>
                <c:pt idx="2">
                  <c:v>0.57924394107272725</c:v>
                </c:pt>
                <c:pt idx="3">
                  <c:v>0.59324394107272715</c:v>
                </c:pt>
                <c:pt idx="4">
                  <c:v>0.60724394107272717</c:v>
                </c:pt>
                <c:pt idx="5">
                  <c:v>0.62124394107272718</c:v>
                </c:pt>
                <c:pt idx="6">
                  <c:v>0.63524394107272719</c:v>
                </c:pt>
                <c:pt idx="7">
                  <c:v>0.6492439410727272</c:v>
                </c:pt>
                <c:pt idx="8">
                  <c:v>0.66324394107272722</c:v>
                </c:pt>
                <c:pt idx="9">
                  <c:v>0.67724394107272712</c:v>
                </c:pt>
                <c:pt idx="10">
                  <c:v>0.69124394107272713</c:v>
                </c:pt>
                <c:pt idx="11">
                  <c:v>0.70524394107272714</c:v>
                </c:pt>
                <c:pt idx="12">
                  <c:v>0.71924394107272716</c:v>
                </c:pt>
                <c:pt idx="13">
                  <c:v>0.73324394107272717</c:v>
                </c:pt>
                <c:pt idx="14">
                  <c:v>0.74724394107272696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694848"/>
        <c:axId val="139696768"/>
      </c:lineChart>
      <c:catAx>
        <c:axId val="1396948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Soybean Price ($/bu)</a:t>
                </a:r>
              </a:p>
            </c:rich>
          </c:tx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39696768"/>
        <c:crosses val="autoZero"/>
        <c:auto val="1"/>
        <c:lblAlgn val="ctr"/>
        <c:lblOffset val="100"/>
        <c:noMultiLvlLbl val="0"/>
      </c:catAx>
      <c:valAx>
        <c:axId val="13969676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Cotton Price ($/lb)</a:t>
                </a:r>
              </a:p>
            </c:rich>
          </c:tx>
          <c:layout>
            <c:manualLayout>
              <c:xMode val="edge"/>
              <c:yMode val="edge"/>
              <c:x val="8.3387332194448307E-5"/>
              <c:y val="0.30024392646283399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396948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6456365647561"/>
          <c:y val="0.68816070176658395"/>
          <c:w val="0.225049188053488"/>
          <c:h val="0.102313071793178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CFFCC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100"/>
              <a:t>Peanut Price Needed to Give Equal Returns Above Variable Costs to Soybean at Budgeted Yields *</a:t>
            </a:r>
          </a:p>
        </c:rich>
      </c:tx>
      <c:layout>
        <c:manualLayout>
          <c:xMode val="edge"/>
          <c:yMode val="edge"/>
          <c:x val="0.12612658492315301"/>
          <c:y val="8.59469985606638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0"/>
          <c:order val="0"/>
          <c:tx>
            <c:strRef>
              <c:f>Prices!$R$6</c:f>
              <c:strCache>
                <c:ptCount val="1"/>
                <c:pt idx="0">
                  <c:v>Irrigated Peanut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rgbClr val="92D050"/>
              </a:solidFill>
              <a:ln>
                <a:solidFill>
                  <a:srgbClr val="00B050"/>
                </a:solidFill>
              </a:ln>
            </c:spPr>
          </c:marker>
          <c:dLbls>
            <c:spPr>
              <a:solidFill>
                <a:srgbClr val="00B050">
                  <a:alpha val="5000"/>
                </a:srgb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Prices!$T$7:$T$21</c:f>
              <c:numCache>
                <c:formatCode>_("$"* #,##0.00_);_("$"* \(#,##0.00\);_("$"* "-"??_);_(@_)</c:formatCode>
                <c:ptCount val="15"/>
                <c:pt idx="0">
                  <c:v>6.1500000000000021</c:v>
                </c:pt>
                <c:pt idx="1">
                  <c:v>6.5000000000000018</c:v>
                </c:pt>
                <c:pt idx="2">
                  <c:v>6.8500000000000014</c:v>
                </c:pt>
                <c:pt idx="3">
                  <c:v>7.2000000000000011</c:v>
                </c:pt>
                <c:pt idx="4">
                  <c:v>7.5500000000000007</c:v>
                </c:pt>
                <c:pt idx="5">
                  <c:v>7.9</c:v>
                </c:pt>
                <c:pt idx="6">
                  <c:v>8.25</c:v>
                </c:pt>
                <c:pt idx="7">
                  <c:v>8.6</c:v>
                </c:pt>
                <c:pt idx="8">
                  <c:v>8.9499999999999993</c:v>
                </c:pt>
                <c:pt idx="9">
                  <c:v>9.2999999999999989</c:v>
                </c:pt>
                <c:pt idx="10">
                  <c:v>9.6499999999999986</c:v>
                </c:pt>
                <c:pt idx="11">
                  <c:v>9.9999999999999982</c:v>
                </c:pt>
                <c:pt idx="12">
                  <c:v>10.349999999999998</c:v>
                </c:pt>
                <c:pt idx="13">
                  <c:v>10.699999999999998</c:v>
                </c:pt>
                <c:pt idx="14">
                  <c:v>11.049999999999997</c:v>
                </c:pt>
              </c:numCache>
            </c:numRef>
          </c:cat>
          <c:val>
            <c:numRef>
              <c:f>Prices!$R$7:$R$21</c:f>
              <c:numCache>
                <c:formatCode>_("$"* #,##0_);_("$"* \(#,##0\);_("$"* "-"??_);_(@_)</c:formatCode>
                <c:ptCount val="15"/>
                <c:pt idx="0">
                  <c:v>305.36469306382992</c:v>
                </c:pt>
                <c:pt idx="1">
                  <c:v>314.30086327659586</c:v>
                </c:pt>
                <c:pt idx="2">
                  <c:v>323.23703348936181</c:v>
                </c:pt>
                <c:pt idx="3">
                  <c:v>332.17320370212769</c:v>
                </c:pt>
                <c:pt idx="4">
                  <c:v>341.10937391489364</c:v>
                </c:pt>
                <c:pt idx="5">
                  <c:v>350.04554412765958</c:v>
                </c:pt>
                <c:pt idx="6">
                  <c:v>358.98171434042553</c:v>
                </c:pt>
                <c:pt idx="7">
                  <c:v>367.91788455319147</c:v>
                </c:pt>
                <c:pt idx="8">
                  <c:v>376.85405476595747</c:v>
                </c:pt>
                <c:pt idx="9">
                  <c:v>385.79022497872342</c:v>
                </c:pt>
                <c:pt idx="10">
                  <c:v>394.72639519148936</c:v>
                </c:pt>
                <c:pt idx="11">
                  <c:v>403.6625654042553</c:v>
                </c:pt>
                <c:pt idx="12">
                  <c:v>412.59873561702125</c:v>
                </c:pt>
                <c:pt idx="13">
                  <c:v>421.53490582978725</c:v>
                </c:pt>
                <c:pt idx="14">
                  <c:v>430.47107604255308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Prices!$R$27</c:f>
              <c:strCache>
                <c:ptCount val="1"/>
                <c:pt idx="0">
                  <c:v>Non Irrigated Peanut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square"/>
            <c:size val="6"/>
          </c:marker>
          <c:dLbls>
            <c:spPr>
              <a:solidFill>
                <a:schemeClr val="accent6">
                  <a:lumMod val="75000"/>
                  <a:alpha val="5000"/>
                </a:scheme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Prices!$T$7:$T$21</c:f>
              <c:numCache>
                <c:formatCode>_("$"* #,##0.00_);_("$"* \(#,##0.00\);_("$"* "-"??_);_(@_)</c:formatCode>
                <c:ptCount val="15"/>
                <c:pt idx="0">
                  <c:v>6.1500000000000021</c:v>
                </c:pt>
                <c:pt idx="1">
                  <c:v>6.5000000000000018</c:v>
                </c:pt>
                <c:pt idx="2">
                  <c:v>6.8500000000000014</c:v>
                </c:pt>
                <c:pt idx="3">
                  <c:v>7.2000000000000011</c:v>
                </c:pt>
                <c:pt idx="4">
                  <c:v>7.5500000000000007</c:v>
                </c:pt>
                <c:pt idx="5">
                  <c:v>7.9</c:v>
                </c:pt>
                <c:pt idx="6">
                  <c:v>8.25</c:v>
                </c:pt>
                <c:pt idx="7">
                  <c:v>8.6</c:v>
                </c:pt>
                <c:pt idx="8">
                  <c:v>8.9499999999999993</c:v>
                </c:pt>
                <c:pt idx="9">
                  <c:v>9.2999999999999989</c:v>
                </c:pt>
                <c:pt idx="10">
                  <c:v>9.6499999999999986</c:v>
                </c:pt>
                <c:pt idx="11">
                  <c:v>9.9999999999999982</c:v>
                </c:pt>
                <c:pt idx="12">
                  <c:v>10.349999999999998</c:v>
                </c:pt>
                <c:pt idx="13">
                  <c:v>10.699999999999998</c:v>
                </c:pt>
                <c:pt idx="14">
                  <c:v>11.049999999999997</c:v>
                </c:pt>
              </c:numCache>
            </c:numRef>
          </c:cat>
          <c:val>
            <c:numRef>
              <c:f>Prices!$R$28:$R$42</c:f>
              <c:numCache>
                <c:formatCode>_("$"* #,##0_);_("$"* \(#,##0\);_("$"* "-"??_);_(@_)</c:formatCode>
                <c:ptCount val="15"/>
                <c:pt idx="0">
                  <c:v>309.46960741176474</c:v>
                </c:pt>
                <c:pt idx="1">
                  <c:v>315.64607800000005</c:v>
                </c:pt>
                <c:pt idx="2">
                  <c:v>321.82254858823535</c:v>
                </c:pt>
                <c:pt idx="3">
                  <c:v>327.9990191764706</c:v>
                </c:pt>
                <c:pt idx="4">
                  <c:v>334.1754897647059</c:v>
                </c:pt>
                <c:pt idx="5">
                  <c:v>340.35196035294121</c:v>
                </c:pt>
                <c:pt idx="6">
                  <c:v>346.52843094117651</c:v>
                </c:pt>
                <c:pt idx="7">
                  <c:v>352.70490152941181</c:v>
                </c:pt>
                <c:pt idx="8">
                  <c:v>358.88137211764712</c:v>
                </c:pt>
                <c:pt idx="9">
                  <c:v>365.05784270588236</c:v>
                </c:pt>
                <c:pt idx="10">
                  <c:v>371.23431329411767</c:v>
                </c:pt>
                <c:pt idx="11">
                  <c:v>377.41078388235297</c:v>
                </c:pt>
                <c:pt idx="12">
                  <c:v>383.58725447058828</c:v>
                </c:pt>
                <c:pt idx="13">
                  <c:v>389.76372505882358</c:v>
                </c:pt>
                <c:pt idx="14">
                  <c:v>395.94019564705877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748096"/>
        <c:axId val="139750016"/>
      </c:lineChart>
      <c:catAx>
        <c:axId val="1397480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Soybean Price ($/bu)</a:t>
                </a:r>
              </a:p>
            </c:rich>
          </c:tx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39750016"/>
        <c:crosses val="autoZero"/>
        <c:auto val="1"/>
        <c:lblAlgn val="ctr"/>
        <c:lblOffset val="100"/>
        <c:noMultiLvlLbl val="0"/>
      </c:catAx>
      <c:valAx>
        <c:axId val="1397500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Peanut Price ($/ton)</a:t>
                </a:r>
              </a:p>
            </c:rich>
          </c:tx>
          <c:layout>
            <c:manualLayout>
              <c:xMode val="edge"/>
              <c:yMode val="edge"/>
              <c:x val="8.3441062404512902E-5"/>
              <c:y val="0.30024372759856599"/>
            </c:manualLayout>
          </c:layout>
          <c:overlay val="0"/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397480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4752353716979"/>
          <c:y val="0.69685998927553405"/>
          <c:w val="0.221831524790744"/>
          <c:h val="0.102313210848644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CFFCC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Corn Price Needed to Give Equal Returns Above Variable Costs  to Soybean at Budgeted Yields *</a:t>
            </a:r>
          </a:p>
        </c:rich>
      </c:tx>
      <c:layout>
        <c:manualLayout>
          <c:xMode val="edge"/>
          <c:yMode val="edge"/>
          <c:x val="0.113766909571086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0"/>
          <c:order val="0"/>
          <c:tx>
            <c:strRef>
              <c:f>Prices!$S$6</c:f>
              <c:strCache>
                <c:ptCount val="1"/>
                <c:pt idx="0">
                  <c:v>Irrigated Corn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circle"/>
            <c:size val="7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rgbClr val="7030A0"/>
                </a:solidFill>
              </a:ln>
            </c:spPr>
          </c:marker>
          <c:dLbls>
            <c:spPr>
              <a:solidFill>
                <a:schemeClr val="accent4">
                  <a:lumMod val="40000"/>
                  <a:lumOff val="60000"/>
                  <a:alpha val="5000"/>
                </a:scheme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Prices!$T$7:$T$21</c:f>
              <c:numCache>
                <c:formatCode>_("$"* #,##0.00_);_("$"* \(#,##0.00\);_("$"* "-"??_);_(@_)</c:formatCode>
                <c:ptCount val="15"/>
                <c:pt idx="0">
                  <c:v>6.1500000000000021</c:v>
                </c:pt>
                <c:pt idx="1">
                  <c:v>6.5000000000000018</c:v>
                </c:pt>
                <c:pt idx="2">
                  <c:v>6.8500000000000014</c:v>
                </c:pt>
                <c:pt idx="3">
                  <c:v>7.2000000000000011</c:v>
                </c:pt>
                <c:pt idx="4">
                  <c:v>7.5500000000000007</c:v>
                </c:pt>
                <c:pt idx="5">
                  <c:v>7.9</c:v>
                </c:pt>
                <c:pt idx="6">
                  <c:v>8.25</c:v>
                </c:pt>
                <c:pt idx="7">
                  <c:v>8.6</c:v>
                </c:pt>
                <c:pt idx="8">
                  <c:v>8.9499999999999993</c:v>
                </c:pt>
                <c:pt idx="9">
                  <c:v>9.2999999999999989</c:v>
                </c:pt>
                <c:pt idx="10">
                  <c:v>9.6499999999999986</c:v>
                </c:pt>
                <c:pt idx="11">
                  <c:v>9.9999999999999982</c:v>
                </c:pt>
                <c:pt idx="12">
                  <c:v>10.349999999999998</c:v>
                </c:pt>
                <c:pt idx="13">
                  <c:v>10.699999999999998</c:v>
                </c:pt>
                <c:pt idx="14">
                  <c:v>11.049999999999997</c:v>
                </c:pt>
              </c:numCache>
            </c:numRef>
          </c:cat>
          <c:val>
            <c:numRef>
              <c:f>Prices!$S$7:$S$21</c:f>
              <c:numCache>
                <c:formatCode>_("$"* #,##0.00_);_("$"* \(#,##0.00\);_("$"* "-"??_);_(@_)</c:formatCode>
                <c:ptCount val="15"/>
                <c:pt idx="0">
                  <c:v>3.4347990185000001</c:v>
                </c:pt>
                <c:pt idx="1">
                  <c:v>3.5397990185000001</c:v>
                </c:pt>
                <c:pt idx="2">
                  <c:v>3.6447990185000005</c:v>
                </c:pt>
                <c:pt idx="3">
                  <c:v>3.7497990185000005</c:v>
                </c:pt>
                <c:pt idx="4">
                  <c:v>3.8547990185000005</c:v>
                </c:pt>
                <c:pt idx="5">
                  <c:v>3.9597990185000005</c:v>
                </c:pt>
                <c:pt idx="6">
                  <c:v>4.0647990185000005</c:v>
                </c:pt>
                <c:pt idx="7">
                  <c:v>4.1697990185</c:v>
                </c:pt>
                <c:pt idx="8">
                  <c:v>4.2747990185000004</c:v>
                </c:pt>
                <c:pt idx="9">
                  <c:v>4.3797990184999991</c:v>
                </c:pt>
                <c:pt idx="10">
                  <c:v>4.4847990184999995</c:v>
                </c:pt>
                <c:pt idx="11">
                  <c:v>4.5897990184999991</c:v>
                </c:pt>
                <c:pt idx="12">
                  <c:v>4.6947990184999995</c:v>
                </c:pt>
                <c:pt idx="13">
                  <c:v>4.799799018499999</c:v>
                </c:pt>
                <c:pt idx="14">
                  <c:v>4.9047990184999994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Prices!$S$27</c:f>
              <c:strCache>
                <c:ptCount val="1"/>
                <c:pt idx="0">
                  <c:v>Non Irrigated Corn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square"/>
            <c:size val="6"/>
            <c:spPr>
              <a:gradFill>
                <a:gsLst>
                  <a:gs pos="0">
                    <a:schemeClr val="accent1">
                      <a:tint val="66000"/>
                      <a:satMod val="160000"/>
                      <a:alpha val="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  <a:ln>
                <a:solidFill>
                  <a:schemeClr val="accent6">
                    <a:lumMod val="50000"/>
                  </a:schemeClr>
                </a:solidFill>
              </a:ln>
            </c:spPr>
          </c:marker>
          <c:dLbls>
            <c:spPr>
              <a:solidFill>
                <a:srgbClr val="FFC000">
                  <a:alpha val="5000"/>
                </a:srgb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Prices!$T$7:$T$21</c:f>
              <c:numCache>
                <c:formatCode>_("$"* #,##0.00_);_("$"* \(#,##0.00\);_("$"* "-"??_);_(@_)</c:formatCode>
                <c:ptCount val="15"/>
                <c:pt idx="0">
                  <c:v>6.1500000000000021</c:v>
                </c:pt>
                <c:pt idx="1">
                  <c:v>6.5000000000000018</c:v>
                </c:pt>
                <c:pt idx="2">
                  <c:v>6.8500000000000014</c:v>
                </c:pt>
                <c:pt idx="3">
                  <c:v>7.2000000000000011</c:v>
                </c:pt>
                <c:pt idx="4">
                  <c:v>7.5500000000000007</c:v>
                </c:pt>
                <c:pt idx="5">
                  <c:v>7.9</c:v>
                </c:pt>
                <c:pt idx="6">
                  <c:v>8.25</c:v>
                </c:pt>
                <c:pt idx="7">
                  <c:v>8.6</c:v>
                </c:pt>
                <c:pt idx="8">
                  <c:v>8.9499999999999993</c:v>
                </c:pt>
                <c:pt idx="9">
                  <c:v>9.2999999999999989</c:v>
                </c:pt>
                <c:pt idx="10">
                  <c:v>9.6499999999999986</c:v>
                </c:pt>
                <c:pt idx="11">
                  <c:v>9.9999999999999982</c:v>
                </c:pt>
                <c:pt idx="12">
                  <c:v>10.349999999999998</c:v>
                </c:pt>
                <c:pt idx="13">
                  <c:v>10.699999999999998</c:v>
                </c:pt>
                <c:pt idx="14">
                  <c:v>11.049999999999997</c:v>
                </c:pt>
              </c:numCache>
            </c:numRef>
          </c:cat>
          <c:val>
            <c:numRef>
              <c:f>Prices!$S$28:$S$42</c:f>
              <c:numCache>
                <c:formatCode>_("$"* #,##0.00_);_("$"* \(#,##0.00\);_("$"* "-"??_);_(@_)</c:formatCode>
                <c:ptCount val="15"/>
                <c:pt idx="0">
                  <c:v>3.3227436288235301</c:v>
                </c:pt>
                <c:pt idx="1">
                  <c:v>3.446273040588236</c:v>
                </c:pt>
                <c:pt idx="2">
                  <c:v>3.5698024523529419</c:v>
                </c:pt>
                <c:pt idx="3">
                  <c:v>3.6933318641176478</c:v>
                </c:pt>
                <c:pt idx="4">
                  <c:v>3.8168612758823537</c:v>
                </c:pt>
                <c:pt idx="5">
                  <c:v>3.9403906876470587</c:v>
                </c:pt>
                <c:pt idx="6">
                  <c:v>4.0639200994117646</c:v>
                </c:pt>
                <c:pt idx="7">
                  <c:v>4.1874495111764709</c:v>
                </c:pt>
                <c:pt idx="8">
                  <c:v>4.3109789229411764</c:v>
                </c:pt>
                <c:pt idx="9">
                  <c:v>4.4345083347058818</c:v>
                </c:pt>
                <c:pt idx="10">
                  <c:v>4.5580377464705872</c:v>
                </c:pt>
                <c:pt idx="11">
                  <c:v>4.6815671582352936</c:v>
                </c:pt>
                <c:pt idx="12">
                  <c:v>4.805096569999999</c:v>
                </c:pt>
                <c:pt idx="13">
                  <c:v>4.9286259817647053</c:v>
                </c:pt>
                <c:pt idx="14">
                  <c:v>5.0521553935294108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54592"/>
        <c:axId val="139856512"/>
      </c:lineChart>
      <c:catAx>
        <c:axId val="1398545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Soybean Price ($/bu)</a:t>
                </a:r>
              </a:p>
            </c:rich>
          </c:tx>
          <c:layout>
            <c:manualLayout>
              <c:xMode val="edge"/>
              <c:yMode val="edge"/>
              <c:x val="0.437289512723953"/>
              <c:y val="0.933117051355705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39856512"/>
        <c:crosses val="autoZero"/>
        <c:auto val="1"/>
        <c:lblAlgn val="ctr"/>
        <c:lblOffset val="100"/>
        <c:noMultiLvlLbl val="0"/>
      </c:catAx>
      <c:valAx>
        <c:axId val="13985651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Corn Price ($/bu)</a:t>
                </a:r>
              </a:p>
            </c:rich>
          </c:tx>
          <c:layout>
            <c:manualLayout>
              <c:xMode val="edge"/>
              <c:yMode val="edge"/>
              <c:x val="8.3467827391141405E-5"/>
              <c:y val="0.30024376781228501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398545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811890904941199"/>
          <c:y val="0.69937300755860499"/>
          <c:w val="0.199308912472897"/>
          <c:h val="0.10231309069199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CFFCC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Peanut Price Needed to Give Equal Returns Above Variable Costs to Cotton at Budgeted Yields *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0"/>
          <c:order val="0"/>
          <c:tx>
            <c:strRef>
              <c:f>Prices!$C$6</c:f>
              <c:strCache>
                <c:ptCount val="1"/>
                <c:pt idx="0">
                  <c:v>Irrigated Peanut</c:v>
                </c:pt>
              </c:strCache>
            </c:strRef>
          </c:tx>
          <c:marker>
            <c:symbol val="circle"/>
            <c:size val="7"/>
          </c:marker>
          <c:dLbls>
            <c:spPr>
              <a:solidFill>
                <a:schemeClr val="tx2">
                  <a:lumMod val="60000"/>
                  <a:lumOff val="40000"/>
                  <a:alpha val="5000"/>
                </a:scheme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Prices!$B$28:$B$42</c:f>
              <c:numCache>
                <c:formatCode>_("$"* #,##0.00_);_("$"* \(#,##0.00\);_("$"* "-"??_);_(@_)</c:formatCode>
                <c:ptCount val="15"/>
                <c:pt idx="0">
                  <c:v>0.5249999999999998</c:v>
                </c:pt>
                <c:pt idx="1">
                  <c:v>0.54999999999999982</c:v>
                </c:pt>
                <c:pt idx="2">
                  <c:v>0.57499999999999984</c:v>
                </c:pt>
                <c:pt idx="3">
                  <c:v>0.59999999999999987</c:v>
                </c:pt>
                <c:pt idx="4">
                  <c:v>0.62499999999999989</c:v>
                </c:pt>
                <c:pt idx="5">
                  <c:v>0.64999999999999991</c:v>
                </c:pt>
                <c:pt idx="6">
                  <c:v>0.67499999999999993</c:v>
                </c:pt>
                <c:pt idx="7">
                  <c:v>0.7</c:v>
                </c:pt>
                <c:pt idx="8">
                  <c:v>0.72499999999999998</c:v>
                </c:pt>
                <c:pt idx="9">
                  <c:v>0.75</c:v>
                </c:pt>
                <c:pt idx="10">
                  <c:v>0.77500000000000002</c:v>
                </c:pt>
                <c:pt idx="11">
                  <c:v>0.8</c:v>
                </c:pt>
                <c:pt idx="12">
                  <c:v>0.82500000000000007</c:v>
                </c:pt>
                <c:pt idx="13">
                  <c:v>0.85000000000000009</c:v>
                </c:pt>
                <c:pt idx="14">
                  <c:v>0.87500000000000011</c:v>
                </c:pt>
              </c:numCache>
            </c:numRef>
          </c:cat>
          <c:val>
            <c:numRef>
              <c:f>Prices!$C$49:$C$63</c:f>
              <c:numCache>
                <c:formatCode>_("$"* #,##0_);_("$"* \(#,##0\);_("$"* "-"??_);_(@_)</c:formatCode>
                <c:ptCount val="15"/>
                <c:pt idx="0">
                  <c:v>287.81042624113468</c:v>
                </c:pt>
                <c:pt idx="1">
                  <c:v>300.57638368794312</c:v>
                </c:pt>
                <c:pt idx="2">
                  <c:v>313.34234113475168</c:v>
                </c:pt>
                <c:pt idx="3">
                  <c:v>326.10829858156029</c:v>
                </c:pt>
                <c:pt idx="4">
                  <c:v>338.87425602836873</c:v>
                </c:pt>
                <c:pt idx="5">
                  <c:v>351.64021347517729</c:v>
                </c:pt>
                <c:pt idx="6">
                  <c:v>364.40617092198579</c:v>
                </c:pt>
                <c:pt idx="7">
                  <c:v>377.17212836879435</c:v>
                </c:pt>
                <c:pt idx="8">
                  <c:v>389.93808581560285</c:v>
                </c:pt>
                <c:pt idx="9">
                  <c:v>402.7040432624114</c:v>
                </c:pt>
                <c:pt idx="10">
                  <c:v>415.47000070921985</c:v>
                </c:pt>
                <c:pt idx="11">
                  <c:v>428.2359581560284</c:v>
                </c:pt>
                <c:pt idx="12">
                  <c:v>441.0019156028369</c:v>
                </c:pt>
                <c:pt idx="13">
                  <c:v>453.7678730496454</c:v>
                </c:pt>
                <c:pt idx="14">
                  <c:v>466.53383049645402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Prices!$C$27</c:f>
              <c:strCache>
                <c:ptCount val="1"/>
                <c:pt idx="0">
                  <c:v>Non Irrigated Peanut</c:v>
                </c:pt>
              </c:strCache>
            </c:strRef>
          </c:tx>
          <c:marker>
            <c:symbol val="square"/>
            <c:size val="6"/>
          </c:marker>
          <c:dLbls>
            <c:spPr>
              <a:solidFill>
                <a:schemeClr val="accent2">
                  <a:lumMod val="60000"/>
                  <a:lumOff val="40000"/>
                  <a:alpha val="5000"/>
                </a:scheme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Prices!$B$28:$B$42</c:f>
              <c:numCache>
                <c:formatCode>_("$"* #,##0.00_);_("$"* \(#,##0.00\);_("$"* "-"??_);_(@_)</c:formatCode>
                <c:ptCount val="15"/>
                <c:pt idx="0">
                  <c:v>0.5249999999999998</c:v>
                </c:pt>
                <c:pt idx="1">
                  <c:v>0.54999999999999982</c:v>
                </c:pt>
                <c:pt idx="2">
                  <c:v>0.57499999999999984</c:v>
                </c:pt>
                <c:pt idx="3">
                  <c:v>0.59999999999999987</c:v>
                </c:pt>
                <c:pt idx="4">
                  <c:v>0.62499999999999989</c:v>
                </c:pt>
                <c:pt idx="5">
                  <c:v>0.64999999999999991</c:v>
                </c:pt>
                <c:pt idx="6">
                  <c:v>0.67499999999999993</c:v>
                </c:pt>
                <c:pt idx="7">
                  <c:v>0.7</c:v>
                </c:pt>
                <c:pt idx="8">
                  <c:v>0.72499999999999998</c:v>
                </c:pt>
                <c:pt idx="9">
                  <c:v>0.75</c:v>
                </c:pt>
                <c:pt idx="10">
                  <c:v>0.77500000000000002</c:v>
                </c:pt>
                <c:pt idx="11">
                  <c:v>0.8</c:v>
                </c:pt>
                <c:pt idx="12">
                  <c:v>0.82500000000000007</c:v>
                </c:pt>
                <c:pt idx="13">
                  <c:v>0.85000000000000009</c:v>
                </c:pt>
                <c:pt idx="14">
                  <c:v>0.87500000000000011</c:v>
                </c:pt>
              </c:numCache>
            </c:numRef>
          </c:cat>
          <c:val>
            <c:numRef>
              <c:f>Prices!$C$70:$C$84</c:f>
              <c:numCache>
                <c:formatCode>_("$"* #,##0_);_("$"* \(#,##0\);_("$"* "-"??_);_(@_)</c:formatCode>
                <c:ptCount val="15"/>
                <c:pt idx="0">
                  <c:v>280.75618031862734</c:v>
                </c:pt>
                <c:pt idx="1">
                  <c:v>291.78559208333326</c:v>
                </c:pt>
                <c:pt idx="2">
                  <c:v>302.81500384803917</c:v>
                </c:pt>
                <c:pt idx="3">
                  <c:v>313.84441561274508</c:v>
                </c:pt>
                <c:pt idx="4">
                  <c:v>324.87382737745088</c:v>
                </c:pt>
                <c:pt idx="5">
                  <c:v>335.90323914215679</c:v>
                </c:pt>
                <c:pt idx="6">
                  <c:v>346.9326509068627</c:v>
                </c:pt>
                <c:pt idx="7">
                  <c:v>357.96206267156867</c:v>
                </c:pt>
                <c:pt idx="8">
                  <c:v>368.99147443627453</c:v>
                </c:pt>
                <c:pt idx="9">
                  <c:v>380.02088620098039</c:v>
                </c:pt>
                <c:pt idx="10">
                  <c:v>391.0502979656863</c:v>
                </c:pt>
                <c:pt idx="11">
                  <c:v>402.07970973039215</c:v>
                </c:pt>
                <c:pt idx="12">
                  <c:v>413.10912149509807</c:v>
                </c:pt>
                <c:pt idx="13">
                  <c:v>424.13853325980398</c:v>
                </c:pt>
                <c:pt idx="14">
                  <c:v>435.16794502450989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108608"/>
        <c:axId val="41110528"/>
      </c:lineChart>
      <c:catAx>
        <c:axId val="411086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Cotton Price ($/lb)</a:t>
                </a:r>
              </a:p>
            </c:rich>
          </c:tx>
          <c:layout>
            <c:manualLayout>
              <c:xMode val="edge"/>
              <c:yMode val="edge"/>
              <c:x val="0.44886532661678202"/>
              <c:y val="0.93017475379680103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1110528"/>
        <c:crosses val="autoZero"/>
        <c:auto val="1"/>
        <c:lblAlgn val="ctr"/>
        <c:lblOffset val="100"/>
        <c:noMultiLvlLbl val="0"/>
      </c:catAx>
      <c:valAx>
        <c:axId val="411105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Peanut Price ($/ton)</a:t>
                </a:r>
              </a:p>
            </c:rich>
          </c:tx>
          <c:layout>
            <c:manualLayout>
              <c:xMode val="edge"/>
              <c:yMode val="edge"/>
              <c:x val="8.3467827391141405E-5"/>
              <c:y val="0.30024384772416302"/>
            </c:manualLayout>
          </c:layout>
          <c:overlay val="0"/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11086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4133059454525"/>
          <c:y val="0.70512775646633896"/>
          <c:w val="0.21994215940398801"/>
          <c:h val="9.6314467101868695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EF4CE"/>
    </a:solidFill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Corn Price Needed to Give Equal Returns Above Variable Costs to Cotton at Budgeted Yields *
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1"/>
          <c:order val="0"/>
          <c:tx>
            <c:strRef>
              <c:f>Prices!$D$27</c:f>
              <c:strCache>
                <c:ptCount val="1"/>
                <c:pt idx="0">
                  <c:v>Non Irrigated Corn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square"/>
            <c:size val="6"/>
            <c:spPr>
              <a:solidFill>
                <a:schemeClr val="accent2"/>
              </a:solidFill>
              <a:ln>
                <a:solidFill>
                  <a:srgbClr val="FF0000"/>
                </a:solidFill>
              </a:ln>
            </c:spPr>
          </c:marker>
          <c:dLbls>
            <c:spPr>
              <a:solidFill>
                <a:schemeClr val="accent6">
                  <a:alpha val="5000"/>
                </a:scheme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Prices!$B$28:$B$42</c:f>
              <c:numCache>
                <c:formatCode>_("$"* #,##0.00_);_("$"* \(#,##0.00\);_("$"* "-"??_);_(@_)</c:formatCode>
                <c:ptCount val="15"/>
                <c:pt idx="0">
                  <c:v>0.5249999999999998</c:v>
                </c:pt>
                <c:pt idx="1">
                  <c:v>0.54999999999999982</c:v>
                </c:pt>
                <c:pt idx="2">
                  <c:v>0.57499999999999984</c:v>
                </c:pt>
                <c:pt idx="3">
                  <c:v>0.59999999999999987</c:v>
                </c:pt>
                <c:pt idx="4">
                  <c:v>0.62499999999999989</c:v>
                </c:pt>
                <c:pt idx="5">
                  <c:v>0.64999999999999991</c:v>
                </c:pt>
                <c:pt idx="6">
                  <c:v>0.67499999999999993</c:v>
                </c:pt>
                <c:pt idx="7">
                  <c:v>0.7</c:v>
                </c:pt>
                <c:pt idx="8">
                  <c:v>0.72499999999999998</c:v>
                </c:pt>
                <c:pt idx="9">
                  <c:v>0.75</c:v>
                </c:pt>
                <c:pt idx="10">
                  <c:v>0.77500000000000002</c:v>
                </c:pt>
                <c:pt idx="11">
                  <c:v>0.8</c:v>
                </c:pt>
                <c:pt idx="12">
                  <c:v>0.82500000000000007</c:v>
                </c:pt>
                <c:pt idx="13">
                  <c:v>0.85000000000000009</c:v>
                </c:pt>
                <c:pt idx="14">
                  <c:v>0.87500000000000011</c:v>
                </c:pt>
              </c:numCache>
            </c:numRef>
          </c:cat>
          <c:val>
            <c:numRef>
              <c:f>Prices!$D$70:$D$84</c:f>
              <c:numCache>
                <c:formatCode>_("$"* #,##0.00_);_("$"* \(#,##0.00\);_("$"* "-"??_);_(@_)</c:formatCode>
                <c:ptCount val="15"/>
                <c:pt idx="0">
                  <c:v>2.9033525163725473</c:v>
                </c:pt>
                <c:pt idx="1">
                  <c:v>3.1239407516666655</c:v>
                </c:pt>
                <c:pt idx="2">
                  <c:v>3.3445289869607833</c:v>
                </c:pt>
                <c:pt idx="3">
                  <c:v>3.5651172222549006</c:v>
                </c:pt>
                <c:pt idx="4">
                  <c:v>3.7857054575490192</c:v>
                </c:pt>
                <c:pt idx="5">
                  <c:v>4.006293692843137</c:v>
                </c:pt>
                <c:pt idx="6">
                  <c:v>4.2268819281372547</c:v>
                </c:pt>
                <c:pt idx="7">
                  <c:v>4.4474701634313725</c:v>
                </c:pt>
                <c:pt idx="8">
                  <c:v>4.6680583987254902</c:v>
                </c:pt>
                <c:pt idx="9">
                  <c:v>4.888646634019608</c:v>
                </c:pt>
                <c:pt idx="10">
                  <c:v>5.1092348693137257</c:v>
                </c:pt>
                <c:pt idx="11">
                  <c:v>5.3298231046078435</c:v>
                </c:pt>
                <c:pt idx="12">
                  <c:v>5.5504113399019612</c:v>
                </c:pt>
                <c:pt idx="13">
                  <c:v>5.7709995751960799</c:v>
                </c:pt>
                <c:pt idx="14">
                  <c:v>5.9915878104901976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Prices!$D$6</c:f>
              <c:strCache>
                <c:ptCount val="1"/>
                <c:pt idx="0">
                  <c:v>Irrigated Corn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rgbClr val="92D050"/>
              </a:solidFill>
              <a:ln>
                <a:solidFill>
                  <a:srgbClr val="00B050"/>
                </a:solidFill>
              </a:ln>
            </c:spPr>
          </c:marker>
          <c:dLbls>
            <c:spPr>
              <a:solidFill>
                <a:srgbClr val="00B050">
                  <a:alpha val="5000"/>
                </a:srgb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Prices!$B$28:$B$42</c:f>
              <c:numCache>
                <c:formatCode>_("$"* #,##0.00_);_("$"* \(#,##0.00\);_("$"* "-"??_);_(@_)</c:formatCode>
                <c:ptCount val="15"/>
                <c:pt idx="0">
                  <c:v>0.5249999999999998</c:v>
                </c:pt>
                <c:pt idx="1">
                  <c:v>0.54999999999999982</c:v>
                </c:pt>
                <c:pt idx="2">
                  <c:v>0.57499999999999984</c:v>
                </c:pt>
                <c:pt idx="3">
                  <c:v>0.59999999999999987</c:v>
                </c:pt>
                <c:pt idx="4">
                  <c:v>0.62499999999999989</c:v>
                </c:pt>
                <c:pt idx="5">
                  <c:v>0.64999999999999991</c:v>
                </c:pt>
                <c:pt idx="6">
                  <c:v>0.67499999999999993</c:v>
                </c:pt>
                <c:pt idx="7">
                  <c:v>0.7</c:v>
                </c:pt>
                <c:pt idx="8">
                  <c:v>0.72499999999999998</c:v>
                </c:pt>
                <c:pt idx="9">
                  <c:v>0.75</c:v>
                </c:pt>
                <c:pt idx="10">
                  <c:v>0.77500000000000002</c:v>
                </c:pt>
                <c:pt idx="11">
                  <c:v>0.8</c:v>
                </c:pt>
                <c:pt idx="12">
                  <c:v>0.82500000000000007</c:v>
                </c:pt>
                <c:pt idx="13">
                  <c:v>0.85000000000000009</c:v>
                </c:pt>
                <c:pt idx="14">
                  <c:v>0.87500000000000011</c:v>
                </c:pt>
              </c:numCache>
            </c:numRef>
          </c:cat>
          <c:val>
            <c:numRef>
              <c:f>Prices!$D$49:$D$63</c:f>
              <c:numCache>
                <c:formatCode>_("$"* #,##0.00_);_("$"* \(#,##0.00\);_("$"* "-"??_);_(@_)</c:formatCode>
                <c:ptCount val="15"/>
                <c:pt idx="0">
                  <c:v>3.3975566333333322</c:v>
                </c:pt>
                <c:pt idx="1">
                  <c:v>3.5475566333333326</c:v>
                </c:pt>
                <c:pt idx="2">
                  <c:v>3.6975566333333325</c:v>
                </c:pt>
                <c:pt idx="3">
                  <c:v>3.8475566333333329</c:v>
                </c:pt>
                <c:pt idx="4">
                  <c:v>3.9975566333333332</c:v>
                </c:pt>
                <c:pt idx="5">
                  <c:v>4.1475566333333331</c:v>
                </c:pt>
                <c:pt idx="6">
                  <c:v>4.2975566333333326</c:v>
                </c:pt>
                <c:pt idx="7">
                  <c:v>4.4475566333333338</c:v>
                </c:pt>
                <c:pt idx="8">
                  <c:v>4.5975566333333333</c:v>
                </c:pt>
                <c:pt idx="9">
                  <c:v>4.7475566333333337</c:v>
                </c:pt>
                <c:pt idx="10">
                  <c:v>4.897556633333334</c:v>
                </c:pt>
                <c:pt idx="11">
                  <c:v>5.0475566333333335</c:v>
                </c:pt>
                <c:pt idx="12">
                  <c:v>5.1975566333333338</c:v>
                </c:pt>
                <c:pt idx="13">
                  <c:v>5.3475566333333333</c:v>
                </c:pt>
                <c:pt idx="14">
                  <c:v>5.4975566333333346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924608"/>
        <c:axId val="139926528"/>
      </c:lineChart>
      <c:catAx>
        <c:axId val="1399246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Cotton Price ($/lb)</a:t>
                </a:r>
              </a:p>
            </c:rich>
          </c:tx>
          <c:layout>
            <c:manualLayout>
              <c:xMode val="edge"/>
              <c:yMode val="edge"/>
              <c:x val="0.44852271726903697"/>
              <c:y val="0.932920804599639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39926528"/>
        <c:crosses val="autoZero"/>
        <c:auto val="1"/>
        <c:lblAlgn val="ctr"/>
        <c:lblOffset val="100"/>
        <c:noMultiLvlLbl val="0"/>
      </c:catAx>
      <c:valAx>
        <c:axId val="1399265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Corn Price ($/bu)</a:t>
                </a:r>
              </a:p>
            </c:rich>
          </c:tx>
          <c:layout>
            <c:manualLayout>
              <c:xMode val="edge"/>
              <c:yMode val="edge"/>
              <c:x val="8.3467827391141405E-5"/>
              <c:y val="0.30024380785378302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399246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811890904941199"/>
          <c:y val="0.71092639116042"/>
          <c:w val="0.199308912472897"/>
          <c:h val="8.5449650699444199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EF4CE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100"/>
              <a:t>Soybean Price Needed to Give Equal Returns Above Variable Costs to Cotton at Budgeted Yields *</a:t>
            </a:r>
          </a:p>
        </c:rich>
      </c:tx>
      <c:layout>
        <c:manualLayout>
          <c:xMode val="edge"/>
          <c:yMode val="edge"/>
          <c:x val="0.12883115697494299"/>
          <c:y val="8.6096012192024406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1"/>
          <c:order val="0"/>
          <c:tx>
            <c:strRef>
              <c:f>Prices!$E$27</c:f>
              <c:strCache>
                <c:ptCount val="1"/>
                <c:pt idx="0">
                  <c:v>Non Irrigated Soybean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square"/>
            <c:size val="6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accent6">
                    <a:lumMod val="50000"/>
                  </a:schemeClr>
                </a:solidFill>
              </a:ln>
            </c:spPr>
          </c:marker>
          <c:dLbls>
            <c:spPr>
              <a:solidFill>
                <a:srgbClr val="FFC000">
                  <a:alpha val="5000"/>
                </a:srgb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Prices!$B$28:$B$42</c:f>
              <c:numCache>
                <c:formatCode>_("$"* #,##0.00_);_("$"* \(#,##0.00\);_("$"* "-"??_);_(@_)</c:formatCode>
                <c:ptCount val="15"/>
                <c:pt idx="0">
                  <c:v>0.5249999999999998</c:v>
                </c:pt>
                <c:pt idx="1">
                  <c:v>0.54999999999999982</c:v>
                </c:pt>
                <c:pt idx="2">
                  <c:v>0.57499999999999984</c:v>
                </c:pt>
                <c:pt idx="3">
                  <c:v>0.59999999999999987</c:v>
                </c:pt>
                <c:pt idx="4">
                  <c:v>0.62499999999999989</c:v>
                </c:pt>
                <c:pt idx="5">
                  <c:v>0.64999999999999991</c:v>
                </c:pt>
                <c:pt idx="6">
                  <c:v>0.67499999999999993</c:v>
                </c:pt>
                <c:pt idx="7">
                  <c:v>0.7</c:v>
                </c:pt>
                <c:pt idx="8">
                  <c:v>0.72499999999999998</c:v>
                </c:pt>
                <c:pt idx="9">
                  <c:v>0.75</c:v>
                </c:pt>
                <c:pt idx="10">
                  <c:v>0.77500000000000002</c:v>
                </c:pt>
                <c:pt idx="11">
                  <c:v>0.8</c:v>
                </c:pt>
                <c:pt idx="12">
                  <c:v>0.82500000000000007</c:v>
                </c:pt>
                <c:pt idx="13">
                  <c:v>0.85000000000000009</c:v>
                </c:pt>
                <c:pt idx="14">
                  <c:v>0.87500000000000011</c:v>
                </c:pt>
              </c:numCache>
            </c:numRef>
          </c:cat>
          <c:val>
            <c:numRef>
              <c:f>Prices!$E$70:$E$84</c:f>
              <c:numCache>
                <c:formatCode>_("$"* #,##0.00_);_("$"* \(#,##0.00\);_("$"* "-"??_);_(@_)</c:formatCode>
                <c:ptCount val="15"/>
                <c:pt idx="0">
                  <c:v>5.2387741855555507</c:v>
                </c:pt>
                <c:pt idx="1">
                  <c:v>5.8637741855555525</c:v>
                </c:pt>
                <c:pt idx="2">
                  <c:v>6.4887741855555525</c:v>
                </c:pt>
                <c:pt idx="3">
                  <c:v>7.1137741855555525</c:v>
                </c:pt>
                <c:pt idx="4">
                  <c:v>7.7387741855555543</c:v>
                </c:pt>
                <c:pt idx="5">
                  <c:v>8.3637741855555543</c:v>
                </c:pt>
                <c:pt idx="6">
                  <c:v>8.9887741855555525</c:v>
                </c:pt>
                <c:pt idx="7">
                  <c:v>9.6137741855555578</c:v>
                </c:pt>
                <c:pt idx="8">
                  <c:v>10.238774185555558</c:v>
                </c:pt>
                <c:pt idx="9">
                  <c:v>10.863774185555558</c:v>
                </c:pt>
                <c:pt idx="10">
                  <c:v>11.488774185555558</c:v>
                </c:pt>
                <c:pt idx="11">
                  <c:v>12.113774185555558</c:v>
                </c:pt>
                <c:pt idx="12">
                  <c:v>12.738774185555558</c:v>
                </c:pt>
                <c:pt idx="13">
                  <c:v>13.363774185555561</c:v>
                </c:pt>
                <c:pt idx="14">
                  <c:v>13.988774185555561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Prices!$E$6</c:f>
              <c:strCache>
                <c:ptCount val="1"/>
                <c:pt idx="0">
                  <c:v>Irrigated Soybean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circle"/>
            <c:size val="7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rgbClr val="7030A0"/>
                </a:solidFill>
              </a:ln>
            </c:spPr>
          </c:marker>
          <c:dLbls>
            <c:spPr>
              <a:solidFill>
                <a:schemeClr val="accent4">
                  <a:lumMod val="60000"/>
                  <a:lumOff val="40000"/>
                  <a:alpha val="5000"/>
                </a:scheme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Prices!$B$28:$B$42</c:f>
              <c:numCache>
                <c:formatCode>_("$"* #,##0.00_);_("$"* \(#,##0.00\);_("$"* "-"??_);_(@_)</c:formatCode>
                <c:ptCount val="15"/>
                <c:pt idx="0">
                  <c:v>0.5249999999999998</c:v>
                </c:pt>
                <c:pt idx="1">
                  <c:v>0.54999999999999982</c:v>
                </c:pt>
                <c:pt idx="2">
                  <c:v>0.57499999999999984</c:v>
                </c:pt>
                <c:pt idx="3">
                  <c:v>0.59999999999999987</c:v>
                </c:pt>
                <c:pt idx="4">
                  <c:v>0.62499999999999989</c:v>
                </c:pt>
                <c:pt idx="5">
                  <c:v>0.64999999999999991</c:v>
                </c:pt>
                <c:pt idx="6">
                  <c:v>0.67499999999999993</c:v>
                </c:pt>
                <c:pt idx="7">
                  <c:v>0.7</c:v>
                </c:pt>
                <c:pt idx="8">
                  <c:v>0.72499999999999998</c:v>
                </c:pt>
                <c:pt idx="9">
                  <c:v>0.75</c:v>
                </c:pt>
                <c:pt idx="10">
                  <c:v>0.77500000000000002</c:v>
                </c:pt>
                <c:pt idx="11">
                  <c:v>0.8</c:v>
                </c:pt>
                <c:pt idx="12">
                  <c:v>0.82500000000000007</c:v>
                </c:pt>
                <c:pt idx="13">
                  <c:v>0.85000000000000009</c:v>
                </c:pt>
                <c:pt idx="14">
                  <c:v>0.87500000000000011</c:v>
                </c:pt>
              </c:numCache>
            </c:numRef>
          </c:cat>
          <c:val>
            <c:numRef>
              <c:f>Prices!$E$49:$E$63</c:f>
              <c:numCache>
                <c:formatCode>_("$"* #,##0.00_);_("$"* \(#,##0.00\);_("$"* "-"??_);_(@_)</c:formatCode>
                <c:ptCount val="15"/>
                <c:pt idx="0">
                  <c:v>5.8658040077777738</c:v>
                </c:pt>
                <c:pt idx="1">
                  <c:v>6.3658040077777738</c:v>
                </c:pt>
                <c:pt idx="2">
                  <c:v>6.8658040077777738</c:v>
                </c:pt>
                <c:pt idx="3">
                  <c:v>7.3658040077777764</c:v>
                </c:pt>
                <c:pt idx="4">
                  <c:v>7.8658040077777764</c:v>
                </c:pt>
                <c:pt idx="5">
                  <c:v>8.3658040077777756</c:v>
                </c:pt>
                <c:pt idx="6">
                  <c:v>8.8658040077777756</c:v>
                </c:pt>
                <c:pt idx="7">
                  <c:v>9.3658040077777773</c:v>
                </c:pt>
                <c:pt idx="8">
                  <c:v>9.8658040077777773</c:v>
                </c:pt>
                <c:pt idx="9">
                  <c:v>10.365804007777777</c:v>
                </c:pt>
                <c:pt idx="10">
                  <c:v>10.865804007777777</c:v>
                </c:pt>
                <c:pt idx="11">
                  <c:v>11.365804007777777</c:v>
                </c:pt>
                <c:pt idx="12">
                  <c:v>11.865804007777779</c:v>
                </c:pt>
                <c:pt idx="13">
                  <c:v>12.365804007777779</c:v>
                </c:pt>
                <c:pt idx="14">
                  <c:v>12.865804007777781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969664"/>
        <c:axId val="139971584"/>
      </c:lineChart>
      <c:catAx>
        <c:axId val="1399696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Cotton Price ($/lb)</a:t>
                </a:r>
              </a:p>
            </c:rich>
          </c:tx>
          <c:layout>
            <c:manualLayout>
              <c:xMode val="edge"/>
              <c:yMode val="edge"/>
              <c:x val="0.44852271726903697"/>
              <c:y val="0.91945090734625901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39971584"/>
        <c:crosses val="autoZero"/>
        <c:auto val="1"/>
        <c:lblAlgn val="ctr"/>
        <c:lblOffset val="100"/>
        <c:noMultiLvlLbl val="0"/>
      </c:catAx>
      <c:valAx>
        <c:axId val="13997158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Soybean Price ($/bu)</a:t>
                </a:r>
              </a:p>
            </c:rich>
          </c:tx>
          <c:layout>
            <c:manualLayout>
              <c:xMode val="edge"/>
              <c:yMode val="edge"/>
              <c:x val="8.3467827391141405E-5"/>
              <c:y val="0.30024372759856599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399696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802370355879401"/>
          <c:y val="0.69167950780345999"/>
          <c:w val="0.21861397760062601"/>
          <c:h val="0.102313210848644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EF4CE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100"/>
              <a:t>Cotton Price Needed to Give Equal Returns Above Variable Costs to Peanuts at Budgeted Yields *</a:t>
            </a:r>
          </a:p>
        </c:rich>
      </c:tx>
      <c:layout>
        <c:manualLayout>
          <c:xMode val="edge"/>
          <c:yMode val="edge"/>
          <c:x val="0.13070735723252"/>
          <c:y val="8.6096026789754705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1"/>
          <c:order val="0"/>
          <c:tx>
            <c:strRef>
              <c:f>Prices!$G$27</c:f>
              <c:strCache>
                <c:ptCount val="1"/>
                <c:pt idx="0">
                  <c:v>Non Irrigated Cotton</c:v>
                </c:pt>
              </c:strCache>
            </c:strRef>
          </c:tx>
          <c:marker>
            <c:symbol val="square"/>
            <c:size val="6"/>
          </c:marker>
          <c:dLbls>
            <c:spPr>
              <a:solidFill>
                <a:schemeClr val="accent2">
                  <a:lumMod val="60000"/>
                  <a:lumOff val="40000"/>
                  <a:alpha val="5000"/>
                </a:scheme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Prices!$H$28:$H$42</c:f>
              <c:numCache>
                <c:formatCode>_("$"* #,##0_);_("$"* \(#,##0\);_("$"* "-"??_);_(@_)</c:formatCode>
                <c:ptCount val="15"/>
                <c:pt idx="0">
                  <c:v>299.89361702127661</c:v>
                </c:pt>
                <c:pt idx="1">
                  <c:v>309.89361702127661</c:v>
                </c:pt>
                <c:pt idx="2">
                  <c:v>319.89361702127661</c:v>
                </c:pt>
                <c:pt idx="3">
                  <c:v>329.89361702127661</c:v>
                </c:pt>
                <c:pt idx="4">
                  <c:v>339.89361702127661</c:v>
                </c:pt>
                <c:pt idx="5">
                  <c:v>349.89361702127661</c:v>
                </c:pt>
                <c:pt idx="6">
                  <c:v>359.89361702127661</c:v>
                </c:pt>
                <c:pt idx="7">
                  <c:v>369.89361702127661</c:v>
                </c:pt>
                <c:pt idx="8">
                  <c:v>379.89361702127661</c:v>
                </c:pt>
                <c:pt idx="9">
                  <c:v>389.89361702127661</c:v>
                </c:pt>
                <c:pt idx="10">
                  <c:v>399.89361702127661</c:v>
                </c:pt>
                <c:pt idx="11">
                  <c:v>409.89361702127661</c:v>
                </c:pt>
                <c:pt idx="12">
                  <c:v>419.89361702127661</c:v>
                </c:pt>
                <c:pt idx="13">
                  <c:v>429.89361702127661</c:v>
                </c:pt>
                <c:pt idx="14">
                  <c:v>439.89361702127661</c:v>
                </c:pt>
              </c:numCache>
            </c:numRef>
          </c:cat>
          <c:val>
            <c:numRef>
              <c:f>Prices!$G$70:$G$84</c:f>
              <c:numCache>
                <c:formatCode>_("$"* #,##0.00_);_("$"* \(#,##0.00\);_("$"* "-"??_);_(@_)</c:formatCode>
                <c:ptCount val="15"/>
                <c:pt idx="0">
                  <c:v>0.56837818985933808</c:v>
                </c:pt>
                <c:pt idx="1">
                  <c:v>0.59104485652600469</c:v>
                </c:pt>
                <c:pt idx="2">
                  <c:v>0.61371152319267142</c:v>
                </c:pt>
                <c:pt idx="3">
                  <c:v>0.63637818985933803</c:v>
                </c:pt>
                <c:pt idx="4">
                  <c:v>0.65904485652600475</c:v>
                </c:pt>
                <c:pt idx="5">
                  <c:v>0.68171152319267136</c:v>
                </c:pt>
                <c:pt idx="6">
                  <c:v>0.70437818985933809</c:v>
                </c:pt>
                <c:pt idx="7">
                  <c:v>0.7270448565260047</c:v>
                </c:pt>
                <c:pt idx="8">
                  <c:v>0.74971152319267143</c:v>
                </c:pt>
                <c:pt idx="9">
                  <c:v>0.77237818985933804</c:v>
                </c:pt>
                <c:pt idx="10">
                  <c:v>0.79504485652600476</c:v>
                </c:pt>
                <c:pt idx="11">
                  <c:v>0.81771152319267137</c:v>
                </c:pt>
                <c:pt idx="12">
                  <c:v>0.8403781898593381</c:v>
                </c:pt>
                <c:pt idx="13">
                  <c:v>0.86304485652600471</c:v>
                </c:pt>
                <c:pt idx="14">
                  <c:v>0.88571152319267143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Prices!$G$6</c:f>
              <c:strCache>
                <c:ptCount val="1"/>
                <c:pt idx="0">
                  <c:v>Irrigated Cotton</c:v>
                </c:pt>
              </c:strCache>
            </c:strRef>
          </c:tx>
          <c:marker>
            <c:symbol val="circle"/>
            <c:size val="7"/>
          </c:marker>
          <c:dLbls>
            <c:spPr>
              <a:solidFill>
                <a:schemeClr val="tx2">
                  <a:lumMod val="60000"/>
                  <a:lumOff val="40000"/>
                  <a:alpha val="5000"/>
                </a:scheme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Prices!$H$28:$H$42</c:f>
              <c:numCache>
                <c:formatCode>_("$"* #,##0_);_("$"* \(#,##0\);_("$"* "-"??_);_(@_)</c:formatCode>
                <c:ptCount val="15"/>
                <c:pt idx="0">
                  <c:v>299.89361702127661</c:v>
                </c:pt>
                <c:pt idx="1">
                  <c:v>309.89361702127661</c:v>
                </c:pt>
                <c:pt idx="2">
                  <c:v>319.89361702127661</c:v>
                </c:pt>
                <c:pt idx="3">
                  <c:v>329.89361702127661</c:v>
                </c:pt>
                <c:pt idx="4">
                  <c:v>339.89361702127661</c:v>
                </c:pt>
                <c:pt idx="5">
                  <c:v>349.89361702127661</c:v>
                </c:pt>
                <c:pt idx="6">
                  <c:v>359.89361702127661</c:v>
                </c:pt>
                <c:pt idx="7">
                  <c:v>369.89361702127661</c:v>
                </c:pt>
                <c:pt idx="8">
                  <c:v>379.89361702127661</c:v>
                </c:pt>
                <c:pt idx="9">
                  <c:v>389.89361702127661</c:v>
                </c:pt>
                <c:pt idx="10">
                  <c:v>399.89361702127661</c:v>
                </c:pt>
                <c:pt idx="11">
                  <c:v>409.89361702127661</c:v>
                </c:pt>
                <c:pt idx="12">
                  <c:v>419.89361702127661</c:v>
                </c:pt>
                <c:pt idx="13">
                  <c:v>429.89361702127661</c:v>
                </c:pt>
                <c:pt idx="14">
                  <c:v>439.89361702127661</c:v>
                </c:pt>
              </c:numCache>
            </c:numRef>
          </c:cat>
          <c:val>
            <c:numRef>
              <c:f>Prices!$G$49:$G$63</c:f>
              <c:numCache>
                <c:formatCode>_("$"* #,##0.00_);_("$"* \(#,##0.00\);_("$"* "-"??_);_(@_)</c:formatCode>
                <c:ptCount val="15"/>
                <c:pt idx="0">
                  <c:v>0.54866291527777777</c:v>
                </c:pt>
                <c:pt idx="1">
                  <c:v>0.56824624861111106</c:v>
                </c:pt>
                <c:pt idx="2">
                  <c:v>0.58782958194444446</c:v>
                </c:pt>
                <c:pt idx="3">
                  <c:v>0.60741291527777774</c:v>
                </c:pt>
                <c:pt idx="4">
                  <c:v>0.62699624861111114</c:v>
                </c:pt>
                <c:pt idx="5">
                  <c:v>0.64657958194444443</c:v>
                </c:pt>
                <c:pt idx="6">
                  <c:v>0.66616291527777771</c:v>
                </c:pt>
                <c:pt idx="7">
                  <c:v>0.68574624861111111</c:v>
                </c:pt>
                <c:pt idx="8">
                  <c:v>0.70532958194444439</c:v>
                </c:pt>
                <c:pt idx="9">
                  <c:v>0.72491291527777779</c:v>
                </c:pt>
                <c:pt idx="10">
                  <c:v>0.74449624861111108</c:v>
                </c:pt>
                <c:pt idx="11">
                  <c:v>0.76407958194444447</c:v>
                </c:pt>
                <c:pt idx="12">
                  <c:v>0.78366291527777776</c:v>
                </c:pt>
                <c:pt idx="13">
                  <c:v>0.80324624861111105</c:v>
                </c:pt>
                <c:pt idx="14">
                  <c:v>0.82282958194444444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039296"/>
        <c:axId val="140041216"/>
      </c:lineChart>
      <c:catAx>
        <c:axId val="1400392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Peanut Price ($/ton)</a:t>
                </a:r>
              </a:p>
            </c:rich>
          </c:tx>
          <c:overlay val="0"/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40041216"/>
        <c:crosses val="autoZero"/>
        <c:auto val="1"/>
        <c:lblAlgn val="ctr"/>
        <c:lblOffset val="100"/>
        <c:noMultiLvlLbl val="0"/>
      </c:catAx>
      <c:valAx>
        <c:axId val="1400412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Cotton Price ($/lb)</a:t>
                </a:r>
              </a:p>
            </c:rich>
          </c:tx>
          <c:layout>
            <c:manualLayout>
              <c:xMode val="edge"/>
              <c:yMode val="edge"/>
              <c:x val="8.3467827391141405E-5"/>
              <c:y val="0.30024368721151201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400392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641499160431"/>
          <c:y val="0.69854308082179395"/>
          <c:w val="0.210570287409726"/>
          <c:h val="0.102312878993574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CC99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Corn Price Needed to Give Equal Returns Above Variable Costs to Peanuts at Budgeted Yields *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1"/>
          <c:order val="0"/>
          <c:tx>
            <c:strRef>
              <c:f>Prices!$I$27</c:f>
              <c:strCache>
                <c:ptCount val="1"/>
                <c:pt idx="0">
                  <c:v>Non Irrigated Corn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square"/>
            <c:size val="6"/>
          </c:marker>
          <c:dLbls>
            <c:spPr>
              <a:solidFill>
                <a:schemeClr val="accent6">
                  <a:alpha val="5000"/>
                </a:scheme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Prices!$H$28:$H$42</c:f>
              <c:numCache>
                <c:formatCode>_("$"* #,##0_);_("$"* \(#,##0\);_("$"* "-"??_);_(@_)</c:formatCode>
                <c:ptCount val="15"/>
                <c:pt idx="0">
                  <c:v>299.89361702127661</c:v>
                </c:pt>
                <c:pt idx="1">
                  <c:v>309.89361702127661</c:v>
                </c:pt>
                <c:pt idx="2">
                  <c:v>319.89361702127661</c:v>
                </c:pt>
                <c:pt idx="3">
                  <c:v>329.89361702127661</c:v>
                </c:pt>
                <c:pt idx="4">
                  <c:v>339.89361702127661</c:v>
                </c:pt>
                <c:pt idx="5">
                  <c:v>349.89361702127661</c:v>
                </c:pt>
                <c:pt idx="6">
                  <c:v>359.89361702127661</c:v>
                </c:pt>
                <c:pt idx="7">
                  <c:v>369.89361702127661</c:v>
                </c:pt>
                <c:pt idx="8">
                  <c:v>379.89361702127661</c:v>
                </c:pt>
                <c:pt idx="9">
                  <c:v>389.89361702127661</c:v>
                </c:pt>
                <c:pt idx="10">
                  <c:v>399.89361702127661</c:v>
                </c:pt>
                <c:pt idx="11">
                  <c:v>409.89361702127661</c:v>
                </c:pt>
                <c:pt idx="12">
                  <c:v>419.89361702127661</c:v>
                </c:pt>
                <c:pt idx="13">
                  <c:v>429.89361702127661</c:v>
                </c:pt>
                <c:pt idx="14">
                  <c:v>439.89361702127661</c:v>
                </c:pt>
              </c:numCache>
            </c:numRef>
          </c:cat>
          <c:val>
            <c:numRef>
              <c:f>Prices!$I$70:$I$84</c:f>
              <c:numCache>
                <c:formatCode>_("$"* #,##0.00_);_("$"* \(#,##0.00\);_("$"* "-"??_);_(@_)</c:formatCode>
                <c:ptCount val="15"/>
                <c:pt idx="0">
                  <c:v>3.2861012504255322</c:v>
                </c:pt>
                <c:pt idx="1">
                  <c:v>3.486101250425532</c:v>
                </c:pt>
                <c:pt idx="2">
                  <c:v>3.6861012504255322</c:v>
                </c:pt>
                <c:pt idx="3">
                  <c:v>3.8861012504255319</c:v>
                </c:pt>
                <c:pt idx="4">
                  <c:v>4.0861012504255321</c:v>
                </c:pt>
                <c:pt idx="5">
                  <c:v>4.2861012504255322</c:v>
                </c:pt>
                <c:pt idx="6">
                  <c:v>4.4861012504255324</c:v>
                </c:pt>
                <c:pt idx="7">
                  <c:v>4.6861012504255317</c:v>
                </c:pt>
                <c:pt idx="8">
                  <c:v>4.8861012504255319</c:v>
                </c:pt>
                <c:pt idx="9">
                  <c:v>5.0861012504255321</c:v>
                </c:pt>
                <c:pt idx="10">
                  <c:v>5.2861012504255322</c:v>
                </c:pt>
                <c:pt idx="11">
                  <c:v>5.4861012504255324</c:v>
                </c:pt>
                <c:pt idx="12">
                  <c:v>5.6861012504255317</c:v>
                </c:pt>
                <c:pt idx="13">
                  <c:v>5.8861012504255319</c:v>
                </c:pt>
                <c:pt idx="14">
                  <c:v>6.086101250425533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Prices!$I$6</c:f>
              <c:strCache>
                <c:ptCount val="1"/>
                <c:pt idx="0">
                  <c:v>Irrigated Corn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rgbClr val="92D050"/>
              </a:solidFill>
              <a:ln>
                <a:solidFill>
                  <a:srgbClr val="00B050"/>
                </a:solidFill>
              </a:ln>
            </c:spPr>
          </c:marker>
          <c:dLbls>
            <c:spPr>
              <a:solidFill>
                <a:srgbClr val="00B050">
                  <a:alpha val="5000"/>
                </a:srgb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Prices!$H$28:$H$42</c:f>
              <c:numCache>
                <c:formatCode>_("$"* #,##0_);_("$"* \(#,##0\);_("$"* "-"??_);_(@_)</c:formatCode>
                <c:ptCount val="15"/>
                <c:pt idx="0">
                  <c:v>299.89361702127661</c:v>
                </c:pt>
                <c:pt idx="1">
                  <c:v>309.89361702127661</c:v>
                </c:pt>
                <c:pt idx="2">
                  <c:v>319.89361702127661</c:v>
                </c:pt>
                <c:pt idx="3">
                  <c:v>329.89361702127661</c:v>
                </c:pt>
                <c:pt idx="4">
                  <c:v>339.89361702127661</c:v>
                </c:pt>
                <c:pt idx="5">
                  <c:v>349.89361702127661</c:v>
                </c:pt>
                <c:pt idx="6">
                  <c:v>359.89361702127661</c:v>
                </c:pt>
                <c:pt idx="7">
                  <c:v>369.89361702127661</c:v>
                </c:pt>
                <c:pt idx="8">
                  <c:v>379.89361702127661</c:v>
                </c:pt>
                <c:pt idx="9">
                  <c:v>389.89361702127661</c:v>
                </c:pt>
                <c:pt idx="10">
                  <c:v>399.89361702127661</c:v>
                </c:pt>
                <c:pt idx="11">
                  <c:v>409.89361702127661</c:v>
                </c:pt>
                <c:pt idx="12">
                  <c:v>419.89361702127661</c:v>
                </c:pt>
                <c:pt idx="13">
                  <c:v>429.89361702127661</c:v>
                </c:pt>
                <c:pt idx="14">
                  <c:v>439.89361702127661</c:v>
                </c:pt>
              </c:numCache>
            </c:numRef>
          </c:cat>
          <c:val>
            <c:numRef>
              <c:f>Prices!$I$49:$I$63</c:f>
              <c:numCache>
                <c:formatCode>_("$"* #,##0.00_);_("$"* \(#,##0.00\);_("$"* "-"??_);_(@_)</c:formatCode>
                <c:ptCount val="15"/>
                <c:pt idx="0">
                  <c:v>3.5395341250000003</c:v>
                </c:pt>
                <c:pt idx="1">
                  <c:v>3.657034125</c:v>
                </c:pt>
                <c:pt idx="2">
                  <c:v>3.7745341250000002</c:v>
                </c:pt>
                <c:pt idx="3">
                  <c:v>3.8920341250000003</c:v>
                </c:pt>
                <c:pt idx="4">
                  <c:v>4.0095341250000001</c:v>
                </c:pt>
                <c:pt idx="5">
                  <c:v>4.1270341249999998</c:v>
                </c:pt>
                <c:pt idx="6">
                  <c:v>4.2445341250000004</c:v>
                </c:pt>
                <c:pt idx="7">
                  <c:v>4.3620341250000001</c:v>
                </c:pt>
                <c:pt idx="8">
                  <c:v>4.4795341249999998</c:v>
                </c:pt>
                <c:pt idx="9">
                  <c:v>4.5970341250000004</c:v>
                </c:pt>
                <c:pt idx="10">
                  <c:v>4.7145341250000001</c:v>
                </c:pt>
                <c:pt idx="11">
                  <c:v>4.8320341249999998</c:v>
                </c:pt>
                <c:pt idx="12">
                  <c:v>4.9495341250000005</c:v>
                </c:pt>
                <c:pt idx="13">
                  <c:v>5.0670341250000002</c:v>
                </c:pt>
                <c:pt idx="14">
                  <c:v>5.1845341249999999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300544"/>
        <c:axId val="42302464"/>
      </c:lineChart>
      <c:catAx>
        <c:axId val="423005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Peanut Price ($/ton)</a:t>
                </a:r>
              </a:p>
            </c:rich>
          </c:tx>
          <c:overlay val="0"/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2302464"/>
        <c:crosses val="autoZero"/>
        <c:auto val="1"/>
        <c:lblAlgn val="ctr"/>
        <c:lblOffset val="100"/>
        <c:noMultiLvlLbl val="0"/>
      </c:catAx>
      <c:valAx>
        <c:axId val="4230246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Corn Price ($/bu)</a:t>
                </a:r>
              </a:p>
            </c:rich>
          </c:tx>
          <c:layout>
            <c:manualLayout>
              <c:xMode val="edge"/>
              <c:yMode val="edge"/>
              <c:x val="8.3467827391141405E-5"/>
              <c:y val="0.300243913476333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23005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816638137624099"/>
          <c:y val="0.69125780613630206"/>
          <c:w val="0.197700200518413"/>
          <c:h val="0.102313105258394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CC99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100"/>
              <a:t>Soybean Price Needed to Give Equal Returns Above Variable Costs to Peanuts at Budgeted Yields *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1"/>
          <c:order val="0"/>
          <c:tx>
            <c:strRef>
              <c:f>Prices!$J$27</c:f>
              <c:strCache>
                <c:ptCount val="1"/>
                <c:pt idx="0">
                  <c:v>Non Irrigated Soybean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square"/>
            <c:size val="6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accent6">
                    <a:lumMod val="50000"/>
                  </a:schemeClr>
                </a:solidFill>
              </a:ln>
            </c:spPr>
          </c:marker>
          <c:dLbls>
            <c:spPr>
              <a:solidFill>
                <a:srgbClr val="FFC000">
                  <a:alpha val="5000"/>
                </a:srgb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Prices!$H$28:$H$42</c:f>
              <c:numCache>
                <c:formatCode>_("$"* #,##0_);_("$"* \(#,##0\);_("$"* "-"??_);_(@_)</c:formatCode>
                <c:ptCount val="15"/>
                <c:pt idx="0">
                  <c:v>299.89361702127661</c:v>
                </c:pt>
                <c:pt idx="1">
                  <c:v>309.89361702127661</c:v>
                </c:pt>
                <c:pt idx="2">
                  <c:v>319.89361702127661</c:v>
                </c:pt>
                <c:pt idx="3">
                  <c:v>329.89361702127661</c:v>
                </c:pt>
                <c:pt idx="4">
                  <c:v>339.89361702127661</c:v>
                </c:pt>
                <c:pt idx="5">
                  <c:v>349.89361702127661</c:v>
                </c:pt>
                <c:pt idx="6">
                  <c:v>359.89361702127661</c:v>
                </c:pt>
                <c:pt idx="7">
                  <c:v>369.89361702127661</c:v>
                </c:pt>
                <c:pt idx="8">
                  <c:v>379.89361702127661</c:v>
                </c:pt>
                <c:pt idx="9">
                  <c:v>389.89361702127661</c:v>
                </c:pt>
                <c:pt idx="10">
                  <c:v>399.89361702127661</c:v>
                </c:pt>
                <c:pt idx="11">
                  <c:v>409.89361702127661</c:v>
                </c:pt>
                <c:pt idx="12">
                  <c:v>419.89361702127661</c:v>
                </c:pt>
                <c:pt idx="13">
                  <c:v>429.89361702127661</c:v>
                </c:pt>
                <c:pt idx="14">
                  <c:v>439.89361702127661</c:v>
                </c:pt>
              </c:numCache>
            </c:numRef>
          </c:cat>
          <c:val>
            <c:numRef>
              <c:f>Prices!$J$70:$J$84</c:f>
              <c:numCache>
                <c:formatCode>_("$"* #,##0.00_);_("$"* \(#,##0.00\);_("$"* "-"??_);_(@_)</c:formatCode>
                <c:ptCount val="15"/>
                <c:pt idx="0">
                  <c:v>6.3232289320390072</c:v>
                </c:pt>
                <c:pt idx="1">
                  <c:v>6.8898955987056745</c:v>
                </c:pt>
                <c:pt idx="2">
                  <c:v>7.4565622653723409</c:v>
                </c:pt>
                <c:pt idx="3">
                  <c:v>8.0232289320390073</c:v>
                </c:pt>
                <c:pt idx="4">
                  <c:v>8.5898955987056755</c:v>
                </c:pt>
                <c:pt idx="5">
                  <c:v>9.156562265372342</c:v>
                </c:pt>
                <c:pt idx="6">
                  <c:v>9.7232289320390084</c:v>
                </c:pt>
                <c:pt idx="7">
                  <c:v>10.289895598705675</c:v>
                </c:pt>
                <c:pt idx="8">
                  <c:v>10.856562265372341</c:v>
                </c:pt>
                <c:pt idx="9">
                  <c:v>11.423228932039008</c:v>
                </c:pt>
                <c:pt idx="10">
                  <c:v>11.989895598705676</c:v>
                </c:pt>
                <c:pt idx="11">
                  <c:v>12.556562265372342</c:v>
                </c:pt>
                <c:pt idx="12">
                  <c:v>13.123228932039009</c:v>
                </c:pt>
                <c:pt idx="13">
                  <c:v>13.689895598705675</c:v>
                </c:pt>
                <c:pt idx="14">
                  <c:v>14.256562265372342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Prices!$J$6</c:f>
              <c:strCache>
                <c:ptCount val="1"/>
                <c:pt idx="0">
                  <c:v>Irrigated Soybean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circle"/>
            <c:size val="7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rgbClr val="7030A0"/>
                </a:solidFill>
              </a:ln>
            </c:spPr>
          </c:marker>
          <c:dLbls>
            <c:spPr>
              <a:solidFill>
                <a:schemeClr val="accent4">
                  <a:lumMod val="60000"/>
                  <a:lumOff val="40000"/>
                  <a:alpha val="5000"/>
                </a:scheme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Prices!$H$28:$H$42</c:f>
              <c:numCache>
                <c:formatCode>_("$"* #,##0_);_("$"* \(#,##0\);_("$"* "-"??_);_(@_)</c:formatCode>
                <c:ptCount val="15"/>
                <c:pt idx="0">
                  <c:v>299.89361702127661</c:v>
                </c:pt>
                <c:pt idx="1">
                  <c:v>309.89361702127661</c:v>
                </c:pt>
                <c:pt idx="2">
                  <c:v>319.89361702127661</c:v>
                </c:pt>
                <c:pt idx="3">
                  <c:v>329.89361702127661</c:v>
                </c:pt>
                <c:pt idx="4">
                  <c:v>339.89361702127661</c:v>
                </c:pt>
                <c:pt idx="5">
                  <c:v>349.89361702127661</c:v>
                </c:pt>
                <c:pt idx="6">
                  <c:v>359.89361702127661</c:v>
                </c:pt>
                <c:pt idx="7">
                  <c:v>369.89361702127661</c:v>
                </c:pt>
                <c:pt idx="8">
                  <c:v>379.89361702127661</c:v>
                </c:pt>
                <c:pt idx="9">
                  <c:v>389.89361702127661</c:v>
                </c:pt>
                <c:pt idx="10">
                  <c:v>399.89361702127661</c:v>
                </c:pt>
                <c:pt idx="11">
                  <c:v>409.89361702127661</c:v>
                </c:pt>
                <c:pt idx="12">
                  <c:v>419.89361702127661</c:v>
                </c:pt>
                <c:pt idx="13">
                  <c:v>429.89361702127661</c:v>
                </c:pt>
                <c:pt idx="14">
                  <c:v>439.89361702127661</c:v>
                </c:pt>
              </c:numCache>
            </c:numRef>
          </c:cat>
          <c:val>
            <c:numRef>
              <c:f>Prices!$J$49:$J$63</c:f>
              <c:numCache>
                <c:formatCode>_("$"* #,##0.00_);_("$"* \(#,##0.00\);_("$"* "-"??_);_(@_)</c:formatCode>
                <c:ptCount val="15"/>
                <c:pt idx="0">
                  <c:v>6.3390623133333328</c:v>
                </c:pt>
                <c:pt idx="1">
                  <c:v>6.7307289799999994</c:v>
                </c:pt>
                <c:pt idx="2">
                  <c:v>7.122395646666666</c:v>
                </c:pt>
                <c:pt idx="3">
                  <c:v>7.5140623133333326</c:v>
                </c:pt>
                <c:pt idx="4">
                  <c:v>7.9057289800000001</c:v>
                </c:pt>
                <c:pt idx="5">
                  <c:v>8.2973956466666667</c:v>
                </c:pt>
                <c:pt idx="6">
                  <c:v>8.6890623133333325</c:v>
                </c:pt>
                <c:pt idx="7">
                  <c:v>9.08072898</c:v>
                </c:pt>
                <c:pt idx="8">
                  <c:v>9.4723956466666657</c:v>
                </c:pt>
                <c:pt idx="9">
                  <c:v>9.8640623133333332</c:v>
                </c:pt>
                <c:pt idx="10">
                  <c:v>10.255728979999999</c:v>
                </c:pt>
                <c:pt idx="11">
                  <c:v>10.647395646666666</c:v>
                </c:pt>
                <c:pt idx="12">
                  <c:v>11.039062313333334</c:v>
                </c:pt>
                <c:pt idx="13">
                  <c:v>11.43072898</c:v>
                </c:pt>
                <c:pt idx="14">
                  <c:v>11.822395646666667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137600"/>
        <c:axId val="140139520"/>
      </c:lineChart>
      <c:catAx>
        <c:axId val="1401376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Peanut Price ($/ton)</a:t>
                </a:r>
              </a:p>
            </c:rich>
          </c:tx>
          <c:overlay val="0"/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40139520"/>
        <c:crosses val="autoZero"/>
        <c:auto val="1"/>
        <c:lblAlgn val="ctr"/>
        <c:lblOffset val="100"/>
        <c:noMultiLvlLbl val="0"/>
      </c:catAx>
      <c:valAx>
        <c:axId val="1401395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Soybean Price ($/bu)</a:t>
                </a:r>
              </a:p>
            </c:rich>
          </c:tx>
          <c:layout>
            <c:manualLayout>
              <c:xMode val="edge"/>
              <c:yMode val="edge"/>
              <c:x val="8.3467827391141405E-5"/>
              <c:y val="0.30024380785378302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401376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636738885900099"/>
          <c:y val="0.69171851377250204"/>
          <c:w val="0.225049086255522"/>
          <c:h val="0.102313195861224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CC99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Cotton Price Needed to Give Equal Returns Above Variable Costs to Corn at Budgeted Yields *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0"/>
          <c:order val="0"/>
          <c:tx>
            <c:strRef>
              <c:f>Prices!$L$6</c:f>
              <c:strCache>
                <c:ptCount val="1"/>
                <c:pt idx="0">
                  <c:v>Irrigated Cotton</c:v>
                </c:pt>
              </c:strCache>
            </c:strRef>
          </c:tx>
          <c:marker>
            <c:symbol val="circle"/>
            <c:size val="7"/>
          </c:marker>
          <c:dLbls>
            <c:spPr>
              <a:solidFill>
                <a:schemeClr val="tx2">
                  <a:lumMod val="60000"/>
                  <a:lumOff val="40000"/>
                  <a:alpha val="5000"/>
                </a:scheme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Prices!$N$28:$N$42</c:f>
              <c:numCache>
                <c:formatCode>_("$"* #,##0.00_);_("$"* \(#,##0.00\);_("$"* "-"??_);_(@_)</c:formatCode>
                <c:ptCount val="15"/>
                <c:pt idx="0">
                  <c:v>3.2</c:v>
                </c:pt>
                <c:pt idx="1">
                  <c:v>3.35</c:v>
                </c:pt>
                <c:pt idx="2">
                  <c:v>3.5</c:v>
                </c:pt>
                <c:pt idx="3">
                  <c:v>3.65</c:v>
                </c:pt>
                <c:pt idx="4">
                  <c:v>3.8</c:v>
                </c:pt>
                <c:pt idx="5">
                  <c:v>3.9499999999999997</c:v>
                </c:pt>
                <c:pt idx="6">
                  <c:v>4.0999999999999996</c:v>
                </c:pt>
                <c:pt idx="7">
                  <c:v>4.25</c:v>
                </c:pt>
                <c:pt idx="8">
                  <c:v>4.4000000000000004</c:v>
                </c:pt>
                <c:pt idx="9">
                  <c:v>4.5500000000000007</c:v>
                </c:pt>
                <c:pt idx="10">
                  <c:v>4.7000000000000011</c:v>
                </c:pt>
                <c:pt idx="11">
                  <c:v>4.8500000000000014</c:v>
                </c:pt>
                <c:pt idx="12">
                  <c:v>5.0000000000000018</c:v>
                </c:pt>
                <c:pt idx="13">
                  <c:v>5.1500000000000021</c:v>
                </c:pt>
                <c:pt idx="14">
                  <c:v>5.3000000000000025</c:v>
                </c:pt>
              </c:numCache>
            </c:numRef>
          </c:cat>
          <c:val>
            <c:numRef>
              <c:f>Prices!$L$49:$L$63</c:f>
              <c:numCache>
                <c:formatCode>_("$"* #,##0.00_);_("$"* \(#,##0.00\);_("$"* "-"??_);_(@_)</c:formatCode>
                <c:ptCount val="15"/>
                <c:pt idx="0">
                  <c:v>0.49207389444444438</c:v>
                </c:pt>
                <c:pt idx="1">
                  <c:v>0.5170738944444444</c:v>
                </c:pt>
                <c:pt idx="2">
                  <c:v>0.54207389444444443</c:v>
                </c:pt>
                <c:pt idx="3">
                  <c:v>0.56707389444444445</c:v>
                </c:pt>
                <c:pt idx="4">
                  <c:v>0.59207389444444436</c:v>
                </c:pt>
                <c:pt idx="5">
                  <c:v>0.61707389444444438</c:v>
                </c:pt>
                <c:pt idx="6">
                  <c:v>0.64207389444444429</c:v>
                </c:pt>
                <c:pt idx="7">
                  <c:v>0.66707389444444443</c:v>
                </c:pt>
                <c:pt idx="8">
                  <c:v>0.69207389444444445</c:v>
                </c:pt>
                <c:pt idx="9">
                  <c:v>0.71707389444444447</c:v>
                </c:pt>
                <c:pt idx="10">
                  <c:v>0.7420738944444446</c:v>
                </c:pt>
                <c:pt idx="11">
                  <c:v>0.76707389444444463</c:v>
                </c:pt>
                <c:pt idx="12">
                  <c:v>0.79207389444444465</c:v>
                </c:pt>
                <c:pt idx="13">
                  <c:v>0.81707389444444478</c:v>
                </c:pt>
                <c:pt idx="14">
                  <c:v>0.8420738944444448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Prices!$L$27</c:f>
              <c:strCache>
                <c:ptCount val="1"/>
                <c:pt idx="0">
                  <c:v>Non Irrigated Cotton</c:v>
                </c:pt>
              </c:strCache>
            </c:strRef>
          </c:tx>
          <c:marker>
            <c:symbol val="square"/>
            <c:size val="6"/>
          </c:marker>
          <c:dLbls>
            <c:spPr>
              <a:solidFill>
                <a:schemeClr val="accent2">
                  <a:lumMod val="60000"/>
                  <a:lumOff val="40000"/>
                  <a:alpha val="5000"/>
                </a:scheme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Prices!$N$28:$N$42</c:f>
              <c:numCache>
                <c:formatCode>_("$"* #,##0.00_);_("$"* \(#,##0.00\);_("$"* "-"??_);_(@_)</c:formatCode>
                <c:ptCount val="15"/>
                <c:pt idx="0">
                  <c:v>3.2</c:v>
                </c:pt>
                <c:pt idx="1">
                  <c:v>3.35</c:v>
                </c:pt>
                <c:pt idx="2">
                  <c:v>3.5</c:v>
                </c:pt>
                <c:pt idx="3">
                  <c:v>3.65</c:v>
                </c:pt>
                <c:pt idx="4">
                  <c:v>3.8</c:v>
                </c:pt>
                <c:pt idx="5">
                  <c:v>3.9499999999999997</c:v>
                </c:pt>
                <c:pt idx="6">
                  <c:v>4.0999999999999996</c:v>
                </c:pt>
                <c:pt idx="7">
                  <c:v>4.25</c:v>
                </c:pt>
                <c:pt idx="8">
                  <c:v>4.4000000000000004</c:v>
                </c:pt>
                <c:pt idx="9">
                  <c:v>4.5500000000000007</c:v>
                </c:pt>
                <c:pt idx="10">
                  <c:v>4.7000000000000011</c:v>
                </c:pt>
                <c:pt idx="11">
                  <c:v>4.8500000000000014</c:v>
                </c:pt>
                <c:pt idx="12">
                  <c:v>5.0000000000000018</c:v>
                </c:pt>
                <c:pt idx="13">
                  <c:v>5.1500000000000021</c:v>
                </c:pt>
                <c:pt idx="14">
                  <c:v>5.3000000000000025</c:v>
                </c:pt>
              </c:numCache>
            </c:numRef>
          </c:cat>
          <c:val>
            <c:numRef>
              <c:f>Prices!$L$70:$L$84</c:f>
              <c:numCache>
                <c:formatCode>_("$"* #,##0.00_);_("$"* \(#,##0.00\);_("$"* "-"??_);_(@_)</c:formatCode>
                <c:ptCount val="15"/>
                <c:pt idx="0">
                  <c:v>0.55862004814444444</c:v>
                </c:pt>
                <c:pt idx="1">
                  <c:v>0.57562004814444445</c:v>
                </c:pt>
                <c:pt idx="2">
                  <c:v>0.59262004814444447</c:v>
                </c:pt>
                <c:pt idx="3">
                  <c:v>0.60962004814444448</c:v>
                </c:pt>
                <c:pt idx="4">
                  <c:v>0.62662004814444439</c:v>
                </c:pt>
                <c:pt idx="5">
                  <c:v>0.6436200481444444</c:v>
                </c:pt>
                <c:pt idx="6">
                  <c:v>0.66062004814444431</c:v>
                </c:pt>
                <c:pt idx="7">
                  <c:v>0.67762004814444443</c:v>
                </c:pt>
                <c:pt idx="8">
                  <c:v>0.69462004814444456</c:v>
                </c:pt>
                <c:pt idx="9">
                  <c:v>0.71162004814444446</c:v>
                </c:pt>
                <c:pt idx="10">
                  <c:v>0.72862004814444448</c:v>
                </c:pt>
                <c:pt idx="11">
                  <c:v>0.74562004814444449</c:v>
                </c:pt>
                <c:pt idx="12">
                  <c:v>0.76262004814444462</c:v>
                </c:pt>
                <c:pt idx="13">
                  <c:v>0.77962004814444463</c:v>
                </c:pt>
                <c:pt idx="14">
                  <c:v>0.79662004814444476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059776"/>
        <c:axId val="140061696"/>
      </c:lineChart>
      <c:catAx>
        <c:axId val="1400597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Corn Price ($/bu)</a:t>
                </a:r>
              </a:p>
            </c:rich>
          </c:tx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40061696"/>
        <c:crosses val="autoZero"/>
        <c:auto val="1"/>
        <c:lblAlgn val="ctr"/>
        <c:lblOffset val="100"/>
        <c:noMultiLvlLbl val="0"/>
      </c:catAx>
      <c:valAx>
        <c:axId val="14006169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Cotton Price ($/lb)</a:t>
                </a:r>
              </a:p>
            </c:rich>
          </c:tx>
          <c:layout>
            <c:manualLayout>
              <c:xMode val="edge"/>
              <c:yMode val="edge"/>
              <c:x val="8.3467827391141405E-5"/>
              <c:y val="0.30024388742452002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400597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811890904941199"/>
          <c:y val="0.69742647840661698"/>
          <c:w val="0.239527885101319"/>
          <c:h val="0.10231318100162901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99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Corn Price Needed to Give Equal Returns Above Variable Costs to Cotton at Budgeted Yields *
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1"/>
          <c:order val="0"/>
          <c:tx>
            <c:strRef>
              <c:f>Prices!$D$27</c:f>
              <c:strCache>
                <c:ptCount val="1"/>
                <c:pt idx="0">
                  <c:v>Non Irrigated Corn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square"/>
            <c:size val="6"/>
            <c:spPr>
              <a:solidFill>
                <a:schemeClr val="accent2"/>
              </a:solidFill>
              <a:ln>
                <a:solidFill>
                  <a:srgbClr val="FF0000"/>
                </a:solidFill>
              </a:ln>
            </c:spPr>
          </c:marker>
          <c:dLbls>
            <c:spPr>
              <a:solidFill>
                <a:schemeClr val="accent6">
                  <a:lumMod val="75000"/>
                  <a:alpha val="5000"/>
                </a:scheme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Prices!$B$28:$B$42</c:f>
              <c:numCache>
                <c:formatCode>_("$"* #,##0.00_);_("$"* \(#,##0.00\);_("$"* "-"??_);_(@_)</c:formatCode>
                <c:ptCount val="15"/>
                <c:pt idx="0">
                  <c:v>0.5249999999999998</c:v>
                </c:pt>
                <c:pt idx="1">
                  <c:v>0.54999999999999982</c:v>
                </c:pt>
                <c:pt idx="2">
                  <c:v>0.57499999999999984</c:v>
                </c:pt>
                <c:pt idx="3">
                  <c:v>0.59999999999999987</c:v>
                </c:pt>
                <c:pt idx="4">
                  <c:v>0.62499999999999989</c:v>
                </c:pt>
                <c:pt idx="5">
                  <c:v>0.64999999999999991</c:v>
                </c:pt>
                <c:pt idx="6">
                  <c:v>0.67499999999999993</c:v>
                </c:pt>
                <c:pt idx="7">
                  <c:v>0.7</c:v>
                </c:pt>
                <c:pt idx="8">
                  <c:v>0.72499999999999998</c:v>
                </c:pt>
                <c:pt idx="9">
                  <c:v>0.75</c:v>
                </c:pt>
                <c:pt idx="10">
                  <c:v>0.77500000000000002</c:v>
                </c:pt>
                <c:pt idx="11">
                  <c:v>0.8</c:v>
                </c:pt>
                <c:pt idx="12">
                  <c:v>0.82500000000000007</c:v>
                </c:pt>
                <c:pt idx="13">
                  <c:v>0.85000000000000009</c:v>
                </c:pt>
                <c:pt idx="14">
                  <c:v>0.87500000000000011</c:v>
                </c:pt>
              </c:numCache>
            </c:numRef>
          </c:cat>
          <c:val>
            <c:numRef>
              <c:f>Prices!$D$28:$D$42</c:f>
              <c:numCache>
                <c:formatCode>_("$"* #,##0.00_);_("$"* \(#,##0.00\);_("$"* "-"??_);_(@_)</c:formatCode>
                <c:ptCount val="15"/>
                <c:pt idx="0">
                  <c:v>3.0911794428876993</c:v>
                </c:pt>
                <c:pt idx="1">
                  <c:v>3.3117676781818179</c:v>
                </c:pt>
                <c:pt idx="2">
                  <c:v>3.5323559134759352</c:v>
                </c:pt>
                <c:pt idx="3">
                  <c:v>3.752944148770053</c:v>
                </c:pt>
                <c:pt idx="4">
                  <c:v>3.9735323840641712</c:v>
                </c:pt>
                <c:pt idx="5">
                  <c:v>4.1941206193582889</c:v>
                </c:pt>
                <c:pt idx="6">
                  <c:v>4.4147088546524067</c:v>
                </c:pt>
                <c:pt idx="7">
                  <c:v>4.6352970899465253</c:v>
                </c:pt>
                <c:pt idx="8">
                  <c:v>4.8558853252406422</c:v>
                </c:pt>
                <c:pt idx="9">
                  <c:v>5.07647356053476</c:v>
                </c:pt>
                <c:pt idx="10">
                  <c:v>5.2970617958288777</c:v>
                </c:pt>
                <c:pt idx="11">
                  <c:v>5.5176500311229955</c:v>
                </c:pt>
                <c:pt idx="12">
                  <c:v>5.7382382664171132</c:v>
                </c:pt>
                <c:pt idx="13">
                  <c:v>5.9588265017112318</c:v>
                </c:pt>
                <c:pt idx="14">
                  <c:v>6.1794147370053505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Prices!$D$6</c:f>
              <c:strCache>
                <c:ptCount val="1"/>
                <c:pt idx="0">
                  <c:v>Irrigated Corn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rgbClr val="92D050"/>
              </a:solidFill>
              <a:ln>
                <a:solidFill>
                  <a:srgbClr val="00B050"/>
                </a:solidFill>
              </a:ln>
            </c:spPr>
          </c:marker>
          <c:dLbls>
            <c:spPr>
              <a:solidFill>
                <a:srgbClr val="00B050">
                  <a:alpha val="5000"/>
                </a:srgb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Prices!$B$28:$B$42</c:f>
              <c:numCache>
                <c:formatCode>_("$"* #,##0.00_);_("$"* \(#,##0.00\);_("$"* "-"??_);_(@_)</c:formatCode>
                <c:ptCount val="15"/>
                <c:pt idx="0">
                  <c:v>0.5249999999999998</c:v>
                </c:pt>
                <c:pt idx="1">
                  <c:v>0.54999999999999982</c:v>
                </c:pt>
                <c:pt idx="2">
                  <c:v>0.57499999999999984</c:v>
                </c:pt>
                <c:pt idx="3">
                  <c:v>0.59999999999999987</c:v>
                </c:pt>
                <c:pt idx="4">
                  <c:v>0.62499999999999989</c:v>
                </c:pt>
                <c:pt idx="5">
                  <c:v>0.64999999999999991</c:v>
                </c:pt>
                <c:pt idx="6">
                  <c:v>0.67499999999999993</c:v>
                </c:pt>
                <c:pt idx="7">
                  <c:v>0.7</c:v>
                </c:pt>
                <c:pt idx="8">
                  <c:v>0.72499999999999998</c:v>
                </c:pt>
                <c:pt idx="9">
                  <c:v>0.75</c:v>
                </c:pt>
                <c:pt idx="10">
                  <c:v>0.77500000000000002</c:v>
                </c:pt>
                <c:pt idx="11">
                  <c:v>0.8</c:v>
                </c:pt>
                <c:pt idx="12">
                  <c:v>0.82500000000000007</c:v>
                </c:pt>
                <c:pt idx="13">
                  <c:v>0.85000000000000009</c:v>
                </c:pt>
                <c:pt idx="14">
                  <c:v>0.87500000000000011</c:v>
                </c:pt>
              </c:numCache>
            </c:numRef>
          </c:cat>
          <c:val>
            <c:numRef>
              <c:f>Prices!$D$7:$D$21</c:f>
              <c:numCache>
                <c:formatCode>_("$"* #,##0.00_);_("$"* \(#,##0.00\);_("$"* "-"??_);_(@_)</c:formatCode>
                <c:ptCount val="15"/>
                <c:pt idx="0">
                  <c:v>3.3956305045833322</c:v>
                </c:pt>
                <c:pt idx="1">
                  <c:v>3.5456305045833325</c:v>
                </c:pt>
                <c:pt idx="2">
                  <c:v>3.6956305045833324</c:v>
                </c:pt>
                <c:pt idx="3">
                  <c:v>3.8456305045833328</c:v>
                </c:pt>
                <c:pt idx="4">
                  <c:v>3.9956305045833331</c:v>
                </c:pt>
                <c:pt idx="5">
                  <c:v>4.145630504583333</c:v>
                </c:pt>
                <c:pt idx="6">
                  <c:v>4.2956305045833325</c:v>
                </c:pt>
                <c:pt idx="7">
                  <c:v>4.4456305045833338</c:v>
                </c:pt>
                <c:pt idx="8">
                  <c:v>4.5956305045833332</c:v>
                </c:pt>
                <c:pt idx="9">
                  <c:v>4.7456305045833336</c:v>
                </c:pt>
                <c:pt idx="10">
                  <c:v>4.8956305045833339</c:v>
                </c:pt>
                <c:pt idx="11">
                  <c:v>5.0456305045833334</c:v>
                </c:pt>
                <c:pt idx="12">
                  <c:v>5.1956305045833346</c:v>
                </c:pt>
                <c:pt idx="13">
                  <c:v>5.345630504583335</c:v>
                </c:pt>
                <c:pt idx="14">
                  <c:v>5.4956305045833345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025728"/>
        <c:axId val="42027648"/>
      </c:lineChart>
      <c:catAx>
        <c:axId val="420257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Cotton Price ($/lb)</a:t>
                </a:r>
              </a:p>
            </c:rich>
          </c:tx>
          <c:layout>
            <c:manualLayout>
              <c:xMode val="edge"/>
              <c:yMode val="edge"/>
              <c:x val="0.44852271726903697"/>
              <c:y val="0.932920804599639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2027648"/>
        <c:crosses val="autoZero"/>
        <c:auto val="1"/>
        <c:lblAlgn val="ctr"/>
        <c:lblOffset val="100"/>
        <c:noMultiLvlLbl val="0"/>
      </c:catAx>
      <c:valAx>
        <c:axId val="4202764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Corn Price ($/bu)</a:t>
                </a:r>
              </a:p>
            </c:rich>
          </c:tx>
          <c:layout>
            <c:manualLayout>
              <c:xMode val="edge"/>
              <c:yMode val="edge"/>
              <c:x val="8.3467827391141405E-5"/>
              <c:y val="0.30024380785378302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20257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811890904941199"/>
          <c:y val="0.71949170165292498"/>
          <c:w val="0.199308912472897"/>
          <c:h val="8.5449650699444199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EF4CE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Peanut Price Needed to Give Equal Returns Above Variable Costs to Corn at Budgeted Yields *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0"/>
          <c:order val="0"/>
          <c:tx>
            <c:strRef>
              <c:f>Prices!$M$6</c:f>
              <c:strCache>
                <c:ptCount val="1"/>
                <c:pt idx="0">
                  <c:v>Irrigated Peanut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rgbClr val="92D050"/>
              </a:solidFill>
              <a:ln>
                <a:solidFill>
                  <a:srgbClr val="00B050"/>
                </a:solidFill>
              </a:ln>
            </c:spPr>
          </c:marker>
          <c:dLbls>
            <c:spPr>
              <a:solidFill>
                <a:srgbClr val="00B050">
                  <a:alpha val="5000"/>
                </a:srgb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Prices!$N$7:$N$21</c:f>
              <c:numCache>
                <c:formatCode>_("$"* #,##0.00_);_("$"* \(#,##0.00\);_("$"* "-"??_);_(@_)</c:formatCode>
                <c:ptCount val="15"/>
                <c:pt idx="0">
                  <c:v>3.2</c:v>
                </c:pt>
                <c:pt idx="1">
                  <c:v>3.35</c:v>
                </c:pt>
                <c:pt idx="2">
                  <c:v>3.5</c:v>
                </c:pt>
                <c:pt idx="3">
                  <c:v>3.65</c:v>
                </c:pt>
                <c:pt idx="4">
                  <c:v>3.8</c:v>
                </c:pt>
                <c:pt idx="5">
                  <c:v>3.9499999999999997</c:v>
                </c:pt>
                <c:pt idx="6">
                  <c:v>4.0999999999999996</c:v>
                </c:pt>
                <c:pt idx="7">
                  <c:v>4.25</c:v>
                </c:pt>
                <c:pt idx="8">
                  <c:v>4.4000000000000004</c:v>
                </c:pt>
                <c:pt idx="9">
                  <c:v>4.5500000000000007</c:v>
                </c:pt>
                <c:pt idx="10">
                  <c:v>4.7000000000000011</c:v>
                </c:pt>
                <c:pt idx="11">
                  <c:v>4.8500000000000014</c:v>
                </c:pt>
                <c:pt idx="12">
                  <c:v>5.0000000000000018</c:v>
                </c:pt>
                <c:pt idx="13">
                  <c:v>5.1500000000000021</c:v>
                </c:pt>
                <c:pt idx="14">
                  <c:v>5.3000000000000025</c:v>
                </c:pt>
              </c:numCache>
            </c:numRef>
          </c:cat>
          <c:val>
            <c:numRef>
              <c:f>Prices!$M$49:$M$63</c:f>
              <c:numCache>
                <c:formatCode>_("$"* #,##0_);_("$"* \(#,##0\);_("$"* "-"??_);_(@_)</c:formatCode>
                <c:ptCount val="15"/>
                <c:pt idx="0">
                  <c:v>270.99709574468085</c:v>
                </c:pt>
                <c:pt idx="1">
                  <c:v>283.76305319148935</c:v>
                </c:pt>
                <c:pt idx="2">
                  <c:v>296.52901063829785</c:v>
                </c:pt>
                <c:pt idx="3">
                  <c:v>309.29496808510635</c:v>
                </c:pt>
                <c:pt idx="4">
                  <c:v>322.0609255319149</c:v>
                </c:pt>
                <c:pt idx="5">
                  <c:v>334.82688297872335</c:v>
                </c:pt>
                <c:pt idx="6">
                  <c:v>347.59284042553185</c:v>
                </c:pt>
                <c:pt idx="7">
                  <c:v>360.3587978723404</c:v>
                </c:pt>
                <c:pt idx="8">
                  <c:v>373.12475531914896</c:v>
                </c:pt>
                <c:pt idx="9">
                  <c:v>385.89071276595752</c:v>
                </c:pt>
                <c:pt idx="10">
                  <c:v>398.65667021276602</c:v>
                </c:pt>
                <c:pt idx="11">
                  <c:v>411.42262765957457</c:v>
                </c:pt>
                <c:pt idx="12">
                  <c:v>424.18858510638313</c:v>
                </c:pt>
                <c:pt idx="13">
                  <c:v>436.95454255319169</c:v>
                </c:pt>
                <c:pt idx="14">
                  <c:v>449.72050000000019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Prices!$M$27</c:f>
              <c:strCache>
                <c:ptCount val="1"/>
                <c:pt idx="0">
                  <c:v>Non Irrigated Peanut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square"/>
            <c:size val="6"/>
          </c:marker>
          <c:dLbls>
            <c:spPr>
              <a:solidFill>
                <a:schemeClr val="accent6">
                  <a:alpha val="5000"/>
                </a:scheme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Prices!$N$7:$N$21</c:f>
              <c:numCache>
                <c:formatCode>_("$"* #,##0.00_);_("$"* \(#,##0.00\);_("$"* "-"??_);_(@_)</c:formatCode>
                <c:ptCount val="15"/>
                <c:pt idx="0">
                  <c:v>3.2</c:v>
                </c:pt>
                <c:pt idx="1">
                  <c:v>3.35</c:v>
                </c:pt>
                <c:pt idx="2">
                  <c:v>3.5</c:v>
                </c:pt>
                <c:pt idx="3">
                  <c:v>3.65</c:v>
                </c:pt>
                <c:pt idx="4">
                  <c:v>3.8</c:v>
                </c:pt>
                <c:pt idx="5">
                  <c:v>3.9499999999999997</c:v>
                </c:pt>
                <c:pt idx="6">
                  <c:v>4.0999999999999996</c:v>
                </c:pt>
                <c:pt idx="7">
                  <c:v>4.25</c:v>
                </c:pt>
                <c:pt idx="8">
                  <c:v>4.4000000000000004</c:v>
                </c:pt>
                <c:pt idx="9">
                  <c:v>4.5500000000000007</c:v>
                </c:pt>
                <c:pt idx="10">
                  <c:v>4.7000000000000011</c:v>
                </c:pt>
                <c:pt idx="11">
                  <c:v>4.8500000000000014</c:v>
                </c:pt>
                <c:pt idx="12">
                  <c:v>5.0000000000000018</c:v>
                </c:pt>
                <c:pt idx="13">
                  <c:v>5.1500000000000021</c:v>
                </c:pt>
                <c:pt idx="14">
                  <c:v>5.3000000000000025</c:v>
                </c:pt>
              </c:numCache>
            </c:numRef>
          </c:cat>
          <c:val>
            <c:numRef>
              <c:f>Prices!$M$70:$M$84</c:f>
              <c:numCache>
                <c:formatCode>_("$"* #,##0_);_("$"* \(#,##0\);_("$"* "-"??_);_(@_)</c:formatCode>
                <c:ptCount val="15"/>
                <c:pt idx="0">
                  <c:v>295.58855449999999</c:v>
                </c:pt>
                <c:pt idx="1">
                  <c:v>303.08855449999993</c:v>
                </c:pt>
                <c:pt idx="2">
                  <c:v>310.58855449999993</c:v>
                </c:pt>
                <c:pt idx="3">
                  <c:v>318.08855449999993</c:v>
                </c:pt>
                <c:pt idx="4">
                  <c:v>325.58855449999999</c:v>
                </c:pt>
                <c:pt idx="5">
                  <c:v>333.08855449999999</c:v>
                </c:pt>
                <c:pt idx="6">
                  <c:v>340.58855449999999</c:v>
                </c:pt>
                <c:pt idx="7">
                  <c:v>348.08855449999999</c:v>
                </c:pt>
                <c:pt idx="8">
                  <c:v>355.58855450000004</c:v>
                </c:pt>
                <c:pt idx="9">
                  <c:v>363.08855450000004</c:v>
                </c:pt>
                <c:pt idx="10">
                  <c:v>370.5885545000001</c:v>
                </c:pt>
                <c:pt idx="11">
                  <c:v>378.0885545000001</c:v>
                </c:pt>
                <c:pt idx="12">
                  <c:v>385.5885545000001</c:v>
                </c:pt>
                <c:pt idx="13">
                  <c:v>393.0885545000001</c:v>
                </c:pt>
                <c:pt idx="14">
                  <c:v>400.5885545000001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104832"/>
        <c:axId val="140106752"/>
      </c:lineChart>
      <c:catAx>
        <c:axId val="1401048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Corn Price ($/bu)</a:t>
                </a:r>
              </a:p>
            </c:rich>
          </c:tx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40106752"/>
        <c:crosses val="autoZero"/>
        <c:auto val="1"/>
        <c:lblAlgn val="ctr"/>
        <c:lblOffset val="100"/>
        <c:noMultiLvlLbl val="0"/>
      </c:catAx>
      <c:valAx>
        <c:axId val="14010675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Peanut Price ($/ton)</a:t>
                </a:r>
              </a:p>
            </c:rich>
          </c:tx>
          <c:layout>
            <c:manualLayout>
              <c:xMode val="edge"/>
              <c:yMode val="edge"/>
              <c:x val="8.3441062404512902E-5"/>
              <c:y val="0.30024372759856599"/>
            </c:manualLayout>
          </c:layout>
          <c:overlay val="0"/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401048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651010041655201"/>
          <c:y val="0.69715643609065003"/>
          <c:w val="0.22665778717958801"/>
          <c:h val="0.102313210848644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99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Soybean Price Needed to Give Equal Returns Above Variable Costs to Corn at Budgeted Yields *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0"/>
          <c:order val="0"/>
          <c:tx>
            <c:strRef>
              <c:f>Prices!$O$6</c:f>
              <c:strCache>
                <c:ptCount val="1"/>
                <c:pt idx="0">
                  <c:v>Irrigated Soybean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circle"/>
            <c:size val="7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rgbClr val="7030A0"/>
                </a:solidFill>
              </a:ln>
            </c:spPr>
          </c:marker>
          <c:dLbls>
            <c:spPr>
              <a:solidFill>
                <a:schemeClr val="accent4">
                  <a:lumMod val="60000"/>
                  <a:lumOff val="40000"/>
                  <a:alpha val="5000"/>
                </a:scheme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Prices!$N$7:$N$21</c:f>
              <c:numCache>
                <c:formatCode>_("$"* #,##0.00_);_("$"* \(#,##0.00\);_("$"* "-"??_);_(@_)</c:formatCode>
                <c:ptCount val="15"/>
                <c:pt idx="0">
                  <c:v>3.2</c:v>
                </c:pt>
                <c:pt idx="1">
                  <c:v>3.35</c:v>
                </c:pt>
                <c:pt idx="2">
                  <c:v>3.5</c:v>
                </c:pt>
                <c:pt idx="3">
                  <c:v>3.65</c:v>
                </c:pt>
                <c:pt idx="4">
                  <c:v>3.8</c:v>
                </c:pt>
                <c:pt idx="5">
                  <c:v>3.9499999999999997</c:v>
                </c:pt>
                <c:pt idx="6">
                  <c:v>4.0999999999999996</c:v>
                </c:pt>
                <c:pt idx="7">
                  <c:v>4.25</c:v>
                </c:pt>
                <c:pt idx="8">
                  <c:v>4.4000000000000004</c:v>
                </c:pt>
                <c:pt idx="9">
                  <c:v>4.5500000000000007</c:v>
                </c:pt>
                <c:pt idx="10">
                  <c:v>4.7000000000000011</c:v>
                </c:pt>
                <c:pt idx="11">
                  <c:v>4.8500000000000014</c:v>
                </c:pt>
                <c:pt idx="12">
                  <c:v>5.0000000000000018</c:v>
                </c:pt>
                <c:pt idx="13">
                  <c:v>5.1500000000000021</c:v>
                </c:pt>
                <c:pt idx="14">
                  <c:v>5.3000000000000025</c:v>
                </c:pt>
              </c:numCache>
            </c:numRef>
          </c:cat>
          <c:val>
            <c:numRef>
              <c:f>Prices!$O$49:$O$63</c:f>
              <c:numCache>
                <c:formatCode>_("$"* #,##0.00_);_("$"* \(#,##0.00\);_("$"* "-"??_);_(@_)</c:formatCode>
                <c:ptCount val="15"/>
                <c:pt idx="0">
                  <c:v>5.2072818966666663</c:v>
                </c:pt>
                <c:pt idx="1">
                  <c:v>5.7072818966666663</c:v>
                </c:pt>
                <c:pt idx="2">
                  <c:v>6.2072818966666663</c:v>
                </c:pt>
                <c:pt idx="3">
                  <c:v>6.7072818966666663</c:v>
                </c:pt>
                <c:pt idx="4">
                  <c:v>7.2072818966666663</c:v>
                </c:pt>
                <c:pt idx="5">
                  <c:v>7.7072818966666663</c:v>
                </c:pt>
                <c:pt idx="6">
                  <c:v>8.2072818966666645</c:v>
                </c:pt>
                <c:pt idx="7">
                  <c:v>8.7072818966666663</c:v>
                </c:pt>
                <c:pt idx="8">
                  <c:v>9.2072818966666681</c:v>
                </c:pt>
                <c:pt idx="9">
                  <c:v>9.7072818966666681</c:v>
                </c:pt>
                <c:pt idx="10">
                  <c:v>10.20728189666667</c:v>
                </c:pt>
                <c:pt idx="11">
                  <c:v>10.70728189666667</c:v>
                </c:pt>
                <c:pt idx="12">
                  <c:v>11.207281896666672</c:v>
                </c:pt>
                <c:pt idx="13">
                  <c:v>11.707281896666673</c:v>
                </c:pt>
                <c:pt idx="14">
                  <c:v>12.207281896666673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Prices!$O$27</c:f>
              <c:strCache>
                <c:ptCount val="1"/>
                <c:pt idx="0">
                  <c:v>Non Irrigated Soybean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square"/>
            <c:size val="6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accent6">
                    <a:lumMod val="50000"/>
                  </a:schemeClr>
                </a:solidFill>
              </a:ln>
            </c:spPr>
          </c:marker>
          <c:dLbls>
            <c:spPr>
              <a:solidFill>
                <a:srgbClr val="FFC000">
                  <a:alpha val="5000"/>
                </a:srgb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Prices!$N$7:$N$21</c:f>
              <c:numCache>
                <c:formatCode>_("$"* #,##0.00_);_("$"* \(#,##0.00\);_("$"* "-"??_);_(@_)</c:formatCode>
                <c:ptCount val="15"/>
                <c:pt idx="0">
                  <c:v>3.2</c:v>
                </c:pt>
                <c:pt idx="1">
                  <c:v>3.35</c:v>
                </c:pt>
                <c:pt idx="2">
                  <c:v>3.5</c:v>
                </c:pt>
                <c:pt idx="3">
                  <c:v>3.65</c:v>
                </c:pt>
                <c:pt idx="4">
                  <c:v>3.8</c:v>
                </c:pt>
                <c:pt idx="5">
                  <c:v>3.9499999999999997</c:v>
                </c:pt>
                <c:pt idx="6">
                  <c:v>4.0999999999999996</c:v>
                </c:pt>
                <c:pt idx="7">
                  <c:v>4.25</c:v>
                </c:pt>
                <c:pt idx="8">
                  <c:v>4.4000000000000004</c:v>
                </c:pt>
                <c:pt idx="9">
                  <c:v>4.5500000000000007</c:v>
                </c:pt>
                <c:pt idx="10">
                  <c:v>4.7000000000000011</c:v>
                </c:pt>
                <c:pt idx="11">
                  <c:v>4.8500000000000014</c:v>
                </c:pt>
                <c:pt idx="12">
                  <c:v>5.0000000000000018</c:v>
                </c:pt>
                <c:pt idx="13">
                  <c:v>5.1500000000000021</c:v>
                </c:pt>
                <c:pt idx="14">
                  <c:v>5.3000000000000025</c:v>
                </c:pt>
              </c:numCache>
            </c:numRef>
          </c:cat>
          <c:val>
            <c:numRef>
              <c:f>Prices!$O$70:$O$84</c:f>
              <c:numCache>
                <c:formatCode>_("$"* #,##0.00_);_("$"* \(#,##0.00\);_("$"* "-"??_);_(@_)</c:formatCode>
                <c:ptCount val="15"/>
                <c:pt idx="0">
                  <c:v>6.0792753891666669</c:v>
                </c:pt>
                <c:pt idx="1">
                  <c:v>6.5042753891666667</c:v>
                </c:pt>
                <c:pt idx="2">
                  <c:v>6.9292753891666665</c:v>
                </c:pt>
                <c:pt idx="3">
                  <c:v>7.3542753891666672</c:v>
                </c:pt>
                <c:pt idx="4">
                  <c:v>7.7792753891666671</c:v>
                </c:pt>
                <c:pt idx="5">
                  <c:v>8.204275389166666</c:v>
                </c:pt>
                <c:pt idx="6">
                  <c:v>8.6292753891666667</c:v>
                </c:pt>
                <c:pt idx="7">
                  <c:v>9.0542753891666656</c:v>
                </c:pt>
                <c:pt idx="8">
                  <c:v>9.4792753891666699</c:v>
                </c:pt>
                <c:pt idx="9">
                  <c:v>9.9042753891666688</c:v>
                </c:pt>
                <c:pt idx="10">
                  <c:v>10.32927538916667</c:v>
                </c:pt>
                <c:pt idx="11">
                  <c:v>10.75427538916667</c:v>
                </c:pt>
                <c:pt idx="12">
                  <c:v>11.179275389166673</c:v>
                </c:pt>
                <c:pt idx="13">
                  <c:v>11.604275389166673</c:v>
                </c:pt>
                <c:pt idx="14">
                  <c:v>12.029275389166674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579200"/>
        <c:axId val="142581120"/>
      </c:lineChart>
      <c:catAx>
        <c:axId val="1425792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Corn Price ($/bu)</a:t>
                </a:r>
              </a:p>
            </c:rich>
          </c:tx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42581120"/>
        <c:crosses val="autoZero"/>
        <c:auto val="1"/>
        <c:lblAlgn val="ctr"/>
        <c:lblOffset val="100"/>
        <c:noMultiLvlLbl val="0"/>
      </c:catAx>
      <c:valAx>
        <c:axId val="1425811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Soybean Price ($/bu)</a:t>
                </a:r>
              </a:p>
            </c:rich>
          </c:tx>
          <c:layout>
            <c:manualLayout>
              <c:xMode val="edge"/>
              <c:yMode val="edge"/>
              <c:x val="8.3467827391141405E-5"/>
              <c:y val="0.30024372759856599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425792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811890904941199"/>
          <c:y val="0.69656331668218896"/>
          <c:w val="0.24596286333773501"/>
          <c:h val="0.102313210848644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99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100"/>
              <a:t>Cotton Price Needed to Give Equal Returns Above Variable Costs to Soybean at Budgeted Yields *</a:t>
            </a:r>
          </a:p>
        </c:rich>
      </c:tx>
      <c:layout>
        <c:manualLayout>
          <c:xMode val="edge"/>
          <c:yMode val="edge"/>
          <c:x val="0.12568617825514899"/>
          <c:y val="8.8416100305342606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0"/>
          <c:order val="0"/>
          <c:tx>
            <c:strRef>
              <c:f>Prices!$Q$6</c:f>
              <c:strCache>
                <c:ptCount val="1"/>
                <c:pt idx="0">
                  <c:v>Irrigated Cotton</c:v>
                </c:pt>
              </c:strCache>
            </c:strRef>
          </c:tx>
          <c:marker>
            <c:symbol val="circle"/>
            <c:size val="7"/>
          </c:marker>
          <c:dLbls>
            <c:spPr>
              <a:solidFill>
                <a:schemeClr val="tx2">
                  <a:lumMod val="60000"/>
                  <a:lumOff val="40000"/>
                  <a:alpha val="5000"/>
                </a:scheme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Prices!$T$28:$T$42</c:f>
              <c:numCache>
                <c:formatCode>_("$"* #,##0.00_);_("$"* \(#,##0.00\);_("$"* "-"??_);_(@_)</c:formatCode>
                <c:ptCount val="15"/>
                <c:pt idx="0">
                  <c:v>6.1500000000000021</c:v>
                </c:pt>
                <c:pt idx="1">
                  <c:v>6.5000000000000018</c:v>
                </c:pt>
                <c:pt idx="2">
                  <c:v>6.8500000000000014</c:v>
                </c:pt>
                <c:pt idx="3">
                  <c:v>7.2000000000000011</c:v>
                </c:pt>
                <c:pt idx="4">
                  <c:v>7.5500000000000007</c:v>
                </c:pt>
                <c:pt idx="5">
                  <c:v>7.9</c:v>
                </c:pt>
                <c:pt idx="6">
                  <c:v>8.25</c:v>
                </c:pt>
                <c:pt idx="7">
                  <c:v>8.6</c:v>
                </c:pt>
                <c:pt idx="8">
                  <c:v>8.9499999999999993</c:v>
                </c:pt>
                <c:pt idx="9">
                  <c:v>9.2999999999999989</c:v>
                </c:pt>
                <c:pt idx="10">
                  <c:v>9.6499999999999986</c:v>
                </c:pt>
                <c:pt idx="11">
                  <c:v>9.9999999999999982</c:v>
                </c:pt>
                <c:pt idx="12">
                  <c:v>10.349999999999998</c:v>
                </c:pt>
                <c:pt idx="13">
                  <c:v>10.699999999999998</c:v>
                </c:pt>
                <c:pt idx="14">
                  <c:v>11.049999999999997</c:v>
                </c:pt>
              </c:numCache>
            </c:numRef>
          </c:cat>
          <c:val>
            <c:numRef>
              <c:f>Prices!$Q$49:$Q$63</c:f>
              <c:numCache>
                <c:formatCode>_("$"* #,##0.00_);_("$"* \(#,##0.00\);_("$"* "-"??_);_(@_)</c:formatCode>
                <c:ptCount val="15"/>
                <c:pt idx="0">
                  <c:v>0.53920979961111115</c:v>
                </c:pt>
                <c:pt idx="1">
                  <c:v>0.55670979961111122</c:v>
                </c:pt>
                <c:pt idx="2">
                  <c:v>0.57420979961111118</c:v>
                </c:pt>
                <c:pt idx="3">
                  <c:v>0.59170979961111114</c:v>
                </c:pt>
                <c:pt idx="4">
                  <c:v>0.6092097996111111</c:v>
                </c:pt>
                <c:pt idx="5">
                  <c:v>0.62670979961111106</c:v>
                </c:pt>
                <c:pt idx="6">
                  <c:v>0.64420979961111113</c:v>
                </c:pt>
                <c:pt idx="7">
                  <c:v>0.66170979961111109</c:v>
                </c:pt>
                <c:pt idx="8">
                  <c:v>0.67920979961111105</c:v>
                </c:pt>
                <c:pt idx="9">
                  <c:v>0.69670979961111101</c:v>
                </c:pt>
                <c:pt idx="10">
                  <c:v>0.71420979961111097</c:v>
                </c:pt>
                <c:pt idx="11">
                  <c:v>0.73170979961111104</c:v>
                </c:pt>
                <c:pt idx="12">
                  <c:v>0.749209799611111</c:v>
                </c:pt>
                <c:pt idx="13">
                  <c:v>0.76670979961111096</c:v>
                </c:pt>
                <c:pt idx="14">
                  <c:v>0.78420979961111092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Prices!$Q$27</c:f>
              <c:strCache>
                <c:ptCount val="1"/>
                <c:pt idx="0">
                  <c:v>Non Irrigated Cotton</c:v>
                </c:pt>
              </c:strCache>
            </c:strRef>
          </c:tx>
          <c:marker>
            <c:symbol val="square"/>
            <c:size val="6"/>
          </c:marker>
          <c:dLbls>
            <c:spPr>
              <a:solidFill>
                <a:schemeClr val="accent2">
                  <a:lumMod val="60000"/>
                  <a:lumOff val="40000"/>
                  <a:alpha val="5000"/>
                </a:scheme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Prices!$T$28:$T$42</c:f>
              <c:numCache>
                <c:formatCode>_("$"* #,##0.00_);_("$"* \(#,##0.00\);_("$"* "-"??_);_(@_)</c:formatCode>
                <c:ptCount val="15"/>
                <c:pt idx="0">
                  <c:v>6.1500000000000021</c:v>
                </c:pt>
                <c:pt idx="1">
                  <c:v>6.5000000000000018</c:v>
                </c:pt>
                <c:pt idx="2">
                  <c:v>6.8500000000000014</c:v>
                </c:pt>
                <c:pt idx="3">
                  <c:v>7.2000000000000011</c:v>
                </c:pt>
                <c:pt idx="4">
                  <c:v>7.5500000000000007</c:v>
                </c:pt>
                <c:pt idx="5">
                  <c:v>7.9</c:v>
                </c:pt>
                <c:pt idx="6">
                  <c:v>8.25</c:v>
                </c:pt>
                <c:pt idx="7">
                  <c:v>8.6</c:v>
                </c:pt>
                <c:pt idx="8">
                  <c:v>8.9499999999999993</c:v>
                </c:pt>
                <c:pt idx="9">
                  <c:v>9.2999999999999989</c:v>
                </c:pt>
                <c:pt idx="10">
                  <c:v>9.6499999999999986</c:v>
                </c:pt>
                <c:pt idx="11">
                  <c:v>9.9999999999999982</c:v>
                </c:pt>
                <c:pt idx="12">
                  <c:v>10.349999999999998</c:v>
                </c:pt>
                <c:pt idx="13">
                  <c:v>10.699999999999998</c:v>
                </c:pt>
                <c:pt idx="14">
                  <c:v>11.049999999999997</c:v>
                </c:pt>
              </c:numCache>
            </c:numRef>
          </c:cat>
          <c:val>
            <c:numRef>
              <c:f>Prices!$Q$70:$Q$84</c:f>
              <c:numCache>
                <c:formatCode>_("$"* #,##0.00_);_("$"* \(#,##0.00\);_("$"* "-"??_);_(@_)</c:formatCode>
                <c:ptCount val="15"/>
                <c:pt idx="0">
                  <c:v>0.5614490325777779</c:v>
                </c:pt>
                <c:pt idx="1">
                  <c:v>0.57544903257777791</c:v>
                </c:pt>
                <c:pt idx="2">
                  <c:v>0.58944903257777792</c:v>
                </c:pt>
                <c:pt idx="3">
                  <c:v>0.60344903257777782</c:v>
                </c:pt>
                <c:pt idx="4">
                  <c:v>0.61744903257777783</c:v>
                </c:pt>
                <c:pt idx="5">
                  <c:v>0.63144903257777774</c:v>
                </c:pt>
                <c:pt idx="6">
                  <c:v>0.64544903257777775</c:v>
                </c:pt>
                <c:pt idx="7">
                  <c:v>0.65944903257777776</c:v>
                </c:pt>
                <c:pt idx="8">
                  <c:v>0.67344903257777777</c:v>
                </c:pt>
                <c:pt idx="9">
                  <c:v>0.68744903257777767</c:v>
                </c:pt>
                <c:pt idx="10">
                  <c:v>0.70144903257777769</c:v>
                </c:pt>
                <c:pt idx="11">
                  <c:v>0.7154490325777777</c:v>
                </c:pt>
                <c:pt idx="12">
                  <c:v>0.72944903257777771</c:v>
                </c:pt>
                <c:pt idx="13">
                  <c:v>0.74344903257777772</c:v>
                </c:pt>
                <c:pt idx="14">
                  <c:v>0.75744903257777751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187392"/>
        <c:axId val="168189312"/>
      </c:lineChart>
      <c:catAx>
        <c:axId val="1681873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Soybean Price ($/bu)</a:t>
                </a:r>
              </a:p>
            </c:rich>
          </c:tx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8189312"/>
        <c:crosses val="autoZero"/>
        <c:auto val="1"/>
        <c:lblAlgn val="ctr"/>
        <c:lblOffset val="100"/>
        <c:noMultiLvlLbl val="0"/>
      </c:catAx>
      <c:valAx>
        <c:axId val="16818931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Cotton Price ($/lb)</a:t>
                </a:r>
              </a:p>
            </c:rich>
          </c:tx>
          <c:layout>
            <c:manualLayout>
              <c:xMode val="edge"/>
              <c:yMode val="edge"/>
              <c:x val="8.3387332194448307E-5"/>
              <c:y val="0.30024392646283399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81873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811887603825099"/>
          <c:y val="0.69699072384163896"/>
          <c:w val="0.225049188053488"/>
          <c:h val="0.102313071793178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CFFCC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100"/>
              <a:t>Peanut Price Needed to Give Equal Returns Above Variable Costs to Soybean at Budgeted Yields *</a:t>
            </a:r>
          </a:p>
        </c:rich>
      </c:tx>
      <c:layout>
        <c:manualLayout>
          <c:xMode val="edge"/>
          <c:yMode val="edge"/>
          <c:x val="0.12778326216685601"/>
          <c:y val="8.59469985606638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0"/>
          <c:order val="0"/>
          <c:tx>
            <c:strRef>
              <c:f>Prices!$R$6</c:f>
              <c:strCache>
                <c:ptCount val="1"/>
                <c:pt idx="0">
                  <c:v>Irrigated Peanut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rgbClr val="92D050"/>
              </a:solidFill>
              <a:ln>
                <a:solidFill>
                  <a:srgbClr val="00B050"/>
                </a:solidFill>
              </a:ln>
            </c:spPr>
          </c:marker>
          <c:dLbls>
            <c:spPr>
              <a:solidFill>
                <a:srgbClr val="00B050">
                  <a:alpha val="5000"/>
                </a:srgb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Prices!$T$7:$T$21</c:f>
              <c:numCache>
                <c:formatCode>_("$"* #,##0.00_);_("$"* \(#,##0.00\);_("$"* "-"??_);_(@_)</c:formatCode>
                <c:ptCount val="15"/>
                <c:pt idx="0">
                  <c:v>6.1500000000000021</c:v>
                </c:pt>
                <c:pt idx="1">
                  <c:v>6.5000000000000018</c:v>
                </c:pt>
                <c:pt idx="2">
                  <c:v>6.8500000000000014</c:v>
                </c:pt>
                <c:pt idx="3">
                  <c:v>7.2000000000000011</c:v>
                </c:pt>
                <c:pt idx="4">
                  <c:v>7.5500000000000007</c:v>
                </c:pt>
                <c:pt idx="5">
                  <c:v>7.9</c:v>
                </c:pt>
                <c:pt idx="6">
                  <c:v>8.25</c:v>
                </c:pt>
                <c:pt idx="7">
                  <c:v>8.6</c:v>
                </c:pt>
                <c:pt idx="8">
                  <c:v>8.9499999999999993</c:v>
                </c:pt>
                <c:pt idx="9">
                  <c:v>9.2999999999999989</c:v>
                </c:pt>
                <c:pt idx="10">
                  <c:v>9.6499999999999986</c:v>
                </c:pt>
                <c:pt idx="11">
                  <c:v>9.9999999999999982</c:v>
                </c:pt>
                <c:pt idx="12">
                  <c:v>10.349999999999998</c:v>
                </c:pt>
                <c:pt idx="13">
                  <c:v>10.699999999999998</c:v>
                </c:pt>
                <c:pt idx="14">
                  <c:v>11.049999999999997</c:v>
                </c:pt>
              </c:numCache>
            </c:numRef>
          </c:cat>
          <c:val>
            <c:numRef>
              <c:f>Prices!$R$49:$R$63</c:f>
              <c:numCache>
                <c:formatCode>_("$"* #,##0_);_("$"* \(#,##0\);_("$"* "-"??_);_(@_)</c:formatCode>
                <c:ptCount val="15"/>
                <c:pt idx="0">
                  <c:v>295.06649412765961</c:v>
                </c:pt>
                <c:pt idx="1">
                  <c:v>304.00266434042561</c:v>
                </c:pt>
                <c:pt idx="2">
                  <c:v>312.93883455319155</c:v>
                </c:pt>
                <c:pt idx="3">
                  <c:v>321.87500476595744</c:v>
                </c:pt>
                <c:pt idx="4">
                  <c:v>330.81117497872344</c:v>
                </c:pt>
                <c:pt idx="5">
                  <c:v>339.74734519148933</c:v>
                </c:pt>
                <c:pt idx="6">
                  <c:v>348.68351540425533</c:v>
                </c:pt>
                <c:pt idx="7">
                  <c:v>357.61968561702128</c:v>
                </c:pt>
                <c:pt idx="8">
                  <c:v>366.55585582978722</c:v>
                </c:pt>
                <c:pt idx="9">
                  <c:v>375.49202604255316</c:v>
                </c:pt>
                <c:pt idx="10">
                  <c:v>384.42819625531911</c:v>
                </c:pt>
                <c:pt idx="11">
                  <c:v>393.36436646808511</c:v>
                </c:pt>
                <c:pt idx="12">
                  <c:v>402.30053668085105</c:v>
                </c:pt>
                <c:pt idx="13">
                  <c:v>411.23670689361694</c:v>
                </c:pt>
                <c:pt idx="14">
                  <c:v>420.17287710638288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Prices!$R$27</c:f>
              <c:strCache>
                <c:ptCount val="1"/>
                <c:pt idx="0">
                  <c:v>Non Irrigated Peanut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square"/>
            <c:size val="6"/>
          </c:marker>
          <c:dLbls>
            <c:spPr>
              <a:solidFill>
                <a:schemeClr val="accent6">
                  <a:alpha val="5000"/>
                </a:scheme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Prices!$T$7:$T$21</c:f>
              <c:numCache>
                <c:formatCode>_("$"* #,##0.00_);_("$"* \(#,##0.00\);_("$"* "-"??_);_(@_)</c:formatCode>
                <c:ptCount val="15"/>
                <c:pt idx="0">
                  <c:v>6.1500000000000021</c:v>
                </c:pt>
                <c:pt idx="1">
                  <c:v>6.5000000000000018</c:v>
                </c:pt>
                <c:pt idx="2">
                  <c:v>6.8500000000000014</c:v>
                </c:pt>
                <c:pt idx="3">
                  <c:v>7.2000000000000011</c:v>
                </c:pt>
                <c:pt idx="4">
                  <c:v>7.5500000000000007</c:v>
                </c:pt>
                <c:pt idx="5">
                  <c:v>7.9</c:v>
                </c:pt>
                <c:pt idx="6">
                  <c:v>8.25</c:v>
                </c:pt>
                <c:pt idx="7">
                  <c:v>8.6</c:v>
                </c:pt>
                <c:pt idx="8">
                  <c:v>8.9499999999999993</c:v>
                </c:pt>
                <c:pt idx="9">
                  <c:v>9.2999999999999989</c:v>
                </c:pt>
                <c:pt idx="10">
                  <c:v>9.6499999999999986</c:v>
                </c:pt>
                <c:pt idx="11">
                  <c:v>9.9999999999999982</c:v>
                </c:pt>
                <c:pt idx="12">
                  <c:v>10.349999999999998</c:v>
                </c:pt>
                <c:pt idx="13">
                  <c:v>10.699999999999998</c:v>
                </c:pt>
                <c:pt idx="14">
                  <c:v>11.049999999999997</c:v>
                </c:pt>
              </c:numCache>
            </c:numRef>
          </c:cat>
          <c:val>
            <c:numRef>
              <c:f>Prices!$R$70:$R$84</c:f>
              <c:numCache>
                <c:formatCode>_("$"* #,##0_);_("$"* \(#,##0\);_("$"* "-"??_);_(@_)</c:formatCode>
                <c:ptCount val="15"/>
                <c:pt idx="0">
                  <c:v>296.83663586764709</c:v>
                </c:pt>
                <c:pt idx="1">
                  <c:v>303.01310645588239</c:v>
                </c:pt>
                <c:pt idx="2">
                  <c:v>309.1895770441177</c:v>
                </c:pt>
                <c:pt idx="3">
                  <c:v>315.36604763235295</c:v>
                </c:pt>
                <c:pt idx="4">
                  <c:v>321.54251822058819</c:v>
                </c:pt>
                <c:pt idx="5">
                  <c:v>327.7189888088235</c:v>
                </c:pt>
                <c:pt idx="6">
                  <c:v>333.8954593970588</c:v>
                </c:pt>
                <c:pt idx="7">
                  <c:v>340.0719299852941</c:v>
                </c:pt>
                <c:pt idx="8">
                  <c:v>346.24840057352941</c:v>
                </c:pt>
                <c:pt idx="9">
                  <c:v>352.42487116176471</c:v>
                </c:pt>
                <c:pt idx="10">
                  <c:v>358.60134174999996</c:v>
                </c:pt>
                <c:pt idx="11">
                  <c:v>364.77781233823526</c:v>
                </c:pt>
                <c:pt idx="12">
                  <c:v>370.95428292647057</c:v>
                </c:pt>
                <c:pt idx="13">
                  <c:v>377.13075351470587</c:v>
                </c:pt>
                <c:pt idx="14">
                  <c:v>383.30722410294112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502784"/>
        <c:axId val="168504704"/>
      </c:lineChart>
      <c:catAx>
        <c:axId val="1685027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Soybean Price ($/bu)</a:t>
                </a:r>
              </a:p>
            </c:rich>
          </c:tx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8504704"/>
        <c:crosses val="autoZero"/>
        <c:auto val="1"/>
        <c:lblAlgn val="ctr"/>
        <c:lblOffset val="100"/>
        <c:noMultiLvlLbl val="0"/>
      </c:catAx>
      <c:valAx>
        <c:axId val="16850470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Peanut Price ($/ton)</a:t>
                </a:r>
              </a:p>
            </c:rich>
          </c:tx>
          <c:layout>
            <c:manualLayout>
              <c:xMode val="edge"/>
              <c:yMode val="edge"/>
              <c:x val="8.3441062404512902E-5"/>
              <c:y val="0.30024372759856599"/>
            </c:manualLayout>
          </c:layout>
          <c:overlay val="0"/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85027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972747809508901"/>
          <c:y val="0.69972737278807895"/>
          <c:w val="0.221831524790744"/>
          <c:h val="0.102313210848644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CFFCC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Corn Price Needed to Give Equal Returns Above Variable Costs to Soybean at Budgeted Yields *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0"/>
          <c:order val="0"/>
          <c:tx>
            <c:strRef>
              <c:f>Prices!$S$6</c:f>
              <c:strCache>
                <c:ptCount val="1"/>
                <c:pt idx="0">
                  <c:v>Irrigated Corn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circle"/>
            <c:size val="7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rgbClr val="7030A0"/>
                </a:solidFill>
              </a:ln>
            </c:spPr>
          </c:marker>
          <c:dLbls>
            <c:spPr>
              <a:solidFill>
                <a:schemeClr val="accent4">
                  <a:lumMod val="60000"/>
                  <a:lumOff val="40000"/>
                  <a:alpha val="5000"/>
                </a:scheme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Prices!$T$7:$T$21</c:f>
              <c:numCache>
                <c:formatCode>_("$"* #,##0.00_);_("$"* \(#,##0.00\);_("$"* "-"??_);_(@_)</c:formatCode>
                <c:ptCount val="15"/>
                <c:pt idx="0">
                  <c:v>6.1500000000000021</c:v>
                </c:pt>
                <c:pt idx="1">
                  <c:v>6.5000000000000018</c:v>
                </c:pt>
                <c:pt idx="2">
                  <c:v>6.8500000000000014</c:v>
                </c:pt>
                <c:pt idx="3">
                  <c:v>7.2000000000000011</c:v>
                </c:pt>
                <c:pt idx="4">
                  <c:v>7.5500000000000007</c:v>
                </c:pt>
                <c:pt idx="5">
                  <c:v>7.9</c:v>
                </c:pt>
                <c:pt idx="6">
                  <c:v>8.25</c:v>
                </c:pt>
                <c:pt idx="7">
                  <c:v>8.6</c:v>
                </c:pt>
                <c:pt idx="8">
                  <c:v>8.9499999999999993</c:v>
                </c:pt>
                <c:pt idx="9">
                  <c:v>9.2999999999999989</c:v>
                </c:pt>
                <c:pt idx="10">
                  <c:v>9.6499999999999986</c:v>
                </c:pt>
                <c:pt idx="11">
                  <c:v>9.9999999999999982</c:v>
                </c:pt>
                <c:pt idx="12">
                  <c:v>10.349999999999998</c:v>
                </c:pt>
                <c:pt idx="13">
                  <c:v>10.699999999999998</c:v>
                </c:pt>
                <c:pt idx="14">
                  <c:v>11.049999999999997</c:v>
                </c:pt>
              </c:numCache>
            </c:numRef>
          </c:cat>
          <c:val>
            <c:numRef>
              <c:f>Prices!$S$49:$S$63</c:f>
              <c:numCache>
                <c:formatCode>_("$"* #,##0.00_);_("$"* \(#,##0.00\);_("$"* "-"??_);_(@_)</c:formatCode>
                <c:ptCount val="15"/>
                <c:pt idx="0">
                  <c:v>3.4828154310000006</c:v>
                </c:pt>
                <c:pt idx="1">
                  <c:v>3.587815431000001</c:v>
                </c:pt>
                <c:pt idx="2">
                  <c:v>3.692815431000001</c:v>
                </c:pt>
                <c:pt idx="3">
                  <c:v>3.7978154310000001</c:v>
                </c:pt>
                <c:pt idx="4">
                  <c:v>3.9028154310000001</c:v>
                </c:pt>
                <c:pt idx="5">
                  <c:v>4.007815431</c:v>
                </c:pt>
                <c:pt idx="6">
                  <c:v>4.1128154310000005</c:v>
                </c:pt>
                <c:pt idx="7">
                  <c:v>4.217815431</c:v>
                </c:pt>
                <c:pt idx="8">
                  <c:v>4.3228154310000004</c:v>
                </c:pt>
                <c:pt idx="9">
                  <c:v>4.427815431</c:v>
                </c:pt>
                <c:pt idx="10">
                  <c:v>4.5328154309999995</c:v>
                </c:pt>
                <c:pt idx="11">
                  <c:v>4.6378154309999999</c:v>
                </c:pt>
                <c:pt idx="12">
                  <c:v>4.7428154309999995</c:v>
                </c:pt>
                <c:pt idx="13">
                  <c:v>4.8478154309999999</c:v>
                </c:pt>
                <c:pt idx="14">
                  <c:v>4.9528154309999994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Prices!$S$27</c:f>
              <c:strCache>
                <c:ptCount val="1"/>
                <c:pt idx="0">
                  <c:v>Non Irrigated Corn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square"/>
            <c:size val="6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accent6">
                    <a:lumMod val="50000"/>
                  </a:schemeClr>
                </a:solidFill>
              </a:ln>
            </c:spPr>
          </c:marker>
          <c:dLbls>
            <c:spPr>
              <a:solidFill>
                <a:srgbClr val="FFC000">
                  <a:alpha val="5000"/>
                </a:srgb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Prices!$T$7:$T$21</c:f>
              <c:numCache>
                <c:formatCode>_("$"* #,##0.00_);_("$"* \(#,##0.00\);_("$"* "-"??_);_(@_)</c:formatCode>
                <c:ptCount val="15"/>
                <c:pt idx="0">
                  <c:v>6.1500000000000021</c:v>
                </c:pt>
                <c:pt idx="1">
                  <c:v>6.5000000000000018</c:v>
                </c:pt>
                <c:pt idx="2">
                  <c:v>6.8500000000000014</c:v>
                </c:pt>
                <c:pt idx="3">
                  <c:v>7.2000000000000011</c:v>
                </c:pt>
                <c:pt idx="4">
                  <c:v>7.5500000000000007</c:v>
                </c:pt>
                <c:pt idx="5">
                  <c:v>7.9</c:v>
                </c:pt>
                <c:pt idx="6">
                  <c:v>8.25</c:v>
                </c:pt>
                <c:pt idx="7">
                  <c:v>8.6</c:v>
                </c:pt>
                <c:pt idx="8">
                  <c:v>8.9499999999999993</c:v>
                </c:pt>
                <c:pt idx="9">
                  <c:v>9.2999999999999989</c:v>
                </c:pt>
                <c:pt idx="10">
                  <c:v>9.6499999999999986</c:v>
                </c:pt>
                <c:pt idx="11">
                  <c:v>9.9999999999999982</c:v>
                </c:pt>
                <c:pt idx="12">
                  <c:v>10.349999999999998</c:v>
                </c:pt>
                <c:pt idx="13">
                  <c:v>10.699999999999998</c:v>
                </c:pt>
                <c:pt idx="14">
                  <c:v>11.049999999999997</c:v>
                </c:pt>
              </c:numCache>
            </c:numRef>
          </c:cat>
          <c:val>
            <c:numRef>
              <c:f>Prices!$S$70:$S$84</c:f>
              <c:numCache>
                <c:formatCode>_("$"* #,##0.00_);_("$"* \(#,##0.00\);_("$"* "-"??_);_(@_)</c:formatCode>
                <c:ptCount val="15"/>
                <c:pt idx="0">
                  <c:v>3.2249616273529416</c:v>
                </c:pt>
                <c:pt idx="1">
                  <c:v>3.3484910391176474</c:v>
                </c:pt>
                <c:pt idx="2">
                  <c:v>3.4720204508823533</c:v>
                </c:pt>
                <c:pt idx="3">
                  <c:v>3.5955498626470592</c:v>
                </c:pt>
                <c:pt idx="4">
                  <c:v>3.7190792744117651</c:v>
                </c:pt>
                <c:pt idx="5">
                  <c:v>3.842608686176471</c:v>
                </c:pt>
                <c:pt idx="6">
                  <c:v>3.9661380979411769</c:v>
                </c:pt>
                <c:pt idx="7">
                  <c:v>4.0896675097058823</c:v>
                </c:pt>
                <c:pt idx="8">
                  <c:v>4.2131969214705887</c:v>
                </c:pt>
                <c:pt idx="9">
                  <c:v>4.3367263332352932</c:v>
                </c:pt>
                <c:pt idx="10">
                  <c:v>4.4602557449999987</c:v>
                </c:pt>
                <c:pt idx="11">
                  <c:v>4.583785156764705</c:v>
                </c:pt>
                <c:pt idx="12">
                  <c:v>4.7073145685294104</c:v>
                </c:pt>
                <c:pt idx="13">
                  <c:v>4.8308439802941168</c:v>
                </c:pt>
                <c:pt idx="14">
                  <c:v>4.9543733920588222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232832"/>
        <c:axId val="168234368"/>
      </c:lineChart>
      <c:catAx>
        <c:axId val="1682328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Soybean Price ($/bu)</a:t>
                </a:r>
              </a:p>
            </c:rich>
          </c:tx>
          <c:layout>
            <c:manualLayout>
              <c:xMode val="edge"/>
              <c:yMode val="edge"/>
              <c:x val="0.437289512723953"/>
              <c:y val="0.933117051355705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8234368"/>
        <c:crosses val="autoZero"/>
        <c:auto val="1"/>
        <c:lblAlgn val="ctr"/>
        <c:lblOffset val="100"/>
        <c:noMultiLvlLbl val="0"/>
      </c:catAx>
      <c:valAx>
        <c:axId val="16823436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Corn Price ($/bu)</a:t>
                </a:r>
              </a:p>
            </c:rich>
          </c:tx>
          <c:layout>
            <c:manualLayout>
              <c:xMode val="edge"/>
              <c:yMode val="edge"/>
              <c:x val="8.3467827391141405E-5"/>
              <c:y val="0.30024376781228501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82328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811890904941199"/>
          <c:y val="0.69937300755860499"/>
          <c:w val="0.199308912472897"/>
          <c:h val="0.10231309069199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CFFCC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100"/>
              <a:t>Soybean Price Needed to Give Equal Returns Above Variable Costs to Cotton at Budgeted Yields *</a:t>
            </a:r>
          </a:p>
        </c:rich>
      </c:tx>
      <c:layout>
        <c:manualLayout>
          <c:xMode val="edge"/>
          <c:yMode val="edge"/>
          <c:x val="0.12883115697494299"/>
          <c:y val="1.721920243840489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1"/>
          <c:order val="0"/>
          <c:tx>
            <c:strRef>
              <c:f>Prices!$E$27</c:f>
              <c:strCache>
                <c:ptCount val="1"/>
                <c:pt idx="0">
                  <c:v>Non Irrigated Soybean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square"/>
            <c:size val="6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accent6">
                    <a:lumMod val="50000"/>
                  </a:schemeClr>
                </a:solidFill>
              </a:ln>
            </c:spPr>
          </c:marker>
          <c:dLbls>
            <c:spPr>
              <a:solidFill>
                <a:srgbClr val="FFC000">
                  <a:alpha val="5000"/>
                </a:srgb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Prices!$B$28:$B$42</c:f>
              <c:numCache>
                <c:formatCode>_("$"* #,##0.00_);_("$"* \(#,##0.00\);_("$"* "-"??_);_(@_)</c:formatCode>
                <c:ptCount val="15"/>
                <c:pt idx="0">
                  <c:v>0.5249999999999998</c:v>
                </c:pt>
                <c:pt idx="1">
                  <c:v>0.54999999999999982</c:v>
                </c:pt>
                <c:pt idx="2">
                  <c:v>0.57499999999999984</c:v>
                </c:pt>
                <c:pt idx="3">
                  <c:v>0.59999999999999987</c:v>
                </c:pt>
                <c:pt idx="4">
                  <c:v>0.62499999999999989</c:v>
                </c:pt>
                <c:pt idx="5">
                  <c:v>0.64999999999999991</c:v>
                </c:pt>
                <c:pt idx="6">
                  <c:v>0.67499999999999993</c:v>
                </c:pt>
                <c:pt idx="7">
                  <c:v>0.7</c:v>
                </c:pt>
                <c:pt idx="8">
                  <c:v>0.72499999999999998</c:v>
                </c:pt>
                <c:pt idx="9">
                  <c:v>0.75</c:v>
                </c:pt>
                <c:pt idx="10">
                  <c:v>0.77500000000000002</c:v>
                </c:pt>
                <c:pt idx="11">
                  <c:v>0.8</c:v>
                </c:pt>
                <c:pt idx="12">
                  <c:v>0.82500000000000007</c:v>
                </c:pt>
                <c:pt idx="13">
                  <c:v>0.85000000000000009</c:v>
                </c:pt>
                <c:pt idx="14">
                  <c:v>0.87500000000000011</c:v>
                </c:pt>
              </c:numCache>
            </c:numRef>
          </c:cat>
          <c:val>
            <c:numRef>
              <c:f>Prices!$E$28:$E$42</c:f>
              <c:numCache>
                <c:formatCode>_("$"* #,##0.00_);_("$"* \(#,##0.00\);_("$"* "-"??_);_(@_)</c:formatCode>
                <c:ptCount val="15"/>
                <c:pt idx="0">
                  <c:v>5.4939014731818157</c:v>
                </c:pt>
                <c:pt idx="1">
                  <c:v>6.1189014731818174</c:v>
                </c:pt>
                <c:pt idx="2">
                  <c:v>6.7439014731818174</c:v>
                </c:pt>
                <c:pt idx="3">
                  <c:v>7.3689014731818174</c:v>
                </c:pt>
                <c:pt idx="4">
                  <c:v>7.9939014731818192</c:v>
                </c:pt>
                <c:pt idx="5">
                  <c:v>8.6189014731818183</c:v>
                </c:pt>
                <c:pt idx="6">
                  <c:v>9.2439014731818183</c:v>
                </c:pt>
                <c:pt idx="7">
                  <c:v>9.8689014731818201</c:v>
                </c:pt>
                <c:pt idx="8">
                  <c:v>10.49390147318182</c:v>
                </c:pt>
                <c:pt idx="9">
                  <c:v>11.11890147318182</c:v>
                </c:pt>
                <c:pt idx="10">
                  <c:v>11.74390147318182</c:v>
                </c:pt>
                <c:pt idx="11">
                  <c:v>12.36890147318182</c:v>
                </c:pt>
                <c:pt idx="12">
                  <c:v>12.99390147318182</c:v>
                </c:pt>
                <c:pt idx="13">
                  <c:v>13.618901473181825</c:v>
                </c:pt>
                <c:pt idx="14">
                  <c:v>14.243901473181825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Prices!$E$6</c:f>
              <c:strCache>
                <c:ptCount val="1"/>
                <c:pt idx="0">
                  <c:v>Irrigated Soybean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circle"/>
            <c:size val="7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rgbClr val="7030A0"/>
                </a:solidFill>
              </a:ln>
            </c:spPr>
          </c:marker>
          <c:dLbls>
            <c:spPr>
              <a:solidFill>
                <a:schemeClr val="accent4">
                  <a:lumMod val="40000"/>
                  <a:lumOff val="60000"/>
                  <a:alpha val="5000"/>
                </a:scheme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Prices!$B$28:$B$42</c:f>
              <c:numCache>
                <c:formatCode>_("$"* #,##0.00_);_("$"* \(#,##0.00\);_("$"* "-"??_);_(@_)</c:formatCode>
                <c:ptCount val="15"/>
                <c:pt idx="0">
                  <c:v>0.5249999999999998</c:v>
                </c:pt>
                <c:pt idx="1">
                  <c:v>0.54999999999999982</c:v>
                </c:pt>
                <c:pt idx="2">
                  <c:v>0.57499999999999984</c:v>
                </c:pt>
                <c:pt idx="3">
                  <c:v>0.59999999999999987</c:v>
                </c:pt>
                <c:pt idx="4">
                  <c:v>0.62499999999999989</c:v>
                </c:pt>
                <c:pt idx="5">
                  <c:v>0.64999999999999991</c:v>
                </c:pt>
                <c:pt idx="6">
                  <c:v>0.67499999999999993</c:v>
                </c:pt>
                <c:pt idx="7">
                  <c:v>0.7</c:v>
                </c:pt>
                <c:pt idx="8">
                  <c:v>0.72499999999999998</c:v>
                </c:pt>
                <c:pt idx="9">
                  <c:v>0.75</c:v>
                </c:pt>
                <c:pt idx="10">
                  <c:v>0.77500000000000002</c:v>
                </c:pt>
                <c:pt idx="11">
                  <c:v>0.8</c:v>
                </c:pt>
                <c:pt idx="12">
                  <c:v>0.82500000000000007</c:v>
                </c:pt>
                <c:pt idx="13">
                  <c:v>0.85000000000000009</c:v>
                </c:pt>
                <c:pt idx="14">
                  <c:v>0.87500000000000011</c:v>
                </c:pt>
              </c:numCache>
            </c:numRef>
          </c:cat>
          <c:val>
            <c:numRef>
              <c:f>Prices!$E$7:$E$21</c:f>
              <c:numCache>
                <c:formatCode>_("$"* #,##0.00_);_("$"* \(#,##0.00\);_("$"* "-"??_);_(@_)</c:formatCode>
                <c:ptCount val="15"/>
                <c:pt idx="0">
                  <c:v>6.0194382869444407</c:v>
                </c:pt>
                <c:pt idx="1">
                  <c:v>6.5194382869444407</c:v>
                </c:pt>
                <c:pt idx="2">
                  <c:v>7.0194382869444407</c:v>
                </c:pt>
                <c:pt idx="3">
                  <c:v>7.5194382869444434</c:v>
                </c:pt>
                <c:pt idx="4">
                  <c:v>8.0194382869444425</c:v>
                </c:pt>
                <c:pt idx="5">
                  <c:v>8.5194382869444425</c:v>
                </c:pt>
                <c:pt idx="6">
                  <c:v>9.0194382869444443</c:v>
                </c:pt>
                <c:pt idx="7">
                  <c:v>9.5194382869444443</c:v>
                </c:pt>
                <c:pt idx="8">
                  <c:v>10.019438286944444</c:v>
                </c:pt>
                <c:pt idx="9">
                  <c:v>10.519438286944444</c:v>
                </c:pt>
                <c:pt idx="10">
                  <c:v>11.019438286944444</c:v>
                </c:pt>
                <c:pt idx="11">
                  <c:v>11.519438286944444</c:v>
                </c:pt>
                <c:pt idx="12">
                  <c:v>12.019438286944448</c:v>
                </c:pt>
                <c:pt idx="13">
                  <c:v>12.519438286944448</c:v>
                </c:pt>
                <c:pt idx="14">
                  <c:v>13.019438286944448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554688"/>
        <c:axId val="41556608"/>
      </c:lineChart>
      <c:catAx>
        <c:axId val="415546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Cotton Price ($/lb)</a:t>
                </a:r>
              </a:p>
            </c:rich>
          </c:tx>
          <c:layout>
            <c:manualLayout>
              <c:xMode val="edge"/>
              <c:yMode val="edge"/>
              <c:x val="0.44852271726903697"/>
              <c:y val="0.91945090734625901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1556608"/>
        <c:crosses val="autoZero"/>
        <c:auto val="1"/>
        <c:lblAlgn val="ctr"/>
        <c:lblOffset val="100"/>
        <c:noMultiLvlLbl val="0"/>
      </c:catAx>
      <c:valAx>
        <c:axId val="415566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Soybean Price ($/bu)</a:t>
                </a:r>
              </a:p>
            </c:rich>
          </c:tx>
          <c:layout>
            <c:manualLayout>
              <c:xMode val="edge"/>
              <c:yMode val="edge"/>
              <c:x val="8.3467827391141405E-5"/>
              <c:y val="0.30024372759856599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15546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139844475962201"/>
          <c:y val="0.68307735726582597"/>
          <c:w val="0.21861397760062601"/>
          <c:h val="0.102313210848644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EF4CE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100"/>
              <a:t>Cotton Price Needed to Give Equal Returns Above Variable Costs to Peanuts at Budgeted Yields *</a:t>
            </a:r>
          </a:p>
        </c:rich>
      </c:tx>
      <c:layout>
        <c:manualLayout>
          <c:xMode val="edge"/>
          <c:yMode val="edge"/>
          <c:x val="0.13070735723252"/>
          <c:y val="1.721920535795089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1"/>
          <c:order val="0"/>
          <c:tx>
            <c:strRef>
              <c:f>Prices!$G$27</c:f>
              <c:strCache>
                <c:ptCount val="1"/>
                <c:pt idx="0">
                  <c:v>Non Irrigated Cotton</c:v>
                </c:pt>
              </c:strCache>
            </c:strRef>
          </c:tx>
          <c:marker>
            <c:symbol val="square"/>
            <c:size val="6"/>
          </c:marker>
          <c:dLbls>
            <c:spPr>
              <a:solidFill>
                <a:srgbClr val="FF0000">
                  <a:alpha val="5000"/>
                </a:srgb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Prices!$H$28:$H$42</c:f>
              <c:numCache>
                <c:formatCode>_("$"* #,##0_);_("$"* \(#,##0\);_("$"* "-"??_);_(@_)</c:formatCode>
                <c:ptCount val="15"/>
                <c:pt idx="0">
                  <c:v>299.89361702127661</c:v>
                </c:pt>
                <c:pt idx="1">
                  <c:v>309.89361702127661</c:v>
                </c:pt>
                <c:pt idx="2">
                  <c:v>319.89361702127661</c:v>
                </c:pt>
                <c:pt idx="3">
                  <c:v>329.89361702127661</c:v>
                </c:pt>
                <c:pt idx="4">
                  <c:v>339.89361702127661</c:v>
                </c:pt>
                <c:pt idx="5">
                  <c:v>349.89361702127661</c:v>
                </c:pt>
                <c:pt idx="6">
                  <c:v>359.89361702127661</c:v>
                </c:pt>
                <c:pt idx="7">
                  <c:v>369.89361702127661</c:v>
                </c:pt>
                <c:pt idx="8">
                  <c:v>379.89361702127661</c:v>
                </c:pt>
                <c:pt idx="9">
                  <c:v>389.89361702127661</c:v>
                </c:pt>
                <c:pt idx="10">
                  <c:v>399.89361702127661</c:v>
                </c:pt>
                <c:pt idx="11">
                  <c:v>409.89361702127661</c:v>
                </c:pt>
                <c:pt idx="12">
                  <c:v>419.89361702127661</c:v>
                </c:pt>
                <c:pt idx="13">
                  <c:v>429.89361702127661</c:v>
                </c:pt>
                <c:pt idx="14">
                  <c:v>439.89361702127661</c:v>
                </c:pt>
              </c:numCache>
            </c:numRef>
          </c:cat>
          <c:val>
            <c:numRef>
              <c:f>Prices!$G$28:$G$42</c:f>
              <c:numCache>
                <c:formatCode>_("$"* #,##0.00_);_("$"* \(#,##0.00\);_("$"* "-"??_);_(@_)</c:formatCode>
                <c:ptCount val="15"/>
                <c:pt idx="0">
                  <c:v>0.52953836285428735</c:v>
                </c:pt>
                <c:pt idx="1">
                  <c:v>0.55220502952095407</c:v>
                </c:pt>
                <c:pt idx="2">
                  <c:v>0.57487169618762068</c:v>
                </c:pt>
                <c:pt idx="3">
                  <c:v>0.59753836285428741</c:v>
                </c:pt>
                <c:pt idx="4">
                  <c:v>0.62020502952095402</c:v>
                </c:pt>
                <c:pt idx="5">
                  <c:v>0.64287169618762074</c:v>
                </c:pt>
                <c:pt idx="6">
                  <c:v>0.66553836285428736</c:v>
                </c:pt>
                <c:pt idx="7">
                  <c:v>0.68820502952095408</c:v>
                </c:pt>
                <c:pt idx="8">
                  <c:v>0.71087169618762069</c:v>
                </c:pt>
                <c:pt idx="9">
                  <c:v>0.73353836285428742</c:v>
                </c:pt>
                <c:pt idx="10">
                  <c:v>0.75620502952095403</c:v>
                </c:pt>
                <c:pt idx="11">
                  <c:v>0.77887169618762075</c:v>
                </c:pt>
                <c:pt idx="12">
                  <c:v>0.80153836285428737</c:v>
                </c:pt>
                <c:pt idx="13">
                  <c:v>0.82420502952095409</c:v>
                </c:pt>
                <c:pt idx="14">
                  <c:v>0.8468716961876207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Prices!$G$6</c:f>
              <c:strCache>
                <c:ptCount val="1"/>
                <c:pt idx="0">
                  <c:v>Irrigated Cotton</c:v>
                </c:pt>
              </c:strCache>
            </c:strRef>
          </c:tx>
          <c:marker>
            <c:symbol val="circle"/>
            <c:size val="7"/>
          </c:marker>
          <c:dLbls>
            <c:spPr>
              <a:solidFill>
                <a:schemeClr val="accent1">
                  <a:alpha val="5000"/>
                </a:scheme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Prices!$H$28:$H$42</c:f>
              <c:numCache>
                <c:formatCode>_("$"* #,##0_);_("$"* \(#,##0\);_("$"* "-"??_);_(@_)</c:formatCode>
                <c:ptCount val="15"/>
                <c:pt idx="0">
                  <c:v>299.89361702127661</c:v>
                </c:pt>
                <c:pt idx="1">
                  <c:v>309.89361702127661</c:v>
                </c:pt>
                <c:pt idx="2">
                  <c:v>319.89361702127661</c:v>
                </c:pt>
                <c:pt idx="3">
                  <c:v>329.89361702127661</c:v>
                </c:pt>
                <c:pt idx="4">
                  <c:v>339.89361702127661</c:v>
                </c:pt>
                <c:pt idx="5">
                  <c:v>349.89361702127661</c:v>
                </c:pt>
                <c:pt idx="6">
                  <c:v>359.89361702127661</c:v>
                </c:pt>
                <c:pt idx="7">
                  <c:v>369.89361702127661</c:v>
                </c:pt>
                <c:pt idx="8">
                  <c:v>379.89361702127661</c:v>
                </c:pt>
                <c:pt idx="9">
                  <c:v>389.89361702127661</c:v>
                </c:pt>
                <c:pt idx="10">
                  <c:v>399.89361702127661</c:v>
                </c:pt>
                <c:pt idx="11">
                  <c:v>409.89361702127661</c:v>
                </c:pt>
                <c:pt idx="12">
                  <c:v>419.89361702127661</c:v>
                </c:pt>
                <c:pt idx="13">
                  <c:v>429.89361702127661</c:v>
                </c:pt>
                <c:pt idx="14">
                  <c:v>439.89361702127661</c:v>
                </c:pt>
              </c:numCache>
            </c:numRef>
          </c:cat>
          <c:val>
            <c:numRef>
              <c:f>Prices!$G$7:$G$21</c:f>
              <c:numCache>
                <c:formatCode>_("$"* #,##0.00_);_("$"* \(#,##0.00\);_("$"* "-"??_);_(@_)</c:formatCode>
                <c:ptCount val="15"/>
                <c:pt idx="0">
                  <c:v>0.52081389506944442</c:v>
                </c:pt>
                <c:pt idx="1">
                  <c:v>0.54039722840277771</c:v>
                </c:pt>
                <c:pt idx="2">
                  <c:v>0.55998056173611099</c:v>
                </c:pt>
                <c:pt idx="3">
                  <c:v>0.57956389506944439</c:v>
                </c:pt>
                <c:pt idx="4">
                  <c:v>0.59914722840277768</c:v>
                </c:pt>
                <c:pt idx="5">
                  <c:v>0.61873056173611107</c:v>
                </c:pt>
                <c:pt idx="6">
                  <c:v>0.63831389506944436</c:v>
                </c:pt>
                <c:pt idx="7">
                  <c:v>0.65789722840277776</c:v>
                </c:pt>
                <c:pt idx="8">
                  <c:v>0.67748056173611104</c:v>
                </c:pt>
                <c:pt idx="9">
                  <c:v>0.69706389506944433</c:v>
                </c:pt>
                <c:pt idx="10">
                  <c:v>0.71664722840277773</c:v>
                </c:pt>
                <c:pt idx="11">
                  <c:v>0.73623056173611101</c:v>
                </c:pt>
                <c:pt idx="12">
                  <c:v>0.75581389506944441</c:v>
                </c:pt>
                <c:pt idx="13">
                  <c:v>0.77539722840277769</c:v>
                </c:pt>
                <c:pt idx="14">
                  <c:v>0.79498056173611109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603840"/>
        <c:axId val="41605760"/>
      </c:lineChart>
      <c:catAx>
        <c:axId val="416038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Peanut Price ($/ton)</a:t>
                </a:r>
              </a:p>
            </c:rich>
          </c:tx>
          <c:overlay val="0"/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1605760"/>
        <c:crosses val="autoZero"/>
        <c:auto val="1"/>
        <c:lblAlgn val="ctr"/>
        <c:lblOffset val="100"/>
        <c:noMultiLvlLbl val="0"/>
      </c:catAx>
      <c:valAx>
        <c:axId val="4160576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Cotton Price ($/lb)</a:t>
                </a:r>
              </a:p>
            </c:rich>
          </c:tx>
          <c:layout>
            <c:manualLayout>
              <c:xMode val="edge"/>
              <c:yMode val="edge"/>
              <c:x val="8.3467827391141405E-5"/>
              <c:y val="0.30024368721151201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16038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1446047504932"/>
          <c:y val="0.69279595438501196"/>
          <c:w val="0.210570287409726"/>
          <c:h val="0.102312878993574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CC99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Corn Price Needed to Give Equal Returns Above Variable Costs to Peanuts at Budgeted Yields *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1"/>
          <c:order val="0"/>
          <c:tx>
            <c:strRef>
              <c:f>Prices!$I$27</c:f>
              <c:strCache>
                <c:ptCount val="1"/>
                <c:pt idx="0">
                  <c:v>Non Irrigated Corn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square"/>
            <c:size val="6"/>
          </c:marker>
          <c:dLbls>
            <c:spPr>
              <a:solidFill>
                <a:schemeClr val="accent6">
                  <a:lumMod val="75000"/>
                  <a:alpha val="5000"/>
                </a:scheme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Prices!$H$28:$H$42</c:f>
              <c:numCache>
                <c:formatCode>_("$"* #,##0_);_("$"* \(#,##0\);_("$"* "-"??_);_(@_)</c:formatCode>
                <c:ptCount val="15"/>
                <c:pt idx="0">
                  <c:v>299.89361702127661</c:v>
                </c:pt>
                <c:pt idx="1">
                  <c:v>309.89361702127661</c:v>
                </c:pt>
                <c:pt idx="2">
                  <c:v>319.89361702127661</c:v>
                </c:pt>
                <c:pt idx="3">
                  <c:v>329.89361702127661</c:v>
                </c:pt>
                <c:pt idx="4">
                  <c:v>339.89361702127661</c:v>
                </c:pt>
                <c:pt idx="5">
                  <c:v>349.89361702127661</c:v>
                </c:pt>
                <c:pt idx="6">
                  <c:v>359.89361702127661</c:v>
                </c:pt>
                <c:pt idx="7">
                  <c:v>369.89361702127661</c:v>
                </c:pt>
                <c:pt idx="8">
                  <c:v>379.89361702127661</c:v>
                </c:pt>
                <c:pt idx="9">
                  <c:v>389.89361702127661</c:v>
                </c:pt>
                <c:pt idx="10">
                  <c:v>399.89361702127661</c:v>
                </c:pt>
                <c:pt idx="11">
                  <c:v>409.89361702127661</c:v>
                </c:pt>
                <c:pt idx="12">
                  <c:v>419.89361702127661</c:v>
                </c:pt>
                <c:pt idx="13">
                  <c:v>429.89361702127661</c:v>
                </c:pt>
                <c:pt idx="14">
                  <c:v>439.89361702127661</c:v>
                </c:pt>
              </c:numCache>
            </c:numRef>
          </c:cat>
          <c:val>
            <c:numRef>
              <c:f>Prices!$I$28:$I$42</c:f>
              <c:numCache>
                <c:formatCode>_("$"* #,##0.00_);_("$"* \(#,##0.00\);_("$"* "-"??_);_(@_)</c:formatCode>
                <c:ptCount val="15"/>
                <c:pt idx="0">
                  <c:v>3.1312238210137666</c:v>
                </c:pt>
                <c:pt idx="1">
                  <c:v>3.3312238210137668</c:v>
                </c:pt>
                <c:pt idx="2">
                  <c:v>3.5312238210137665</c:v>
                </c:pt>
                <c:pt idx="3">
                  <c:v>3.7312238210137667</c:v>
                </c:pt>
                <c:pt idx="4">
                  <c:v>3.9312238210137669</c:v>
                </c:pt>
                <c:pt idx="5">
                  <c:v>4.1312238210137666</c:v>
                </c:pt>
                <c:pt idx="6">
                  <c:v>4.3312238210137668</c:v>
                </c:pt>
                <c:pt idx="7">
                  <c:v>4.531223821013767</c:v>
                </c:pt>
                <c:pt idx="8">
                  <c:v>4.7312238210137663</c:v>
                </c:pt>
                <c:pt idx="9">
                  <c:v>4.9312238210137664</c:v>
                </c:pt>
                <c:pt idx="10">
                  <c:v>5.1312238210137666</c:v>
                </c:pt>
                <c:pt idx="11">
                  <c:v>5.3312238210137668</c:v>
                </c:pt>
                <c:pt idx="12">
                  <c:v>5.531223821013767</c:v>
                </c:pt>
                <c:pt idx="13">
                  <c:v>5.7312238210137663</c:v>
                </c:pt>
                <c:pt idx="14">
                  <c:v>5.9312238210137664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Prices!$I$6</c:f>
              <c:strCache>
                <c:ptCount val="1"/>
                <c:pt idx="0">
                  <c:v>Irrigated Corn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rgbClr val="92D050"/>
              </a:solidFill>
              <a:ln>
                <a:solidFill>
                  <a:srgbClr val="00B050"/>
                </a:solidFill>
              </a:ln>
            </c:spPr>
          </c:marker>
          <c:dLbls>
            <c:spPr>
              <a:solidFill>
                <a:srgbClr val="00B050">
                  <a:alpha val="5000"/>
                </a:srgb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Prices!$H$28:$H$42</c:f>
              <c:numCache>
                <c:formatCode>_("$"* #,##0_);_("$"* \(#,##0\);_("$"* "-"??_);_(@_)</c:formatCode>
                <c:ptCount val="15"/>
                <c:pt idx="0">
                  <c:v>299.89361702127661</c:v>
                </c:pt>
                <c:pt idx="1">
                  <c:v>309.89361702127661</c:v>
                </c:pt>
                <c:pt idx="2">
                  <c:v>319.89361702127661</c:v>
                </c:pt>
                <c:pt idx="3">
                  <c:v>329.89361702127661</c:v>
                </c:pt>
                <c:pt idx="4">
                  <c:v>339.89361702127661</c:v>
                </c:pt>
                <c:pt idx="5">
                  <c:v>349.89361702127661</c:v>
                </c:pt>
                <c:pt idx="6">
                  <c:v>359.89361702127661</c:v>
                </c:pt>
                <c:pt idx="7">
                  <c:v>369.89361702127661</c:v>
                </c:pt>
                <c:pt idx="8">
                  <c:v>379.89361702127661</c:v>
                </c:pt>
                <c:pt idx="9">
                  <c:v>389.89361702127661</c:v>
                </c:pt>
                <c:pt idx="10">
                  <c:v>399.89361702127661</c:v>
                </c:pt>
                <c:pt idx="11">
                  <c:v>409.89361702127661</c:v>
                </c:pt>
                <c:pt idx="12">
                  <c:v>419.89361702127661</c:v>
                </c:pt>
                <c:pt idx="13">
                  <c:v>429.89361702127661</c:v>
                </c:pt>
                <c:pt idx="14">
                  <c:v>439.89361702127661</c:v>
                </c:pt>
              </c:numCache>
            </c:numRef>
          </c:cat>
          <c:val>
            <c:numRef>
              <c:f>Prices!$I$7:$I$21</c:f>
              <c:numCache>
                <c:formatCode>_("$"* #,##0.00_);_("$"* \(#,##0.00\);_("$"* "-"??_);_(@_)</c:formatCode>
                <c:ptCount val="15"/>
                <c:pt idx="0">
                  <c:v>3.3705138749999999</c:v>
                </c:pt>
                <c:pt idx="1">
                  <c:v>3.4880138749999996</c:v>
                </c:pt>
                <c:pt idx="2">
                  <c:v>3.6055138749999998</c:v>
                </c:pt>
                <c:pt idx="3">
                  <c:v>3.7230138749999999</c:v>
                </c:pt>
                <c:pt idx="4">
                  <c:v>3.8405138749999996</c:v>
                </c:pt>
                <c:pt idx="5">
                  <c:v>3.9580138749999998</c:v>
                </c:pt>
                <c:pt idx="6">
                  <c:v>4.0755138749999995</c:v>
                </c:pt>
                <c:pt idx="7">
                  <c:v>4.1930138750000001</c:v>
                </c:pt>
                <c:pt idx="8">
                  <c:v>4.3105138749999998</c:v>
                </c:pt>
                <c:pt idx="9">
                  <c:v>4.4280138749999995</c:v>
                </c:pt>
                <c:pt idx="10">
                  <c:v>4.5455138750000001</c:v>
                </c:pt>
                <c:pt idx="11">
                  <c:v>4.6630138749999999</c:v>
                </c:pt>
                <c:pt idx="12">
                  <c:v>4.7805138749999996</c:v>
                </c:pt>
                <c:pt idx="13">
                  <c:v>4.8980138750000002</c:v>
                </c:pt>
                <c:pt idx="14">
                  <c:v>5.0155138749999999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665280"/>
        <c:axId val="41667200"/>
      </c:lineChart>
      <c:catAx>
        <c:axId val="416652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Peanut Price ($/ton)</a:t>
                </a:r>
              </a:p>
            </c:rich>
          </c:tx>
          <c:overlay val="0"/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1667200"/>
        <c:crosses val="autoZero"/>
        <c:auto val="1"/>
        <c:lblAlgn val="ctr"/>
        <c:lblOffset val="100"/>
        <c:noMultiLvlLbl val="0"/>
      </c:catAx>
      <c:valAx>
        <c:axId val="4166720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Corn Price ($/bu)</a:t>
                </a:r>
              </a:p>
            </c:rich>
          </c:tx>
          <c:layout>
            <c:manualLayout>
              <c:xMode val="edge"/>
              <c:yMode val="edge"/>
              <c:x val="8.3467827391141405E-5"/>
              <c:y val="0.300243913476333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16652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319743727686201"/>
          <c:y val="0.70275205900986504"/>
          <c:w val="0.197700200518413"/>
          <c:h val="0.102313105258394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CC99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100"/>
              <a:t>Soybean Price Needed to Give Equal Returns Above Variable Costs to Peanuts at Budgeted Yields *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1"/>
          <c:order val="0"/>
          <c:tx>
            <c:strRef>
              <c:f>Prices!$J$27</c:f>
              <c:strCache>
                <c:ptCount val="1"/>
                <c:pt idx="0">
                  <c:v>Non Irrigated Soybean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square"/>
            <c:size val="6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accent6">
                    <a:lumMod val="50000"/>
                  </a:schemeClr>
                </a:solidFill>
              </a:ln>
            </c:spPr>
          </c:marker>
          <c:dLbls>
            <c:spPr>
              <a:solidFill>
                <a:srgbClr val="FFC000">
                  <a:alpha val="5000"/>
                </a:srgb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Prices!$H$28:$H$42</c:f>
              <c:numCache>
                <c:formatCode>_("$"* #,##0_);_("$"* \(#,##0\);_("$"* "-"??_);_(@_)</c:formatCode>
                <c:ptCount val="15"/>
                <c:pt idx="0">
                  <c:v>299.89361702127661</c:v>
                </c:pt>
                <c:pt idx="1">
                  <c:v>309.89361702127661</c:v>
                </c:pt>
                <c:pt idx="2">
                  <c:v>319.89361702127661</c:v>
                </c:pt>
                <c:pt idx="3">
                  <c:v>329.89361702127661</c:v>
                </c:pt>
                <c:pt idx="4">
                  <c:v>339.89361702127661</c:v>
                </c:pt>
                <c:pt idx="5">
                  <c:v>349.89361702127661</c:v>
                </c:pt>
                <c:pt idx="6">
                  <c:v>359.89361702127661</c:v>
                </c:pt>
                <c:pt idx="7">
                  <c:v>369.89361702127661</c:v>
                </c:pt>
                <c:pt idx="8">
                  <c:v>379.89361702127661</c:v>
                </c:pt>
                <c:pt idx="9">
                  <c:v>389.89361702127661</c:v>
                </c:pt>
                <c:pt idx="10">
                  <c:v>399.89361702127661</c:v>
                </c:pt>
                <c:pt idx="11">
                  <c:v>409.89361702127661</c:v>
                </c:pt>
                <c:pt idx="12">
                  <c:v>419.89361702127661</c:v>
                </c:pt>
                <c:pt idx="13">
                  <c:v>429.89361702127661</c:v>
                </c:pt>
                <c:pt idx="14">
                  <c:v>439.89361702127661</c:v>
                </c:pt>
              </c:numCache>
            </c:numRef>
          </c:cat>
          <c:val>
            <c:numRef>
              <c:f>Prices!$J$28:$J$42</c:f>
              <c:numCache>
                <c:formatCode>_("$"* #,##0.00_);_("$"* \(#,##0.00\);_("$"* "-"??_);_(@_)</c:formatCode>
                <c:ptCount val="15"/>
                <c:pt idx="0">
                  <c:v>5.6073605445390058</c:v>
                </c:pt>
                <c:pt idx="1">
                  <c:v>6.1740272112056722</c:v>
                </c:pt>
                <c:pt idx="2">
                  <c:v>6.7406938778723395</c:v>
                </c:pt>
                <c:pt idx="3">
                  <c:v>7.307360544539006</c:v>
                </c:pt>
                <c:pt idx="4">
                  <c:v>7.8740272112056724</c:v>
                </c:pt>
                <c:pt idx="5">
                  <c:v>8.4406938778723397</c:v>
                </c:pt>
                <c:pt idx="6">
                  <c:v>9.0073605445390061</c:v>
                </c:pt>
                <c:pt idx="7">
                  <c:v>9.5740272112056726</c:v>
                </c:pt>
                <c:pt idx="8">
                  <c:v>10.140693877872339</c:v>
                </c:pt>
                <c:pt idx="9">
                  <c:v>10.707360544539005</c:v>
                </c:pt>
                <c:pt idx="10">
                  <c:v>11.274027211205672</c:v>
                </c:pt>
                <c:pt idx="11">
                  <c:v>11.840693877872338</c:v>
                </c:pt>
                <c:pt idx="12">
                  <c:v>12.407360544539006</c:v>
                </c:pt>
                <c:pt idx="13">
                  <c:v>12.974027211205673</c:v>
                </c:pt>
                <c:pt idx="14">
                  <c:v>13.540693877872339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Prices!$J$6</c:f>
              <c:strCache>
                <c:ptCount val="1"/>
                <c:pt idx="0">
                  <c:v>Irrigated Soybean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circle"/>
            <c:size val="7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rgbClr val="7030A0"/>
                </a:solidFill>
              </a:ln>
            </c:spPr>
          </c:marker>
          <c:dLbls>
            <c:spPr>
              <a:solidFill>
                <a:schemeClr val="accent4">
                  <a:lumMod val="40000"/>
                  <a:lumOff val="60000"/>
                  <a:alpha val="5000"/>
                </a:scheme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Prices!$H$28:$H$42</c:f>
              <c:numCache>
                <c:formatCode>_("$"* #,##0_);_("$"* \(#,##0\);_("$"* "-"??_);_(@_)</c:formatCode>
                <c:ptCount val="15"/>
                <c:pt idx="0">
                  <c:v>299.89361702127661</c:v>
                </c:pt>
                <c:pt idx="1">
                  <c:v>309.89361702127661</c:v>
                </c:pt>
                <c:pt idx="2">
                  <c:v>319.89361702127661</c:v>
                </c:pt>
                <c:pt idx="3">
                  <c:v>329.89361702127661</c:v>
                </c:pt>
                <c:pt idx="4">
                  <c:v>339.89361702127661</c:v>
                </c:pt>
                <c:pt idx="5">
                  <c:v>349.89361702127661</c:v>
                </c:pt>
                <c:pt idx="6">
                  <c:v>359.89361702127661</c:v>
                </c:pt>
                <c:pt idx="7">
                  <c:v>369.89361702127661</c:v>
                </c:pt>
                <c:pt idx="8">
                  <c:v>379.89361702127661</c:v>
                </c:pt>
                <c:pt idx="9">
                  <c:v>389.89361702127661</c:v>
                </c:pt>
                <c:pt idx="10">
                  <c:v>399.89361702127661</c:v>
                </c:pt>
                <c:pt idx="11">
                  <c:v>409.89361702127661</c:v>
                </c:pt>
                <c:pt idx="12">
                  <c:v>419.89361702127661</c:v>
                </c:pt>
                <c:pt idx="13">
                  <c:v>429.89361702127661</c:v>
                </c:pt>
                <c:pt idx="14">
                  <c:v>439.89361702127661</c:v>
                </c:pt>
              </c:numCache>
            </c:numRef>
          </c:cat>
          <c:val>
            <c:numRef>
              <c:f>Prices!$J$7:$J$21</c:f>
              <c:numCache>
                <c:formatCode>_("$"* #,##0.00_);_("$"* \(#,##0.00\);_("$"* "-"??_);_(@_)</c:formatCode>
                <c:ptCount val="15"/>
                <c:pt idx="0">
                  <c:v>5.9357161883333323</c:v>
                </c:pt>
                <c:pt idx="1">
                  <c:v>6.3273828549999989</c:v>
                </c:pt>
                <c:pt idx="2">
                  <c:v>6.7190495216666655</c:v>
                </c:pt>
                <c:pt idx="3">
                  <c:v>7.1107161883333321</c:v>
                </c:pt>
                <c:pt idx="4">
                  <c:v>7.5023828549999987</c:v>
                </c:pt>
                <c:pt idx="5">
                  <c:v>7.8940495216666653</c:v>
                </c:pt>
                <c:pt idx="6">
                  <c:v>8.2857161883333319</c:v>
                </c:pt>
                <c:pt idx="7">
                  <c:v>8.6773828549999994</c:v>
                </c:pt>
                <c:pt idx="8">
                  <c:v>9.0690495216666669</c:v>
                </c:pt>
                <c:pt idx="9">
                  <c:v>9.4607161883333326</c:v>
                </c:pt>
                <c:pt idx="10">
                  <c:v>9.8523828550000001</c:v>
                </c:pt>
                <c:pt idx="11">
                  <c:v>10.244049521666666</c:v>
                </c:pt>
                <c:pt idx="12">
                  <c:v>10.635716188333333</c:v>
                </c:pt>
                <c:pt idx="13">
                  <c:v>11.027382855000001</c:v>
                </c:pt>
                <c:pt idx="14">
                  <c:v>11.419049521666667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361600"/>
        <c:axId val="42363520"/>
      </c:lineChart>
      <c:catAx>
        <c:axId val="423616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Peanut Price ($/ton)</a:t>
                </a:r>
              </a:p>
            </c:rich>
          </c:tx>
          <c:overlay val="0"/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2363520"/>
        <c:crosses val="autoZero"/>
        <c:auto val="1"/>
        <c:lblAlgn val="ctr"/>
        <c:lblOffset val="100"/>
        <c:noMultiLvlLbl val="0"/>
      </c:catAx>
      <c:valAx>
        <c:axId val="423635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Soybean Price ($/bu)</a:t>
                </a:r>
              </a:p>
            </c:rich>
          </c:tx>
          <c:layout>
            <c:manualLayout>
              <c:xMode val="edge"/>
              <c:yMode val="edge"/>
              <c:x val="8.3467827391141405E-5"/>
              <c:y val="0.30024380785378302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23616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636738885900099"/>
          <c:y val="0.68600830677749902"/>
          <c:w val="0.225049086255522"/>
          <c:h val="0.102313195861224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CC99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Cotton Price Needed to Give Equal Returns Above Variable Costs to Corn at Budgeted Yields *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0"/>
          <c:order val="0"/>
          <c:tx>
            <c:strRef>
              <c:f>Prices!$L$6</c:f>
              <c:strCache>
                <c:ptCount val="1"/>
                <c:pt idx="0">
                  <c:v>Irrigated Cotton</c:v>
                </c:pt>
              </c:strCache>
            </c:strRef>
          </c:tx>
          <c:marker>
            <c:symbol val="circle"/>
            <c:size val="7"/>
          </c:marker>
          <c:dLbls>
            <c:spPr>
              <a:solidFill>
                <a:schemeClr val="accent1">
                  <a:alpha val="5000"/>
                </a:scheme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Prices!$N$28:$N$42</c:f>
              <c:numCache>
                <c:formatCode>_("$"* #,##0.00_);_("$"* \(#,##0.00\);_("$"* "-"??_);_(@_)</c:formatCode>
                <c:ptCount val="15"/>
                <c:pt idx="0">
                  <c:v>3.2</c:v>
                </c:pt>
                <c:pt idx="1">
                  <c:v>3.35</c:v>
                </c:pt>
                <c:pt idx="2">
                  <c:v>3.5</c:v>
                </c:pt>
                <c:pt idx="3">
                  <c:v>3.65</c:v>
                </c:pt>
                <c:pt idx="4">
                  <c:v>3.8</c:v>
                </c:pt>
                <c:pt idx="5">
                  <c:v>3.9499999999999997</c:v>
                </c:pt>
                <c:pt idx="6">
                  <c:v>4.0999999999999996</c:v>
                </c:pt>
                <c:pt idx="7">
                  <c:v>4.25</c:v>
                </c:pt>
                <c:pt idx="8">
                  <c:v>4.4000000000000004</c:v>
                </c:pt>
                <c:pt idx="9">
                  <c:v>4.5500000000000007</c:v>
                </c:pt>
                <c:pt idx="10">
                  <c:v>4.7000000000000011</c:v>
                </c:pt>
                <c:pt idx="11">
                  <c:v>4.8500000000000014</c:v>
                </c:pt>
                <c:pt idx="12">
                  <c:v>5.0000000000000018</c:v>
                </c:pt>
                <c:pt idx="13">
                  <c:v>5.1500000000000021</c:v>
                </c:pt>
                <c:pt idx="14">
                  <c:v>5.3000000000000025</c:v>
                </c:pt>
              </c:numCache>
            </c:numRef>
          </c:cat>
          <c:val>
            <c:numRef>
              <c:f>Prices!$L$7:$L$21</c:f>
              <c:numCache>
                <c:formatCode>_("$"* #,##0.00_);_("$"* \(#,##0.00\);_("$"* "-"??_);_(@_)</c:formatCode>
                <c:ptCount val="15"/>
                <c:pt idx="0">
                  <c:v>0.49239491590277773</c:v>
                </c:pt>
                <c:pt idx="1">
                  <c:v>0.51739491590277775</c:v>
                </c:pt>
                <c:pt idx="2">
                  <c:v>0.54239491590277777</c:v>
                </c:pt>
                <c:pt idx="3">
                  <c:v>0.5673949159027778</c:v>
                </c:pt>
                <c:pt idx="4">
                  <c:v>0.59239491590277771</c:v>
                </c:pt>
                <c:pt idx="5">
                  <c:v>0.61739491590277773</c:v>
                </c:pt>
                <c:pt idx="6">
                  <c:v>0.64239491590277764</c:v>
                </c:pt>
                <c:pt idx="7">
                  <c:v>0.66739491590277777</c:v>
                </c:pt>
                <c:pt idx="8">
                  <c:v>0.6923949159027778</c:v>
                </c:pt>
                <c:pt idx="9">
                  <c:v>0.71739491590277782</c:v>
                </c:pt>
                <c:pt idx="10">
                  <c:v>0.74239491590277795</c:v>
                </c:pt>
                <c:pt idx="11">
                  <c:v>0.76739491590277797</c:v>
                </c:pt>
                <c:pt idx="12">
                  <c:v>0.792394915902778</c:v>
                </c:pt>
                <c:pt idx="13">
                  <c:v>0.81739491590277813</c:v>
                </c:pt>
                <c:pt idx="14">
                  <c:v>0.84239491590277815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Prices!$L$27</c:f>
              <c:strCache>
                <c:ptCount val="1"/>
                <c:pt idx="0">
                  <c:v>Non Irrigated Cotton</c:v>
                </c:pt>
              </c:strCache>
            </c:strRef>
          </c:tx>
          <c:marker>
            <c:symbol val="square"/>
            <c:size val="6"/>
          </c:marker>
          <c:dLbls>
            <c:spPr>
              <a:solidFill>
                <a:srgbClr val="FF0000">
                  <a:alpha val="5000"/>
                </a:srgb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Prices!$N$28:$N$42</c:f>
              <c:numCache>
                <c:formatCode>_("$"* #,##0.00_);_("$"* \(#,##0.00\);_("$"* "-"??_);_(@_)</c:formatCode>
                <c:ptCount val="15"/>
                <c:pt idx="0">
                  <c:v>3.2</c:v>
                </c:pt>
                <c:pt idx="1">
                  <c:v>3.35</c:v>
                </c:pt>
                <c:pt idx="2">
                  <c:v>3.5</c:v>
                </c:pt>
                <c:pt idx="3">
                  <c:v>3.65</c:v>
                </c:pt>
                <c:pt idx="4">
                  <c:v>3.8</c:v>
                </c:pt>
                <c:pt idx="5">
                  <c:v>3.9499999999999997</c:v>
                </c:pt>
                <c:pt idx="6">
                  <c:v>4.0999999999999996</c:v>
                </c:pt>
                <c:pt idx="7">
                  <c:v>4.25</c:v>
                </c:pt>
                <c:pt idx="8">
                  <c:v>4.4000000000000004</c:v>
                </c:pt>
                <c:pt idx="9">
                  <c:v>4.5500000000000007</c:v>
                </c:pt>
                <c:pt idx="10">
                  <c:v>4.7000000000000011</c:v>
                </c:pt>
                <c:pt idx="11">
                  <c:v>4.8500000000000014</c:v>
                </c:pt>
                <c:pt idx="12">
                  <c:v>5.0000000000000018</c:v>
                </c:pt>
                <c:pt idx="13">
                  <c:v>5.1500000000000021</c:v>
                </c:pt>
                <c:pt idx="14">
                  <c:v>5.3000000000000025</c:v>
                </c:pt>
              </c:numCache>
            </c:numRef>
          </c:cat>
          <c:val>
            <c:numRef>
              <c:f>Prices!$L$28:$L$42</c:f>
              <c:numCache>
                <c:formatCode>_("$"* #,##0.00_);_("$"* \(#,##0.00\);_("$"* "-"??_);_(@_)</c:formatCode>
                <c:ptCount val="15"/>
                <c:pt idx="0">
                  <c:v>0.53733299647272714</c:v>
                </c:pt>
                <c:pt idx="1">
                  <c:v>0.55433299647272716</c:v>
                </c:pt>
                <c:pt idx="2">
                  <c:v>0.57133299647272717</c:v>
                </c:pt>
                <c:pt idx="3">
                  <c:v>0.58833299647272719</c:v>
                </c:pt>
                <c:pt idx="4">
                  <c:v>0.6053329964727272</c:v>
                </c:pt>
                <c:pt idx="5">
                  <c:v>0.62233299647272722</c:v>
                </c:pt>
                <c:pt idx="6">
                  <c:v>0.63933299647272712</c:v>
                </c:pt>
                <c:pt idx="7">
                  <c:v>0.65633299647272714</c:v>
                </c:pt>
                <c:pt idx="8">
                  <c:v>0.67333299647272726</c:v>
                </c:pt>
                <c:pt idx="9">
                  <c:v>0.69033299647272728</c:v>
                </c:pt>
                <c:pt idx="10">
                  <c:v>0.70733299647272729</c:v>
                </c:pt>
                <c:pt idx="11">
                  <c:v>0.7243329964727272</c:v>
                </c:pt>
                <c:pt idx="12">
                  <c:v>0.74133299647272743</c:v>
                </c:pt>
                <c:pt idx="13">
                  <c:v>0.75833299647272745</c:v>
                </c:pt>
                <c:pt idx="14">
                  <c:v>0.77533299647272758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558208"/>
        <c:axId val="42560128"/>
      </c:lineChart>
      <c:catAx>
        <c:axId val="425582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Corn Price ($/bu)</a:t>
                </a:r>
              </a:p>
            </c:rich>
          </c:tx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2560128"/>
        <c:crosses val="autoZero"/>
        <c:auto val="1"/>
        <c:lblAlgn val="ctr"/>
        <c:lblOffset val="100"/>
        <c:noMultiLvlLbl val="0"/>
      </c:catAx>
      <c:valAx>
        <c:axId val="425601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Cotton Price ($/lb)</a:t>
                </a:r>
              </a:p>
            </c:rich>
          </c:tx>
          <c:layout>
            <c:manualLayout>
              <c:xMode val="edge"/>
              <c:yMode val="edge"/>
              <c:x val="8.3467827391141405E-5"/>
              <c:y val="0.30024388742452002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25582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314996495003301"/>
          <c:y val="0.68036890911024195"/>
          <c:w val="0.239527885101319"/>
          <c:h val="0.10231318100162901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99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Peanut Price Needed to Give Equal Returns Above Variable Costs Corn at Budgeted Yields *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0"/>
          <c:order val="0"/>
          <c:tx>
            <c:strRef>
              <c:f>Prices!$M$6</c:f>
              <c:strCache>
                <c:ptCount val="1"/>
                <c:pt idx="0">
                  <c:v>Irrigated Peanut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rgbClr val="92D050"/>
              </a:solidFill>
              <a:ln>
                <a:solidFill>
                  <a:srgbClr val="00B050"/>
                </a:solidFill>
              </a:ln>
            </c:spPr>
          </c:marker>
          <c:dLbls>
            <c:spPr>
              <a:solidFill>
                <a:srgbClr val="00B050">
                  <a:alpha val="5000"/>
                </a:srgb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Prices!$N$7:$N$21</c:f>
              <c:numCache>
                <c:formatCode>_("$"* #,##0.00_);_("$"* \(#,##0.00\);_("$"* "-"??_);_(@_)</c:formatCode>
                <c:ptCount val="15"/>
                <c:pt idx="0">
                  <c:v>3.2</c:v>
                </c:pt>
                <c:pt idx="1">
                  <c:v>3.35</c:v>
                </c:pt>
                <c:pt idx="2">
                  <c:v>3.5</c:v>
                </c:pt>
                <c:pt idx="3">
                  <c:v>3.65</c:v>
                </c:pt>
                <c:pt idx="4">
                  <c:v>3.8</c:v>
                </c:pt>
                <c:pt idx="5">
                  <c:v>3.9499999999999997</c:v>
                </c:pt>
                <c:pt idx="6">
                  <c:v>4.0999999999999996</c:v>
                </c:pt>
                <c:pt idx="7">
                  <c:v>4.25</c:v>
                </c:pt>
                <c:pt idx="8">
                  <c:v>4.4000000000000004</c:v>
                </c:pt>
                <c:pt idx="9">
                  <c:v>4.5500000000000007</c:v>
                </c:pt>
                <c:pt idx="10">
                  <c:v>4.7000000000000011</c:v>
                </c:pt>
                <c:pt idx="11">
                  <c:v>4.8500000000000014</c:v>
                </c:pt>
                <c:pt idx="12">
                  <c:v>5.0000000000000018</c:v>
                </c:pt>
                <c:pt idx="13">
                  <c:v>5.1500000000000021</c:v>
                </c:pt>
                <c:pt idx="14">
                  <c:v>5.3000000000000025</c:v>
                </c:pt>
              </c:numCache>
            </c:numRef>
          </c:cat>
          <c:val>
            <c:numRef>
              <c:f>Prices!$M$7:$M$21</c:f>
              <c:numCache>
                <c:formatCode>_("$"* #,##0_);_("$"* \(#,##0\);_("$"* "-"??_);_(@_)</c:formatCode>
                <c:ptCount val="15"/>
                <c:pt idx="0">
                  <c:v>285.38179787234048</c:v>
                </c:pt>
                <c:pt idx="1">
                  <c:v>298.14775531914893</c:v>
                </c:pt>
                <c:pt idx="2">
                  <c:v>310.91371276595748</c:v>
                </c:pt>
                <c:pt idx="3">
                  <c:v>323.67967021276598</c:v>
                </c:pt>
                <c:pt idx="4">
                  <c:v>336.44562765957448</c:v>
                </c:pt>
                <c:pt idx="5">
                  <c:v>349.21158510638298</c:v>
                </c:pt>
                <c:pt idx="6">
                  <c:v>361.97754255319148</c:v>
                </c:pt>
                <c:pt idx="7">
                  <c:v>374.74349999999998</c:v>
                </c:pt>
                <c:pt idx="8">
                  <c:v>387.5094574468086</c:v>
                </c:pt>
                <c:pt idx="9">
                  <c:v>400.27541489361704</c:v>
                </c:pt>
                <c:pt idx="10">
                  <c:v>413.04137234042565</c:v>
                </c:pt>
                <c:pt idx="11">
                  <c:v>425.80732978723415</c:v>
                </c:pt>
                <c:pt idx="12">
                  <c:v>438.57328723404271</c:v>
                </c:pt>
                <c:pt idx="13">
                  <c:v>451.33924468085132</c:v>
                </c:pt>
                <c:pt idx="14">
                  <c:v>464.10520212765982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Prices!$M$27</c:f>
              <c:strCache>
                <c:ptCount val="1"/>
                <c:pt idx="0">
                  <c:v>Non Irrigated Peanut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square"/>
            <c:size val="6"/>
          </c:marker>
          <c:dLbls>
            <c:spPr>
              <a:solidFill>
                <a:schemeClr val="accent6">
                  <a:lumMod val="75000"/>
                  <a:alpha val="5000"/>
                </a:scheme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Prices!$N$7:$N$21</c:f>
              <c:numCache>
                <c:formatCode>_("$"* #,##0.00_);_("$"* \(#,##0.00\);_("$"* "-"??_);_(@_)</c:formatCode>
                <c:ptCount val="15"/>
                <c:pt idx="0">
                  <c:v>3.2</c:v>
                </c:pt>
                <c:pt idx="1">
                  <c:v>3.35</c:v>
                </c:pt>
                <c:pt idx="2">
                  <c:v>3.5</c:v>
                </c:pt>
                <c:pt idx="3">
                  <c:v>3.65</c:v>
                </c:pt>
                <c:pt idx="4">
                  <c:v>3.8</c:v>
                </c:pt>
                <c:pt idx="5">
                  <c:v>3.9499999999999997</c:v>
                </c:pt>
                <c:pt idx="6">
                  <c:v>4.0999999999999996</c:v>
                </c:pt>
                <c:pt idx="7">
                  <c:v>4.25</c:v>
                </c:pt>
                <c:pt idx="8">
                  <c:v>4.4000000000000004</c:v>
                </c:pt>
                <c:pt idx="9">
                  <c:v>4.5500000000000007</c:v>
                </c:pt>
                <c:pt idx="10">
                  <c:v>4.7000000000000011</c:v>
                </c:pt>
                <c:pt idx="11">
                  <c:v>4.8500000000000014</c:v>
                </c:pt>
                <c:pt idx="12">
                  <c:v>5.0000000000000018</c:v>
                </c:pt>
                <c:pt idx="13">
                  <c:v>5.1500000000000021</c:v>
                </c:pt>
                <c:pt idx="14">
                  <c:v>5.3000000000000025</c:v>
                </c:pt>
              </c:numCache>
            </c:numRef>
          </c:cat>
          <c:val>
            <c:numRef>
              <c:f>Prices!$M$28:$M$42</c:f>
              <c:numCache>
                <c:formatCode>_("$"* #,##0_);_("$"* \(#,##0\);_("$"* "-"??_);_(@_)</c:formatCode>
                <c:ptCount val="15"/>
                <c:pt idx="0">
                  <c:v>303.3324259705883</c:v>
                </c:pt>
                <c:pt idx="1">
                  <c:v>310.8324259705883</c:v>
                </c:pt>
                <c:pt idx="2">
                  <c:v>318.3324259705883</c:v>
                </c:pt>
                <c:pt idx="3">
                  <c:v>325.8324259705883</c:v>
                </c:pt>
                <c:pt idx="4">
                  <c:v>333.3324259705883</c:v>
                </c:pt>
                <c:pt idx="5">
                  <c:v>340.8324259705883</c:v>
                </c:pt>
                <c:pt idx="6">
                  <c:v>348.33242597058825</c:v>
                </c:pt>
                <c:pt idx="7">
                  <c:v>355.8324259705883</c:v>
                </c:pt>
                <c:pt idx="8">
                  <c:v>363.3324259705883</c:v>
                </c:pt>
                <c:pt idx="9">
                  <c:v>370.8324259705883</c:v>
                </c:pt>
                <c:pt idx="10">
                  <c:v>378.3324259705883</c:v>
                </c:pt>
                <c:pt idx="11">
                  <c:v>385.8324259705883</c:v>
                </c:pt>
                <c:pt idx="12">
                  <c:v>393.33242597058836</c:v>
                </c:pt>
                <c:pt idx="13">
                  <c:v>400.83242597058836</c:v>
                </c:pt>
                <c:pt idx="14">
                  <c:v>408.33242597058842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476288"/>
        <c:axId val="42478208"/>
      </c:lineChart>
      <c:catAx>
        <c:axId val="424762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Corn Price ($/bu)</a:t>
                </a:r>
              </a:p>
            </c:rich>
          </c:tx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2478208"/>
        <c:crosses val="autoZero"/>
        <c:auto val="1"/>
        <c:lblAlgn val="ctr"/>
        <c:lblOffset val="100"/>
        <c:noMultiLvlLbl val="0"/>
      </c:catAx>
      <c:valAx>
        <c:axId val="424782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Peanut Price ($/ton)</a:t>
                </a:r>
              </a:p>
            </c:rich>
          </c:tx>
          <c:layout>
            <c:manualLayout>
              <c:xMode val="edge"/>
              <c:yMode val="edge"/>
              <c:x val="8.3441062404512902E-5"/>
              <c:y val="0.30024372759856599"/>
            </c:manualLayout>
          </c:layout>
          <c:overlay val="0"/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24762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651010041655201"/>
          <c:y val="0.69428905257810503"/>
          <c:w val="0.22665778717958801"/>
          <c:h val="0.102313210848644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99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Soybean Price Needed to Give Equal Returns Above Variable Costs to Corn at Budgeted Yields *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0"/>
          <c:order val="0"/>
          <c:tx>
            <c:strRef>
              <c:f>Prices!$O$6</c:f>
              <c:strCache>
                <c:ptCount val="1"/>
                <c:pt idx="0">
                  <c:v>Irrigated Soybean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circle"/>
            <c:size val="7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rgbClr val="7030A0"/>
                </a:solidFill>
              </a:ln>
            </c:spPr>
          </c:marker>
          <c:dLbls>
            <c:spPr>
              <a:solidFill>
                <a:schemeClr val="accent4">
                  <a:lumMod val="40000"/>
                  <a:lumOff val="60000"/>
                  <a:alpha val="5000"/>
                </a:scheme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Prices!$N$7:$N$21</c:f>
              <c:numCache>
                <c:formatCode>_("$"* #,##0.00_);_("$"* \(#,##0.00\);_("$"* "-"??_);_(@_)</c:formatCode>
                <c:ptCount val="15"/>
                <c:pt idx="0">
                  <c:v>3.2</c:v>
                </c:pt>
                <c:pt idx="1">
                  <c:v>3.35</c:v>
                </c:pt>
                <c:pt idx="2">
                  <c:v>3.5</c:v>
                </c:pt>
                <c:pt idx="3">
                  <c:v>3.65</c:v>
                </c:pt>
                <c:pt idx="4">
                  <c:v>3.8</c:v>
                </c:pt>
                <c:pt idx="5">
                  <c:v>3.9499999999999997</c:v>
                </c:pt>
                <c:pt idx="6">
                  <c:v>4.0999999999999996</c:v>
                </c:pt>
                <c:pt idx="7">
                  <c:v>4.25</c:v>
                </c:pt>
                <c:pt idx="8">
                  <c:v>4.4000000000000004</c:v>
                </c:pt>
                <c:pt idx="9">
                  <c:v>4.5500000000000007</c:v>
                </c:pt>
                <c:pt idx="10">
                  <c:v>4.7000000000000011</c:v>
                </c:pt>
                <c:pt idx="11">
                  <c:v>4.8500000000000014</c:v>
                </c:pt>
                <c:pt idx="12">
                  <c:v>5.0000000000000018</c:v>
                </c:pt>
                <c:pt idx="13">
                  <c:v>5.1500000000000021</c:v>
                </c:pt>
                <c:pt idx="14">
                  <c:v>5.3000000000000025</c:v>
                </c:pt>
              </c:numCache>
            </c:numRef>
          </c:cat>
          <c:val>
            <c:numRef>
              <c:f>Prices!$O$7:$O$21</c:f>
              <c:numCache>
                <c:formatCode>_("$"* #,##0.00_);_("$"* \(#,##0.00\);_("$"* "-"??_);_(@_)</c:formatCode>
                <c:ptCount val="15"/>
                <c:pt idx="0">
                  <c:v>5.3673366050000002</c:v>
                </c:pt>
                <c:pt idx="1">
                  <c:v>5.8673366050000002</c:v>
                </c:pt>
                <c:pt idx="2">
                  <c:v>6.3673366050000002</c:v>
                </c:pt>
                <c:pt idx="3">
                  <c:v>6.8673366050000002</c:v>
                </c:pt>
                <c:pt idx="4">
                  <c:v>7.3673366050000002</c:v>
                </c:pt>
                <c:pt idx="5">
                  <c:v>7.8673366050000002</c:v>
                </c:pt>
                <c:pt idx="6">
                  <c:v>8.3673366049999984</c:v>
                </c:pt>
                <c:pt idx="7">
                  <c:v>8.8673366049999984</c:v>
                </c:pt>
                <c:pt idx="8">
                  <c:v>9.367336605000002</c:v>
                </c:pt>
                <c:pt idx="9">
                  <c:v>9.867336605000002</c:v>
                </c:pt>
                <c:pt idx="10">
                  <c:v>10.367336605000002</c:v>
                </c:pt>
                <c:pt idx="11">
                  <c:v>10.867336605000002</c:v>
                </c:pt>
                <c:pt idx="12">
                  <c:v>11.367336605000007</c:v>
                </c:pt>
                <c:pt idx="13">
                  <c:v>11.867336605000007</c:v>
                </c:pt>
                <c:pt idx="14">
                  <c:v>12.367336605000007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Prices!$O$27</c:f>
              <c:strCache>
                <c:ptCount val="1"/>
                <c:pt idx="0">
                  <c:v>Non Irrigated Soybean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square"/>
            <c:size val="6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accent6">
                    <a:lumMod val="50000"/>
                  </a:schemeClr>
                </a:solidFill>
              </a:ln>
            </c:spPr>
          </c:marker>
          <c:dLbls>
            <c:spPr>
              <a:solidFill>
                <a:srgbClr val="FFC000">
                  <a:alpha val="5000"/>
                </a:srgbClr>
              </a:solidFill>
            </c:spPr>
            <c:txPr>
              <a:bodyPr rot="54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Prices!$N$7:$N$21</c:f>
              <c:numCache>
                <c:formatCode>_("$"* #,##0.00_);_("$"* \(#,##0.00\);_("$"* "-"??_);_(@_)</c:formatCode>
                <c:ptCount val="15"/>
                <c:pt idx="0">
                  <c:v>3.2</c:v>
                </c:pt>
                <c:pt idx="1">
                  <c:v>3.35</c:v>
                </c:pt>
                <c:pt idx="2">
                  <c:v>3.5</c:v>
                </c:pt>
                <c:pt idx="3">
                  <c:v>3.65</c:v>
                </c:pt>
                <c:pt idx="4">
                  <c:v>3.8</c:v>
                </c:pt>
                <c:pt idx="5">
                  <c:v>3.9499999999999997</c:v>
                </c:pt>
                <c:pt idx="6">
                  <c:v>4.0999999999999996</c:v>
                </c:pt>
                <c:pt idx="7">
                  <c:v>4.25</c:v>
                </c:pt>
                <c:pt idx="8">
                  <c:v>4.4000000000000004</c:v>
                </c:pt>
                <c:pt idx="9">
                  <c:v>4.5500000000000007</c:v>
                </c:pt>
                <c:pt idx="10">
                  <c:v>4.7000000000000011</c:v>
                </c:pt>
                <c:pt idx="11">
                  <c:v>4.8500000000000014</c:v>
                </c:pt>
                <c:pt idx="12">
                  <c:v>5.0000000000000018</c:v>
                </c:pt>
                <c:pt idx="13">
                  <c:v>5.1500000000000021</c:v>
                </c:pt>
                <c:pt idx="14">
                  <c:v>5.3000000000000025</c:v>
                </c:pt>
              </c:numCache>
            </c:numRef>
          </c:cat>
          <c:val>
            <c:numRef>
              <c:f>Prices!$O$28:$O$42</c:f>
              <c:numCache>
                <c:formatCode>_("$"* #,##0.00_);_("$"* \(#,##0.00\);_("$"* "-"??_);_(@_)</c:formatCode>
                <c:ptCount val="15"/>
                <c:pt idx="0">
                  <c:v>5.802226385</c:v>
                </c:pt>
                <c:pt idx="1">
                  <c:v>6.2272263849999998</c:v>
                </c:pt>
                <c:pt idx="2">
                  <c:v>6.6522263850000005</c:v>
                </c:pt>
                <c:pt idx="3">
                  <c:v>7.0772263850000003</c:v>
                </c:pt>
                <c:pt idx="4">
                  <c:v>7.5022263850000002</c:v>
                </c:pt>
                <c:pt idx="5">
                  <c:v>7.927226385</c:v>
                </c:pt>
                <c:pt idx="6">
                  <c:v>8.352226384999998</c:v>
                </c:pt>
                <c:pt idx="7">
                  <c:v>8.7772263850000005</c:v>
                </c:pt>
                <c:pt idx="8">
                  <c:v>9.2022263850000012</c:v>
                </c:pt>
                <c:pt idx="9">
                  <c:v>9.6272263850000019</c:v>
                </c:pt>
                <c:pt idx="10">
                  <c:v>10.052226385000004</c:v>
                </c:pt>
                <c:pt idx="11">
                  <c:v>10.477226385000003</c:v>
                </c:pt>
                <c:pt idx="12">
                  <c:v>10.902226385000006</c:v>
                </c:pt>
                <c:pt idx="13">
                  <c:v>11.327226385000007</c:v>
                </c:pt>
                <c:pt idx="14">
                  <c:v>11.752226385000007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517248"/>
        <c:axId val="42519168"/>
      </c:lineChart>
      <c:catAx>
        <c:axId val="425172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Corn Price ($/bu)</a:t>
                </a:r>
              </a:p>
            </c:rich>
          </c:tx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2519168"/>
        <c:crosses val="autoZero"/>
        <c:auto val="1"/>
        <c:lblAlgn val="ctr"/>
        <c:lblOffset val="100"/>
        <c:noMultiLvlLbl val="0"/>
      </c:catAx>
      <c:valAx>
        <c:axId val="4251916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Soybean Price ($/bu)</a:t>
                </a:r>
              </a:p>
            </c:rich>
          </c:tx>
          <c:layout>
            <c:manualLayout>
              <c:xMode val="edge"/>
              <c:yMode val="edge"/>
              <c:x val="8.3467827391141405E-5"/>
              <c:y val="0.30024372759856599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25172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4806279649826"/>
          <c:y val="0.70803285073236799"/>
          <c:w val="0.24596286333773501"/>
          <c:h val="0.102313210848644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99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0.xml"/><Relationship Id="rId3" Type="http://schemas.openxmlformats.org/officeDocument/2006/relationships/chart" Target="../charts/chart15.xml"/><Relationship Id="rId7" Type="http://schemas.openxmlformats.org/officeDocument/2006/relationships/chart" Target="../charts/chart19.xml"/><Relationship Id="rId12" Type="http://schemas.openxmlformats.org/officeDocument/2006/relationships/chart" Target="../charts/chart24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6" Type="http://schemas.openxmlformats.org/officeDocument/2006/relationships/chart" Target="../charts/chart18.xml"/><Relationship Id="rId11" Type="http://schemas.openxmlformats.org/officeDocument/2006/relationships/chart" Target="../charts/chart23.xml"/><Relationship Id="rId5" Type="http://schemas.openxmlformats.org/officeDocument/2006/relationships/chart" Target="../charts/chart17.xml"/><Relationship Id="rId10" Type="http://schemas.openxmlformats.org/officeDocument/2006/relationships/chart" Target="../charts/chart22.xml"/><Relationship Id="rId4" Type="http://schemas.openxmlformats.org/officeDocument/2006/relationships/chart" Target="../charts/chart16.xml"/><Relationship Id="rId9" Type="http://schemas.openxmlformats.org/officeDocument/2006/relationships/chart" Target="../charts/chart2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10</xdr:row>
      <xdr:rowOff>254812</xdr:rowOff>
    </xdr:from>
    <xdr:to>
      <xdr:col>2</xdr:col>
      <xdr:colOff>1040423</xdr:colOff>
      <xdr:row>14</xdr:row>
      <xdr:rowOff>93786</xdr:rowOff>
    </xdr:to>
    <xdr:sp macro="" textlink="">
      <xdr:nvSpPr>
        <xdr:cNvPr id="2" name="Left Arrow 1"/>
        <xdr:cNvSpPr/>
      </xdr:nvSpPr>
      <xdr:spPr>
        <a:xfrm>
          <a:off x="3763840" y="833639"/>
          <a:ext cx="954698" cy="813455"/>
        </a:xfrm>
        <a:prstGeom prst="leftArrow">
          <a:avLst/>
        </a:prstGeom>
        <a:solidFill>
          <a:srgbClr val="00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 b="1">
              <a:solidFill>
                <a:sysClr val="windowText" lastClr="000000"/>
              </a:solidFill>
            </a:rPr>
            <a:t>2</a:t>
          </a:r>
          <a:r>
            <a:rPr lang="en-US" sz="1800" b="1" baseline="30000">
              <a:solidFill>
                <a:sysClr val="windowText" lastClr="000000"/>
              </a:solidFill>
            </a:rPr>
            <a:t>nd</a:t>
          </a:r>
        </a:p>
      </xdr:txBody>
    </xdr:sp>
    <xdr:clientData/>
  </xdr:twoCellAnchor>
  <xdr:twoCellAnchor>
    <xdr:from>
      <xdr:col>2</xdr:col>
      <xdr:colOff>104774</xdr:colOff>
      <xdr:row>14</xdr:row>
      <xdr:rowOff>175846</xdr:rowOff>
    </xdr:from>
    <xdr:to>
      <xdr:col>2</xdr:col>
      <xdr:colOff>1059472</xdr:colOff>
      <xdr:row>16</xdr:row>
      <xdr:rowOff>234460</xdr:rowOff>
    </xdr:to>
    <xdr:sp macro="" textlink="">
      <xdr:nvSpPr>
        <xdr:cNvPr id="3" name="Left Arrow 2"/>
        <xdr:cNvSpPr/>
      </xdr:nvSpPr>
      <xdr:spPr>
        <a:xfrm>
          <a:off x="3782889" y="1729154"/>
          <a:ext cx="954698" cy="637441"/>
        </a:xfrm>
        <a:prstGeom prst="leftArrow">
          <a:avLst/>
        </a:prstGeom>
        <a:solidFill>
          <a:srgbClr val="00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 b="1">
              <a:solidFill>
                <a:sysClr val="windowText" lastClr="000000"/>
              </a:solidFill>
            </a:rPr>
            <a:t>3</a:t>
          </a:r>
          <a:r>
            <a:rPr lang="en-US" sz="1800" b="1" baseline="30000">
              <a:solidFill>
                <a:sysClr val="windowText" lastClr="000000"/>
              </a:solidFill>
            </a:rPr>
            <a:t>rd</a:t>
          </a:r>
          <a:endParaRPr lang="en-US" sz="18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85725</xdr:colOff>
      <xdr:row>21</xdr:row>
      <xdr:rowOff>269466</xdr:rowOff>
    </xdr:from>
    <xdr:to>
      <xdr:col>2</xdr:col>
      <xdr:colOff>1040423</xdr:colOff>
      <xdr:row>25</xdr:row>
      <xdr:rowOff>108440</xdr:rowOff>
    </xdr:to>
    <xdr:sp macro="" textlink="">
      <xdr:nvSpPr>
        <xdr:cNvPr id="4" name="Left Arrow 3"/>
        <xdr:cNvSpPr/>
      </xdr:nvSpPr>
      <xdr:spPr>
        <a:xfrm>
          <a:off x="3763840" y="3852331"/>
          <a:ext cx="954698" cy="813455"/>
        </a:xfrm>
        <a:prstGeom prst="leftArrow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 b="1">
              <a:solidFill>
                <a:sysClr val="windowText" lastClr="000000"/>
              </a:solidFill>
            </a:rPr>
            <a:t>2</a:t>
          </a:r>
          <a:r>
            <a:rPr lang="en-US" sz="1800" b="1" baseline="30000">
              <a:solidFill>
                <a:sysClr val="windowText" lastClr="000000"/>
              </a:solidFill>
            </a:rPr>
            <a:t>nd</a:t>
          </a:r>
        </a:p>
      </xdr:txBody>
    </xdr:sp>
    <xdr:clientData/>
  </xdr:twoCellAnchor>
  <xdr:twoCellAnchor>
    <xdr:from>
      <xdr:col>2</xdr:col>
      <xdr:colOff>104774</xdr:colOff>
      <xdr:row>25</xdr:row>
      <xdr:rowOff>168519</xdr:rowOff>
    </xdr:from>
    <xdr:to>
      <xdr:col>2</xdr:col>
      <xdr:colOff>1059472</xdr:colOff>
      <xdr:row>27</xdr:row>
      <xdr:rowOff>278423</xdr:rowOff>
    </xdr:to>
    <xdr:sp macro="" textlink="">
      <xdr:nvSpPr>
        <xdr:cNvPr id="5" name="Left Arrow 4"/>
        <xdr:cNvSpPr/>
      </xdr:nvSpPr>
      <xdr:spPr>
        <a:xfrm>
          <a:off x="3782889" y="4725865"/>
          <a:ext cx="954698" cy="688731"/>
        </a:xfrm>
        <a:prstGeom prst="leftArrow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000" b="1">
              <a:solidFill>
                <a:sysClr val="windowText" lastClr="000000"/>
              </a:solidFill>
            </a:rPr>
            <a:t>3</a:t>
          </a:r>
          <a:r>
            <a:rPr lang="en-US" sz="2000" b="1" baseline="30000">
              <a:solidFill>
                <a:sysClr val="windowText" lastClr="000000"/>
              </a:solidFill>
            </a:rPr>
            <a:t>rd</a:t>
          </a:r>
        </a:p>
      </xdr:txBody>
    </xdr:sp>
    <xdr:clientData/>
  </xdr:twoCellAnchor>
  <xdr:twoCellAnchor>
    <xdr:from>
      <xdr:col>2</xdr:col>
      <xdr:colOff>66675</xdr:colOff>
      <xdr:row>8</xdr:row>
      <xdr:rowOff>96634</xdr:rowOff>
    </xdr:from>
    <xdr:to>
      <xdr:col>2</xdr:col>
      <xdr:colOff>1021373</xdr:colOff>
      <xdr:row>10</xdr:row>
      <xdr:rowOff>97449</xdr:rowOff>
    </xdr:to>
    <xdr:sp macro="" textlink="">
      <xdr:nvSpPr>
        <xdr:cNvPr id="6" name="Left Arrow 5"/>
        <xdr:cNvSpPr/>
      </xdr:nvSpPr>
      <xdr:spPr>
        <a:xfrm>
          <a:off x="3744790" y="96634"/>
          <a:ext cx="954698" cy="579642"/>
        </a:xfrm>
        <a:prstGeom prst="leftArrow">
          <a:avLst/>
        </a:prstGeom>
        <a:solidFill>
          <a:srgbClr val="00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 b="1">
              <a:solidFill>
                <a:sysClr val="windowText" lastClr="000000"/>
              </a:solidFill>
            </a:rPr>
            <a:t>1</a:t>
          </a:r>
          <a:r>
            <a:rPr lang="en-US" sz="1800" b="1" baseline="30000">
              <a:solidFill>
                <a:sysClr val="windowText" lastClr="000000"/>
              </a:solidFill>
            </a:rPr>
            <a:t>st</a:t>
          </a:r>
        </a:p>
      </xdr:txBody>
    </xdr:sp>
    <xdr:clientData/>
  </xdr:twoCellAnchor>
  <xdr:twoCellAnchor>
    <xdr:from>
      <xdr:col>2</xdr:col>
      <xdr:colOff>57150</xdr:colOff>
      <xdr:row>19</xdr:row>
      <xdr:rowOff>118616</xdr:rowOff>
    </xdr:from>
    <xdr:to>
      <xdr:col>2</xdr:col>
      <xdr:colOff>1011848</xdr:colOff>
      <xdr:row>21</xdr:row>
      <xdr:rowOff>119430</xdr:rowOff>
    </xdr:to>
    <xdr:sp macro="" textlink="">
      <xdr:nvSpPr>
        <xdr:cNvPr id="7" name="Left Arrow 6"/>
        <xdr:cNvSpPr/>
      </xdr:nvSpPr>
      <xdr:spPr>
        <a:xfrm>
          <a:off x="3735265" y="3122654"/>
          <a:ext cx="954698" cy="579641"/>
        </a:xfrm>
        <a:prstGeom prst="leftArrow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 b="1">
              <a:solidFill>
                <a:sysClr val="windowText" lastClr="000000"/>
              </a:solidFill>
            </a:rPr>
            <a:t>1</a:t>
          </a:r>
          <a:r>
            <a:rPr lang="en-US" sz="1800" b="1" baseline="30000">
              <a:solidFill>
                <a:sysClr val="windowText" lastClr="000000"/>
              </a:solidFill>
            </a:rPr>
            <a:t>st</a:t>
          </a:r>
          <a:endParaRPr lang="en-US" sz="1800" b="1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9525</xdr:rowOff>
    </xdr:from>
    <xdr:to>
      <xdr:col>12</xdr:col>
      <xdr:colOff>590550</xdr:colOff>
      <xdr:row>27</xdr:row>
      <xdr:rowOff>95250</xdr:rowOff>
    </xdr:to>
    <xdr:graphicFrame macro="">
      <xdr:nvGraphicFramePr>
        <xdr:cNvPr id="23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34</xdr:row>
      <xdr:rowOff>19050</xdr:rowOff>
    </xdr:from>
    <xdr:to>
      <xdr:col>12</xdr:col>
      <xdr:colOff>581025</xdr:colOff>
      <xdr:row>61</xdr:row>
      <xdr:rowOff>95250</xdr:rowOff>
    </xdr:to>
    <xdr:graphicFrame macro="">
      <xdr:nvGraphicFramePr>
        <xdr:cNvPr id="235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68</xdr:row>
      <xdr:rowOff>38100</xdr:rowOff>
    </xdr:from>
    <xdr:to>
      <xdr:col>12</xdr:col>
      <xdr:colOff>581025</xdr:colOff>
      <xdr:row>95</xdr:row>
      <xdr:rowOff>95250</xdr:rowOff>
    </xdr:to>
    <xdr:graphicFrame macro="">
      <xdr:nvGraphicFramePr>
        <xdr:cNvPr id="235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102</xdr:row>
      <xdr:rowOff>47625</xdr:rowOff>
    </xdr:from>
    <xdr:to>
      <xdr:col>12</xdr:col>
      <xdr:colOff>581025</xdr:colOff>
      <xdr:row>129</xdr:row>
      <xdr:rowOff>95250</xdr:rowOff>
    </xdr:to>
    <xdr:graphicFrame macro="">
      <xdr:nvGraphicFramePr>
        <xdr:cNvPr id="235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136</xdr:row>
      <xdr:rowOff>28575</xdr:rowOff>
    </xdr:from>
    <xdr:to>
      <xdr:col>12</xdr:col>
      <xdr:colOff>581025</xdr:colOff>
      <xdr:row>163</xdr:row>
      <xdr:rowOff>76200</xdr:rowOff>
    </xdr:to>
    <xdr:graphicFrame macro="">
      <xdr:nvGraphicFramePr>
        <xdr:cNvPr id="235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170</xdr:row>
      <xdr:rowOff>28575</xdr:rowOff>
    </xdr:from>
    <xdr:to>
      <xdr:col>12</xdr:col>
      <xdr:colOff>581025</xdr:colOff>
      <xdr:row>197</xdr:row>
      <xdr:rowOff>104775</xdr:rowOff>
    </xdr:to>
    <xdr:graphicFrame macro="">
      <xdr:nvGraphicFramePr>
        <xdr:cNvPr id="235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204</xdr:row>
      <xdr:rowOff>38100</xdr:rowOff>
    </xdr:from>
    <xdr:to>
      <xdr:col>12</xdr:col>
      <xdr:colOff>581025</xdr:colOff>
      <xdr:row>231</xdr:row>
      <xdr:rowOff>133350</xdr:rowOff>
    </xdr:to>
    <xdr:graphicFrame macro="">
      <xdr:nvGraphicFramePr>
        <xdr:cNvPr id="235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19050</xdr:colOff>
      <xdr:row>238</xdr:row>
      <xdr:rowOff>38100</xdr:rowOff>
    </xdr:from>
    <xdr:to>
      <xdr:col>12</xdr:col>
      <xdr:colOff>590550</xdr:colOff>
      <xdr:row>265</xdr:row>
      <xdr:rowOff>95250</xdr:rowOff>
    </xdr:to>
    <xdr:graphicFrame macro="">
      <xdr:nvGraphicFramePr>
        <xdr:cNvPr id="235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272</xdr:row>
      <xdr:rowOff>38100</xdr:rowOff>
    </xdr:from>
    <xdr:to>
      <xdr:col>12</xdr:col>
      <xdr:colOff>581025</xdr:colOff>
      <xdr:row>299</xdr:row>
      <xdr:rowOff>95250</xdr:rowOff>
    </xdr:to>
    <xdr:graphicFrame macro="">
      <xdr:nvGraphicFramePr>
        <xdr:cNvPr id="23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38100</xdr:colOff>
      <xdr:row>306</xdr:row>
      <xdr:rowOff>28575</xdr:rowOff>
    </xdr:from>
    <xdr:to>
      <xdr:col>12</xdr:col>
      <xdr:colOff>590550</xdr:colOff>
      <xdr:row>332</xdr:row>
      <xdr:rowOff>133350</xdr:rowOff>
    </xdr:to>
    <xdr:graphicFrame macro="">
      <xdr:nvGraphicFramePr>
        <xdr:cNvPr id="235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19050</xdr:colOff>
      <xdr:row>340</xdr:row>
      <xdr:rowOff>38100</xdr:rowOff>
    </xdr:from>
    <xdr:to>
      <xdr:col>12</xdr:col>
      <xdr:colOff>590550</xdr:colOff>
      <xdr:row>367</xdr:row>
      <xdr:rowOff>95250</xdr:rowOff>
    </xdr:to>
    <xdr:graphicFrame macro="">
      <xdr:nvGraphicFramePr>
        <xdr:cNvPr id="235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374</xdr:row>
      <xdr:rowOff>38100</xdr:rowOff>
    </xdr:from>
    <xdr:to>
      <xdr:col>12</xdr:col>
      <xdr:colOff>581025</xdr:colOff>
      <xdr:row>401</xdr:row>
      <xdr:rowOff>104775</xdr:rowOff>
    </xdr:to>
    <xdr:graphicFrame macro="">
      <xdr:nvGraphicFramePr>
        <xdr:cNvPr id="236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9525</xdr:rowOff>
    </xdr:from>
    <xdr:to>
      <xdr:col>12</xdr:col>
      <xdr:colOff>590550</xdr:colOff>
      <xdr:row>27</xdr:row>
      <xdr:rowOff>95250</xdr:rowOff>
    </xdr:to>
    <xdr:graphicFrame macro="">
      <xdr:nvGraphicFramePr>
        <xdr:cNvPr id="33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34</xdr:row>
      <xdr:rowOff>19050</xdr:rowOff>
    </xdr:from>
    <xdr:to>
      <xdr:col>12</xdr:col>
      <xdr:colOff>581025</xdr:colOff>
      <xdr:row>61</xdr:row>
      <xdr:rowOff>95250</xdr:rowOff>
    </xdr:to>
    <xdr:graphicFrame macro="">
      <xdr:nvGraphicFramePr>
        <xdr:cNvPr id="337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68</xdr:row>
      <xdr:rowOff>38100</xdr:rowOff>
    </xdr:from>
    <xdr:to>
      <xdr:col>12</xdr:col>
      <xdr:colOff>581025</xdr:colOff>
      <xdr:row>95</xdr:row>
      <xdr:rowOff>95250</xdr:rowOff>
    </xdr:to>
    <xdr:graphicFrame macro="">
      <xdr:nvGraphicFramePr>
        <xdr:cNvPr id="337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102</xdr:row>
      <xdr:rowOff>47625</xdr:rowOff>
    </xdr:from>
    <xdr:to>
      <xdr:col>12</xdr:col>
      <xdr:colOff>581025</xdr:colOff>
      <xdr:row>129</xdr:row>
      <xdr:rowOff>95250</xdr:rowOff>
    </xdr:to>
    <xdr:graphicFrame macro="">
      <xdr:nvGraphicFramePr>
        <xdr:cNvPr id="337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136</xdr:row>
      <xdr:rowOff>28575</xdr:rowOff>
    </xdr:from>
    <xdr:to>
      <xdr:col>12</xdr:col>
      <xdr:colOff>581025</xdr:colOff>
      <xdr:row>163</xdr:row>
      <xdr:rowOff>76200</xdr:rowOff>
    </xdr:to>
    <xdr:graphicFrame macro="">
      <xdr:nvGraphicFramePr>
        <xdr:cNvPr id="337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170</xdr:row>
      <xdr:rowOff>28575</xdr:rowOff>
    </xdr:from>
    <xdr:to>
      <xdr:col>12</xdr:col>
      <xdr:colOff>581025</xdr:colOff>
      <xdr:row>197</xdr:row>
      <xdr:rowOff>104775</xdr:rowOff>
    </xdr:to>
    <xdr:graphicFrame macro="">
      <xdr:nvGraphicFramePr>
        <xdr:cNvPr id="337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204</xdr:row>
      <xdr:rowOff>66675</xdr:rowOff>
    </xdr:from>
    <xdr:to>
      <xdr:col>12</xdr:col>
      <xdr:colOff>581025</xdr:colOff>
      <xdr:row>231</xdr:row>
      <xdr:rowOff>161925</xdr:rowOff>
    </xdr:to>
    <xdr:graphicFrame macro="">
      <xdr:nvGraphicFramePr>
        <xdr:cNvPr id="337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19050</xdr:colOff>
      <xdr:row>238</xdr:row>
      <xdr:rowOff>38100</xdr:rowOff>
    </xdr:from>
    <xdr:to>
      <xdr:col>12</xdr:col>
      <xdr:colOff>590550</xdr:colOff>
      <xdr:row>265</xdr:row>
      <xdr:rowOff>95250</xdr:rowOff>
    </xdr:to>
    <xdr:graphicFrame macro="">
      <xdr:nvGraphicFramePr>
        <xdr:cNvPr id="338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272</xdr:row>
      <xdr:rowOff>38100</xdr:rowOff>
    </xdr:from>
    <xdr:to>
      <xdr:col>12</xdr:col>
      <xdr:colOff>581025</xdr:colOff>
      <xdr:row>299</xdr:row>
      <xdr:rowOff>95250</xdr:rowOff>
    </xdr:to>
    <xdr:graphicFrame macro="">
      <xdr:nvGraphicFramePr>
        <xdr:cNvPr id="338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38100</xdr:colOff>
      <xdr:row>306</xdr:row>
      <xdr:rowOff>28575</xdr:rowOff>
    </xdr:from>
    <xdr:to>
      <xdr:col>12</xdr:col>
      <xdr:colOff>590550</xdr:colOff>
      <xdr:row>332</xdr:row>
      <xdr:rowOff>133350</xdr:rowOff>
    </xdr:to>
    <xdr:graphicFrame macro="">
      <xdr:nvGraphicFramePr>
        <xdr:cNvPr id="338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19050</xdr:colOff>
      <xdr:row>340</xdr:row>
      <xdr:rowOff>38100</xdr:rowOff>
    </xdr:from>
    <xdr:to>
      <xdr:col>12</xdr:col>
      <xdr:colOff>590550</xdr:colOff>
      <xdr:row>367</xdr:row>
      <xdr:rowOff>95250</xdr:rowOff>
    </xdr:to>
    <xdr:graphicFrame macro="">
      <xdr:nvGraphicFramePr>
        <xdr:cNvPr id="338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374</xdr:row>
      <xdr:rowOff>38100</xdr:rowOff>
    </xdr:from>
    <xdr:to>
      <xdr:col>12</xdr:col>
      <xdr:colOff>581025</xdr:colOff>
      <xdr:row>401</xdr:row>
      <xdr:rowOff>104775</xdr:rowOff>
    </xdr:to>
    <xdr:graphicFrame macro="">
      <xdr:nvGraphicFramePr>
        <xdr:cNvPr id="338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8.v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9.v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0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4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2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drawing" Target="../drawings/drawing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7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D8" sqref="D8:D12"/>
    </sheetView>
  </sheetViews>
  <sheetFormatPr defaultRowHeight="12.75" x14ac:dyDescent="0.2"/>
  <cols>
    <col min="1" max="2" width="4" bestFit="1" customWidth="1"/>
    <col min="3" max="4" width="5.140625" bestFit="1" customWidth="1"/>
    <col min="5" max="5" width="4" bestFit="1" customWidth="1"/>
    <col min="6" max="6" width="6.85546875" bestFit="1" customWidth="1"/>
  </cols>
  <sheetData>
    <row r="1" spans="1:6" x14ac:dyDescent="0.2">
      <c r="A1" t="s">
        <v>186</v>
      </c>
      <c r="B1" t="s">
        <v>185</v>
      </c>
      <c r="C1" t="s">
        <v>189</v>
      </c>
      <c r="D1" t="s">
        <v>187</v>
      </c>
      <c r="E1" t="s">
        <v>188</v>
      </c>
    </row>
    <row r="2" spans="1:6" x14ac:dyDescent="0.2">
      <c r="A2">
        <v>850</v>
      </c>
      <c r="B2">
        <v>840</v>
      </c>
      <c r="C2">
        <v>404</v>
      </c>
      <c r="D2">
        <v>869</v>
      </c>
      <c r="E2">
        <v>516</v>
      </c>
      <c r="F2" t="s">
        <v>192</v>
      </c>
    </row>
    <row r="3" spans="1:6" x14ac:dyDescent="0.2">
      <c r="A3" s="453">
        <f>AVERAGE(600, 586)</f>
        <v>593</v>
      </c>
      <c r="B3" s="453">
        <f>AVERAGE(537,551)</f>
        <v>544</v>
      </c>
      <c r="C3" s="453">
        <f>AVERAGE(311,301)</f>
        <v>306</v>
      </c>
      <c r="D3" s="453">
        <f>AVERAGE(617,597)</f>
        <v>607</v>
      </c>
      <c r="E3" s="453">
        <f>AVERAGE(268, 273)</f>
        <v>270.5</v>
      </c>
      <c r="F3" t="s">
        <v>191</v>
      </c>
    </row>
    <row r="4" spans="1:6" x14ac:dyDescent="0.2">
      <c r="A4" s="453">
        <f>A2-A3</f>
        <v>257</v>
      </c>
      <c r="B4" s="453">
        <f>B2-B3</f>
        <v>296</v>
      </c>
      <c r="C4" s="453">
        <f>C2-C3</f>
        <v>98</v>
      </c>
      <c r="D4" s="453">
        <f>D2-D3</f>
        <v>262</v>
      </c>
      <c r="E4" s="453">
        <f>E2-E3</f>
        <v>245.5</v>
      </c>
      <c r="F4" t="s">
        <v>193</v>
      </c>
    </row>
    <row r="5" spans="1:6" x14ac:dyDescent="0.2">
      <c r="A5" s="453">
        <f>A4-185</f>
        <v>72</v>
      </c>
      <c r="B5" s="453">
        <f>B4-185</f>
        <v>111</v>
      </c>
      <c r="C5" s="453">
        <f>C4-185</f>
        <v>-87</v>
      </c>
      <c r="D5" s="453">
        <f>D4-185</f>
        <v>77</v>
      </c>
      <c r="E5" s="453">
        <f>E4-185</f>
        <v>60.5</v>
      </c>
      <c r="F5" t="s">
        <v>194</v>
      </c>
    </row>
    <row r="8" spans="1:6" x14ac:dyDescent="0.2">
      <c r="A8" t="s">
        <v>190</v>
      </c>
      <c r="B8" t="s">
        <v>185</v>
      </c>
      <c r="C8" t="s">
        <v>189</v>
      </c>
      <c r="D8" t="s">
        <v>187</v>
      </c>
      <c r="E8" t="s">
        <v>188</v>
      </c>
    </row>
    <row r="9" spans="1:6" x14ac:dyDescent="0.2">
      <c r="A9">
        <v>361</v>
      </c>
      <c r="B9">
        <v>525</v>
      </c>
      <c r="C9">
        <v>263</v>
      </c>
      <c r="D9">
        <v>630</v>
      </c>
      <c r="E9">
        <v>258</v>
      </c>
      <c r="F9" t="s">
        <v>192</v>
      </c>
    </row>
    <row r="10" spans="1:6" x14ac:dyDescent="0.2">
      <c r="A10" s="453">
        <f>AVERAGE(293,298)</f>
        <v>295.5</v>
      </c>
      <c r="B10" s="453">
        <f>AVERAGE(424, 445)</f>
        <v>434.5</v>
      </c>
      <c r="C10" s="453">
        <f>AVERAGE(199,198)</f>
        <v>198.5</v>
      </c>
      <c r="D10" s="453">
        <f>AVERAGE(537, 528)</f>
        <v>532.5</v>
      </c>
      <c r="E10" s="453">
        <f>AVERAGE(196, 208)</f>
        <v>202</v>
      </c>
      <c r="F10" t="s">
        <v>191</v>
      </c>
    </row>
    <row r="11" spans="1:6" x14ac:dyDescent="0.2">
      <c r="A11" s="453">
        <f>A9-A10</f>
        <v>65.5</v>
      </c>
      <c r="B11" s="453">
        <f>B9-B10</f>
        <v>90.5</v>
      </c>
      <c r="C11" s="453">
        <f>C9-C10</f>
        <v>64.5</v>
      </c>
      <c r="D11" s="453">
        <f>D9-D10</f>
        <v>97.5</v>
      </c>
      <c r="E11" s="453">
        <f>E9-E10</f>
        <v>56</v>
      </c>
      <c r="F11" t="s">
        <v>193</v>
      </c>
    </row>
    <row r="12" spans="1:6" x14ac:dyDescent="0.2">
      <c r="A12" s="453">
        <f>A11-75</f>
        <v>-9.5</v>
      </c>
      <c r="B12" s="453">
        <f>B11-75</f>
        <v>15.5</v>
      </c>
      <c r="C12" s="453">
        <f>C11-75</f>
        <v>-10.5</v>
      </c>
      <c r="D12" s="453">
        <f>D11-75</f>
        <v>22.5</v>
      </c>
      <c r="E12" s="453">
        <f>E11-75</f>
        <v>-19</v>
      </c>
      <c r="F12" t="s">
        <v>194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8" tint="0.59999389629810485"/>
  </sheetPr>
  <dimension ref="A1:M59"/>
  <sheetViews>
    <sheetView topLeftCell="A7" workbookViewId="0">
      <selection sqref="A1:I1"/>
    </sheetView>
  </sheetViews>
  <sheetFormatPr defaultColWidth="9.28515625" defaultRowHeight="12.75" x14ac:dyDescent="0.2"/>
  <cols>
    <col min="1" max="16384" width="9.28515625" style="75"/>
  </cols>
  <sheetData>
    <row r="1" spans="1:13" s="62" customFormat="1" ht="12" hidden="1" x14ac:dyDescent="0.2">
      <c r="B1" s="448" t="s">
        <v>46</v>
      </c>
      <c r="C1" s="448"/>
      <c r="D1" s="448"/>
      <c r="E1" s="448"/>
      <c r="F1" s="448"/>
      <c r="G1" s="448"/>
    </row>
    <row r="2" spans="1:13" s="62" customFormat="1" ht="12" hidden="1" x14ac:dyDescent="0.2">
      <c r="A2" s="63" t="s">
        <v>40</v>
      </c>
      <c r="B2" s="64" t="str">
        <f>Conventional!L6</f>
        <v>Cotton</v>
      </c>
      <c r="C2" s="64" t="str">
        <f>Conventional!N6</f>
        <v>Peanuts</v>
      </c>
      <c r="D2" s="64" t="str">
        <f>Conventional!P6</f>
        <v>Corn</v>
      </c>
      <c r="E2" s="64" t="str">
        <f>Conventional!R6</f>
        <v>Soybeans</v>
      </c>
      <c r="F2" s="64" t="str">
        <f>Conventional!T6</f>
        <v>Sorghum</v>
      </c>
      <c r="G2" s="64" t="str">
        <f>Conventional!X6</f>
        <v>Wheat</v>
      </c>
    </row>
    <row r="3" spans="1:13" s="62" customFormat="1" ht="12" hidden="1" x14ac:dyDescent="0.2">
      <c r="A3" s="63" t="s">
        <v>41</v>
      </c>
      <c r="B3" s="65">
        <f>Conventional!L7</f>
        <v>750</v>
      </c>
      <c r="C3" s="65">
        <f>Conventional!N7</f>
        <v>3400</v>
      </c>
      <c r="D3" s="65">
        <f>Conventional!P7</f>
        <v>85</v>
      </c>
      <c r="E3" s="65">
        <f>Conventional!R7</f>
        <v>30</v>
      </c>
      <c r="F3" s="65">
        <f>Conventional!T7</f>
        <v>65</v>
      </c>
      <c r="G3" s="65">
        <f>Conventional!X7</f>
        <v>55</v>
      </c>
    </row>
    <row r="4" spans="1:13" s="62" customFormat="1" ht="12" hidden="1" x14ac:dyDescent="0.2">
      <c r="A4" s="62" t="s">
        <v>42</v>
      </c>
      <c r="B4" s="67">
        <f>Conventional!L8</f>
        <v>0.7</v>
      </c>
      <c r="C4" s="68">
        <f>Conventional!N8</f>
        <v>370.44117647058823</v>
      </c>
      <c r="D4" s="69">
        <f>Conventional!P8</f>
        <v>4.25</v>
      </c>
      <c r="E4" s="69">
        <f>Conventional!R8</f>
        <v>8.6</v>
      </c>
      <c r="F4" s="69">
        <f>Conventional!T8</f>
        <v>4.04</v>
      </c>
      <c r="G4" s="69">
        <f>Conventional!X8</f>
        <v>5</v>
      </c>
    </row>
    <row r="5" spans="1:13" s="62" customFormat="1" ht="12" hidden="1" x14ac:dyDescent="0.2">
      <c r="A5" s="70" t="s">
        <v>44</v>
      </c>
      <c r="B5" s="71">
        <f t="shared" ref="B5:G5" si="0">B3*B4</f>
        <v>525</v>
      </c>
      <c r="C5" s="71">
        <f>C3*C4/2000</f>
        <v>629.75</v>
      </c>
      <c r="D5" s="71">
        <f t="shared" si="0"/>
        <v>361.25</v>
      </c>
      <c r="E5" s="71">
        <f t="shared" si="0"/>
        <v>258</v>
      </c>
      <c r="F5" s="71">
        <f t="shared" si="0"/>
        <v>262.60000000000002</v>
      </c>
      <c r="G5" s="71">
        <f t="shared" si="0"/>
        <v>275</v>
      </c>
    </row>
    <row r="6" spans="1:13" s="62" customFormat="1" ht="12" hidden="1" x14ac:dyDescent="0.2">
      <c r="A6" s="70" t="s">
        <v>43</v>
      </c>
      <c r="B6" s="73">
        <f>Conventional!L30</f>
        <v>424.48837320454538</v>
      </c>
      <c r="C6" s="73">
        <f>Conventional!N30</f>
        <v>537.15375000000006</v>
      </c>
      <c r="D6" s="73">
        <f>Conventional!P30</f>
        <v>293.48862585000001</v>
      </c>
      <c r="E6" s="73">
        <f>Conventional!R30</f>
        <v>195.55541740000001</v>
      </c>
      <c r="F6" s="73">
        <f>Conventional!T30</f>
        <v>199.34239272499997</v>
      </c>
      <c r="G6" s="73">
        <f>Conventional!X30</f>
        <v>191.336951425</v>
      </c>
    </row>
    <row r="7" spans="1:13" s="62" customFormat="1" ht="15.75" x14ac:dyDescent="0.25">
      <c r="A7" s="451" t="s">
        <v>129</v>
      </c>
      <c r="B7" s="451"/>
      <c r="C7" s="451"/>
      <c r="D7" s="451"/>
      <c r="E7" s="451"/>
      <c r="F7" s="451"/>
      <c r="G7" s="451"/>
      <c r="H7" s="451"/>
      <c r="I7" s="451"/>
      <c r="J7" s="451"/>
      <c r="K7" s="451"/>
      <c r="L7" s="451"/>
      <c r="M7" s="451"/>
    </row>
    <row r="8" spans="1:13" s="62" customFormat="1" ht="15.75" x14ac:dyDescent="0.25">
      <c r="A8" s="60" t="s">
        <v>35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</row>
    <row r="9" spans="1:13" x14ac:dyDescent="0.2">
      <c r="A9" s="450" t="s">
        <v>154</v>
      </c>
      <c r="B9" s="450"/>
      <c r="C9" s="450"/>
      <c r="D9" s="450"/>
      <c r="E9" s="450"/>
      <c r="F9" s="450"/>
      <c r="G9" s="450"/>
      <c r="H9" s="450"/>
      <c r="I9" s="450"/>
      <c r="J9" s="450"/>
      <c r="K9" s="450"/>
      <c r="L9" s="450"/>
      <c r="M9" s="450"/>
    </row>
    <row r="10" spans="1:13" x14ac:dyDescent="0.2">
      <c r="A10" s="444" t="s">
        <v>51</v>
      </c>
      <c r="B10" s="444"/>
      <c r="C10" s="444"/>
      <c r="D10" s="444"/>
      <c r="E10" s="444"/>
      <c r="F10" s="444"/>
      <c r="H10" s="444" t="s">
        <v>52</v>
      </c>
      <c r="I10" s="444"/>
      <c r="J10" s="444"/>
      <c r="K10" s="444"/>
      <c r="L10" s="444"/>
      <c r="M10" s="444"/>
    </row>
    <row r="11" spans="1:13" s="62" customFormat="1" ht="12" x14ac:dyDescent="0.2">
      <c r="A11" s="443" t="s">
        <v>36</v>
      </c>
      <c r="B11" s="443"/>
      <c r="C11" s="443"/>
      <c r="D11" s="443"/>
      <c r="E11" s="443"/>
      <c r="F11" s="443"/>
      <c r="H11" s="447" t="s">
        <v>36</v>
      </c>
      <c r="I11" s="447"/>
      <c r="J11" s="447"/>
      <c r="K11" s="447"/>
      <c r="L11" s="447"/>
      <c r="M11" s="447"/>
    </row>
    <row r="12" spans="1:13" x14ac:dyDescent="0.2">
      <c r="A12" s="76" t="s">
        <v>41</v>
      </c>
      <c r="B12" s="77">
        <v>-0.25</v>
      </c>
      <c r="C12" s="77">
        <v>-0.1</v>
      </c>
      <c r="D12" s="78" t="s">
        <v>37</v>
      </c>
      <c r="E12" s="79" t="s">
        <v>38</v>
      </c>
      <c r="F12" s="79" t="s">
        <v>39</v>
      </c>
      <c r="H12" s="76" t="s">
        <v>41</v>
      </c>
      <c r="I12" s="80">
        <v>-0.25</v>
      </c>
      <c r="J12" s="80">
        <v>-0.1</v>
      </c>
      <c r="K12" s="81" t="s">
        <v>37</v>
      </c>
      <c r="L12" s="82" t="s">
        <v>38</v>
      </c>
      <c r="M12" s="82" t="s">
        <v>39</v>
      </c>
    </row>
    <row r="13" spans="1:13" x14ac:dyDescent="0.2">
      <c r="A13" s="83" t="s">
        <v>42</v>
      </c>
      <c r="B13" s="78">
        <f>0.75*D13</f>
        <v>63.75</v>
      </c>
      <c r="C13" s="78">
        <f>0.9*D13</f>
        <v>76.5</v>
      </c>
      <c r="D13" s="78">
        <f>D3</f>
        <v>85</v>
      </c>
      <c r="E13" s="78">
        <f>D13*1.1</f>
        <v>93.500000000000014</v>
      </c>
      <c r="F13" s="78">
        <f>D13*1.25</f>
        <v>106.25</v>
      </c>
      <c r="H13" s="83" t="s">
        <v>42</v>
      </c>
      <c r="I13" s="81">
        <f>0.75*K13</f>
        <v>562.5</v>
      </c>
      <c r="J13" s="81">
        <f>0.9*K13</f>
        <v>675</v>
      </c>
      <c r="K13" s="81">
        <f>B3</f>
        <v>750</v>
      </c>
      <c r="L13" s="81">
        <f>K13*1.1</f>
        <v>825.00000000000011</v>
      </c>
      <c r="M13" s="81">
        <f>K13*1.25</f>
        <v>937.5</v>
      </c>
    </row>
    <row r="14" spans="1:13" x14ac:dyDescent="0.2">
      <c r="A14" s="84">
        <f>Irrigated!A14</f>
        <v>2.9749999999999996</v>
      </c>
      <c r="B14" s="85">
        <f>$A$14*B$13-$D$6</f>
        <v>-103.83237585000003</v>
      </c>
      <c r="C14" s="85">
        <f>$A$14*C$13-$D$6</f>
        <v>-65.901125850000028</v>
      </c>
      <c r="D14" s="85">
        <f>$A$14*D$13-$D$6</f>
        <v>-40.613625850000034</v>
      </c>
      <c r="E14" s="85">
        <f>$A$14*E$13-$D$6</f>
        <v>-15.326125849999983</v>
      </c>
      <c r="F14" s="85">
        <f>$A$14*F$13-$D$6</f>
        <v>22.605124149999938</v>
      </c>
      <c r="H14" s="84">
        <f>Irrigated!H14</f>
        <v>0.48999999999999994</v>
      </c>
      <c r="I14" s="85">
        <f>$H$14*I$13-$B$6</f>
        <v>-148.86337320454544</v>
      </c>
      <c r="J14" s="85">
        <f>$H$14*J$13-$B$6</f>
        <v>-93.738373204545439</v>
      </c>
      <c r="K14" s="85">
        <f>$H$14*K$13-$B$6</f>
        <v>-56.988373204545439</v>
      </c>
      <c r="L14" s="85">
        <f>$H$14*L$13-$B$6</f>
        <v>-20.238373204545383</v>
      </c>
      <c r="M14" s="85">
        <f>$H$14*M$13-$B$6</f>
        <v>34.886626795454561</v>
      </c>
    </row>
    <row r="15" spans="1:13" x14ac:dyDescent="0.2">
      <c r="A15" s="86">
        <f>Irrigated!A15</f>
        <v>3.6124999999999998</v>
      </c>
      <c r="B15" s="87">
        <f>$A$15*B$13-$D$6</f>
        <v>-63.191750850000005</v>
      </c>
      <c r="C15" s="87">
        <f>$A$15*C$13-$D$6</f>
        <v>-17.132375850000017</v>
      </c>
      <c r="D15" s="87">
        <f>$A$15*D$13-$D$6</f>
        <v>13.573874149999995</v>
      </c>
      <c r="E15" s="87">
        <f>$A$15*E$13-$D$6</f>
        <v>44.280124150000006</v>
      </c>
      <c r="F15" s="87">
        <f>$A$15*F$13-$D$6</f>
        <v>90.339499149999995</v>
      </c>
      <c r="H15" s="86">
        <f>Irrigated!H15</f>
        <v>0.59499999999999997</v>
      </c>
      <c r="I15" s="87">
        <f>$H$15*I$13-$B$6</f>
        <v>-89.800873204545383</v>
      </c>
      <c r="J15" s="87">
        <f>$H$15*J$13-$B$6</f>
        <v>-22.863373204545383</v>
      </c>
      <c r="K15" s="87">
        <f>$H$15*K$13-$B$6</f>
        <v>21.761626795454617</v>
      </c>
      <c r="L15" s="87">
        <f>$H$15*L$13-$B$6</f>
        <v>66.386626795454674</v>
      </c>
      <c r="M15" s="87">
        <f>$H$15*M$13-$B$6</f>
        <v>133.32412679545462</v>
      </c>
    </row>
    <row r="16" spans="1:13" x14ac:dyDescent="0.2">
      <c r="A16" s="86">
        <f>Irrigated!A16</f>
        <v>4.25</v>
      </c>
      <c r="B16" s="87">
        <f>$A$16*B$13-$D$6</f>
        <v>-22.551125850000005</v>
      </c>
      <c r="C16" s="87">
        <f>$A$16*C$13-$D$6</f>
        <v>31.636374149999995</v>
      </c>
      <c r="D16" s="87">
        <f>$A$16*D$13-$D$6</f>
        <v>67.761374149999995</v>
      </c>
      <c r="E16" s="87">
        <f>$A$16*E$13-$D$6</f>
        <v>103.88637415000005</v>
      </c>
      <c r="F16" s="87">
        <f>$A$16*F$13-$D$6</f>
        <v>158.07387414999999</v>
      </c>
      <c r="H16" s="86">
        <f>Irrigated!H16</f>
        <v>0.7</v>
      </c>
      <c r="I16" s="87">
        <f>$H$16*I$13-$B$6</f>
        <v>-30.738373204545383</v>
      </c>
      <c r="J16" s="87">
        <f>$H$16*J$13-$B$6</f>
        <v>48.011626795454561</v>
      </c>
      <c r="K16" s="87">
        <f>$H$16*K$13-$B$6</f>
        <v>100.51162679545462</v>
      </c>
      <c r="L16" s="87">
        <f>$H$16*L$13-$B$6</f>
        <v>153.01162679545462</v>
      </c>
      <c r="M16" s="87">
        <f>$H$16*M$13-$B$6</f>
        <v>231.76162679545462</v>
      </c>
    </row>
    <row r="17" spans="1:13" x14ac:dyDescent="0.2">
      <c r="A17" s="86">
        <f>Irrigated!A17</f>
        <v>4.8874999999999993</v>
      </c>
      <c r="B17" s="87">
        <f>$A$17*B$13-$D$6</f>
        <v>18.089499149999938</v>
      </c>
      <c r="C17" s="87">
        <f>$A$17*C$13-$D$6</f>
        <v>80.405124149999949</v>
      </c>
      <c r="D17" s="87">
        <f>$A$17*D$13-$D$6</f>
        <v>121.94887414999994</v>
      </c>
      <c r="E17" s="87">
        <f>$A$17*E$13-$D$6</f>
        <v>163.49262414999998</v>
      </c>
      <c r="F17" s="87">
        <f>$A$17*F$13-$D$6</f>
        <v>225.80824914999988</v>
      </c>
      <c r="H17" s="86">
        <f>Irrigated!H17</f>
        <v>0.80499999999999994</v>
      </c>
      <c r="I17" s="87">
        <f>$H$17*I$13-$B$6</f>
        <v>28.324126795454561</v>
      </c>
      <c r="J17" s="87">
        <f>$H$17*J$13-$B$6</f>
        <v>118.88662679545462</v>
      </c>
      <c r="K17" s="87">
        <f>$H$17*K$13-$B$6</f>
        <v>179.26162679545462</v>
      </c>
      <c r="L17" s="87">
        <f>$H$17*L$13-$B$6</f>
        <v>239.63662679545462</v>
      </c>
      <c r="M17" s="87">
        <f>$H$17*M$13-$B$6</f>
        <v>330.1991267954545</v>
      </c>
    </row>
    <row r="18" spans="1:13" x14ac:dyDescent="0.2">
      <c r="A18" s="88">
        <f>Irrigated!A18</f>
        <v>5.5250000000000004</v>
      </c>
      <c r="B18" s="89">
        <f>$A$18*B$13-$D$6</f>
        <v>58.730124149999995</v>
      </c>
      <c r="C18" s="89">
        <f>$A$18*C$13-$D$6</f>
        <v>129.17387415000002</v>
      </c>
      <c r="D18" s="89">
        <f>$A$18*D$13-$D$6</f>
        <v>176.13637415000005</v>
      </c>
      <c r="E18" s="89">
        <f>$A$18*E$13-$D$6</f>
        <v>223.09887415000009</v>
      </c>
      <c r="F18" s="89">
        <f>$A$18*F$13-$D$6</f>
        <v>293.54262414999999</v>
      </c>
      <c r="H18" s="88">
        <f>Irrigated!H18</f>
        <v>0.90999999999999992</v>
      </c>
      <c r="I18" s="89">
        <f>$H$18*I$13-$B$6</f>
        <v>87.386626795454561</v>
      </c>
      <c r="J18" s="89">
        <f>$H$18*J$13-$B$6</f>
        <v>189.76162679545462</v>
      </c>
      <c r="K18" s="89">
        <f>$H$18*K$13-$B$6</f>
        <v>258.0116267954545</v>
      </c>
      <c r="L18" s="89">
        <f>$H$18*L$13-$B$6</f>
        <v>326.26162679545462</v>
      </c>
      <c r="M18" s="89">
        <f>$H$18*M$13-$B$6</f>
        <v>428.6366267954545</v>
      </c>
    </row>
    <row r="20" spans="1:13" x14ac:dyDescent="0.2">
      <c r="A20" s="444" t="s">
        <v>54</v>
      </c>
      <c r="B20" s="444"/>
      <c r="C20" s="444"/>
      <c r="D20" s="444"/>
      <c r="E20" s="444"/>
      <c r="F20" s="444"/>
      <c r="H20" s="445" t="s">
        <v>121</v>
      </c>
      <c r="I20" s="445"/>
      <c r="J20" s="445"/>
      <c r="K20" s="445"/>
      <c r="L20" s="445"/>
      <c r="M20" s="445"/>
    </row>
    <row r="21" spans="1:13" s="62" customFormat="1" ht="12" x14ac:dyDescent="0.2">
      <c r="A21" s="443" t="s">
        <v>36</v>
      </c>
      <c r="B21" s="443"/>
      <c r="C21" s="443"/>
      <c r="D21" s="443"/>
      <c r="E21" s="443"/>
      <c r="F21" s="443"/>
      <c r="H21" s="446" t="s">
        <v>36</v>
      </c>
      <c r="I21" s="446"/>
      <c r="J21" s="446"/>
      <c r="K21" s="446"/>
      <c r="L21" s="446"/>
      <c r="M21" s="446"/>
    </row>
    <row r="22" spans="1:13" x14ac:dyDescent="0.2">
      <c r="A22" s="76" t="s">
        <v>41</v>
      </c>
      <c r="B22" s="77">
        <v>-0.25</v>
      </c>
      <c r="C22" s="77">
        <v>-0.1</v>
      </c>
      <c r="D22" s="78" t="s">
        <v>37</v>
      </c>
      <c r="E22" s="79" t="s">
        <v>38</v>
      </c>
      <c r="F22" s="79" t="s">
        <v>39</v>
      </c>
      <c r="H22" s="76" t="s">
        <v>41</v>
      </c>
      <c r="I22" s="77">
        <v>-0.25</v>
      </c>
      <c r="J22" s="77">
        <v>-0.1</v>
      </c>
      <c r="K22" s="78" t="s">
        <v>37</v>
      </c>
      <c r="L22" s="79" t="s">
        <v>38</v>
      </c>
      <c r="M22" s="79" t="s">
        <v>39</v>
      </c>
    </row>
    <row r="23" spans="1:13" x14ac:dyDescent="0.2">
      <c r="A23" s="83" t="s">
        <v>42</v>
      </c>
      <c r="B23" s="78">
        <f>0.75*D23</f>
        <v>48.75</v>
      </c>
      <c r="C23" s="78">
        <f>0.9*D23</f>
        <v>58.5</v>
      </c>
      <c r="D23" s="78">
        <f>F3</f>
        <v>65</v>
      </c>
      <c r="E23" s="78">
        <f>D23*1.1</f>
        <v>71.5</v>
      </c>
      <c r="F23" s="78">
        <f>D23*1.25</f>
        <v>81.25</v>
      </c>
      <c r="H23" s="83" t="s">
        <v>42</v>
      </c>
      <c r="I23" s="78">
        <f>0.75*K23</f>
        <v>2550</v>
      </c>
      <c r="J23" s="78">
        <f>0.9*K23</f>
        <v>3060</v>
      </c>
      <c r="K23" s="78">
        <f>C3</f>
        <v>3400</v>
      </c>
      <c r="L23" s="78">
        <f>K23*1.1</f>
        <v>3740.0000000000005</v>
      </c>
      <c r="M23" s="78">
        <f>K23*1.25</f>
        <v>4250</v>
      </c>
    </row>
    <row r="24" spans="1:13" x14ac:dyDescent="0.2">
      <c r="A24" s="84">
        <f>Irrigated!A24</f>
        <v>2.8279999999999998</v>
      </c>
      <c r="B24" s="85">
        <f>$A$24*B$23-$F$6</f>
        <v>-61.477392724999987</v>
      </c>
      <c r="C24" s="85">
        <f>$A$24*C$23-$F$6</f>
        <v>-33.90439272499998</v>
      </c>
      <c r="D24" s="85">
        <f>$A$24*D$23-$F$6</f>
        <v>-15.522392724999975</v>
      </c>
      <c r="E24" s="85">
        <f>$A$24*E$23-$F$6</f>
        <v>2.8596072750000303</v>
      </c>
      <c r="F24" s="85">
        <f>$A$24*F$23-$F$6</f>
        <v>30.432607275000009</v>
      </c>
      <c r="H24" s="90">
        <f>Irrigated!H24</f>
        <v>258.92553191489361</v>
      </c>
      <c r="I24" s="85">
        <f>$H$24*I$23/2000-$C$6</f>
        <v>-207.02369680851069</v>
      </c>
      <c r="J24" s="85">
        <f>$H$24*J$23/2000-$C$6</f>
        <v>-140.99768617021283</v>
      </c>
      <c r="K24" s="85">
        <f>$H$24*K$23/2000-$C$6</f>
        <v>-96.980345744680903</v>
      </c>
      <c r="L24" s="85">
        <f>$H$24*L$23/2000-$C$6</f>
        <v>-52.96300531914892</v>
      </c>
      <c r="M24" s="85">
        <f>$H$24*M$23/2000-$C$6</f>
        <v>13.063005319148829</v>
      </c>
    </row>
    <row r="25" spans="1:13" x14ac:dyDescent="0.2">
      <c r="A25" s="86">
        <f>Irrigated!A25</f>
        <v>3.4339999999999997</v>
      </c>
      <c r="B25" s="87">
        <f>$A$25*B$23-$F$6</f>
        <v>-31.934892724999969</v>
      </c>
      <c r="C25" s="87">
        <f>$A$25*C$23-$F$6</f>
        <v>1.5466072750000137</v>
      </c>
      <c r="D25" s="87">
        <f>$A$25*D$23-$F$6</f>
        <v>23.867607275000012</v>
      </c>
      <c r="E25" s="87">
        <f>$A$25*E$23-$F$6</f>
        <v>46.18860727500001</v>
      </c>
      <c r="F25" s="87">
        <f>$A$25*F$23-$F$6</f>
        <v>79.670107275000021</v>
      </c>
      <c r="H25" s="91">
        <f>Irrigated!H25</f>
        <v>314.40957446808511</v>
      </c>
      <c r="I25" s="87">
        <f>$H$25*I$23/2000-$C$6</f>
        <v>-136.28154255319151</v>
      </c>
      <c r="J25" s="87">
        <f>$H$25*J$23/2000-$C$6</f>
        <v>-56.107101063829873</v>
      </c>
      <c r="K25" s="87">
        <f>$H$25*K$23/2000-$C$6</f>
        <v>-2.65747340425537</v>
      </c>
      <c r="L25" s="87">
        <f>$H$25*L$23/2000-$C$6</f>
        <v>50.792154255319247</v>
      </c>
      <c r="M25" s="87">
        <f>$H$25*M$23/2000-$C$6</f>
        <v>130.96659574468083</v>
      </c>
    </row>
    <row r="26" spans="1:13" x14ac:dyDescent="0.2">
      <c r="A26" s="86">
        <f>Irrigated!A26</f>
        <v>4.04</v>
      </c>
      <c r="B26" s="87">
        <f>$A$26*B$23-$F$6</f>
        <v>-2.3923927249999792</v>
      </c>
      <c r="C26" s="87">
        <f>$A$26*C$23-$F$6</f>
        <v>36.997607275000036</v>
      </c>
      <c r="D26" s="87">
        <f>$A$26*D$23-$F$6</f>
        <v>63.257607275000055</v>
      </c>
      <c r="E26" s="87">
        <f>$A$26*E$23-$F$6</f>
        <v>89.517607275000046</v>
      </c>
      <c r="F26" s="87">
        <f>$A$26*F$23-$F$6</f>
        <v>128.90760727500003</v>
      </c>
      <c r="H26" s="91">
        <f>Irrigated!H26</f>
        <v>369.89361702127661</v>
      </c>
      <c r="I26" s="87">
        <f>$H$26*I$23/2000-$C$6</f>
        <v>-65.539388297872392</v>
      </c>
      <c r="J26" s="87">
        <f>$H$26*J$23/2000-$C$6</f>
        <v>28.783484042553141</v>
      </c>
      <c r="K26" s="87">
        <f>$H$26*K$23/2000-$C$6</f>
        <v>91.665398936170163</v>
      </c>
      <c r="L26" s="87">
        <f>$H$26*L$23/2000-$C$6</f>
        <v>154.5473138297873</v>
      </c>
      <c r="M26" s="87">
        <f>$H$26*M$23/2000-$C$6</f>
        <v>248.87018617021272</v>
      </c>
    </row>
    <row r="27" spans="1:13" x14ac:dyDescent="0.2">
      <c r="A27" s="86">
        <f>Irrigated!A27</f>
        <v>4.6459999999999999</v>
      </c>
      <c r="B27" s="87">
        <f>$A$27*B$23-$F$6</f>
        <v>27.150107275000039</v>
      </c>
      <c r="C27" s="87">
        <f>$A$27*C$23-$F$6</f>
        <v>72.448607275000029</v>
      </c>
      <c r="D27" s="87">
        <f>$A$27*D$23-$F$6</f>
        <v>102.64760727500004</v>
      </c>
      <c r="E27" s="87">
        <f>$A$27*E$23-$F$6</f>
        <v>132.84660727500005</v>
      </c>
      <c r="F27" s="87">
        <f>$A$27*F$23-$F$6</f>
        <v>178.14510727500004</v>
      </c>
      <c r="H27" s="91">
        <f>Irrigated!H27</f>
        <v>425.37765957446805</v>
      </c>
      <c r="I27" s="87">
        <f>$H$27*I$23/2000-$C$6</f>
        <v>5.2027659574466725</v>
      </c>
      <c r="J27" s="87">
        <f>$H$27*J$23/2000-$C$6</f>
        <v>113.67406914893604</v>
      </c>
      <c r="K27" s="87">
        <f>$H$27*K$23/2000-$C$6</f>
        <v>185.98827127659558</v>
      </c>
      <c r="L27" s="87">
        <f>$H$27*L$23/2000-$C$6</f>
        <v>258.30247340425524</v>
      </c>
      <c r="M27" s="87">
        <f>$H$27*M$23/2000-$C$6</f>
        <v>366.77377659574461</v>
      </c>
    </row>
    <row r="28" spans="1:13" x14ac:dyDescent="0.2">
      <c r="A28" s="88">
        <f>Irrigated!A28</f>
        <v>5.2520000000000007</v>
      </c>
      <c r="B28" s="89">
        <f>$A$28*B$23-$F$6</f>
        <v>56.692607275000057</v>
      </c>
      <c r="C28" s="89">
        <f>$A$28*C$23-$F$6</f>
        <v>107.89960727500005</v>
      </c>
      <c r="D28" s="89">
        <f>$A$28*D$23-$F$6</f>
        <v>142.03760727500008</v>
      </c>
      <c r="E28" s="89">
        <f>$A$28*E$23-$F$6</f>
        <v>176.17560727500006</v>
      </c>
      <c r="F28" s="89">
        <f>$A$28*F$23-$F$6</f>
        <v>227.38260727500011</v>
      </c>
      <c r="H28" s="92">
        <f>Irrigated!H28</f>
        <v>480.86170212765961</v>
      </c>
      <c r="I28" s="89">
        <f>$H$28*I$23/2000-$C$6</f>
        <v>75.944920212765965</v>
      </c>
      <c r="J28" s="89">
        <f>$H$28*J$23/2000-$C$6</f>
        <v>198.56465425531906</v>
      </c>
      <c r="K28" s="89">
        <f>$H$28*K$23/2000-$C$6</f>
        <v>280.31114361702134</v>
      </c>
      <c r="L28" s="89">
        <f>$H$28*L$23/2000-$C$6</f>
        <v>362.05763297872352</v>
      </c>
      <c r="M28" s="89">
        <f>$H$28*M$23/2000-$C$6</f>
        <v>484.67736702127672</v>
      </c>
    </row>
    <row r="30" spans="1:13" x14ac:dyDescent="0.2">
      <c r="A30" s="444" t="s">
        <v>53</v>
      </c>
      <c r="B30" s="444"/>
      <c r="C30" s="444"/>
      <c r="D30" s="444"/>
      <c r="E30" s="444"/>
      <c r="F30" s="444"/>
      <c r="H30" s="444" t="s">
        <v>63</v>
      </c>
      <c r="I30" s="444"/>
      <c r="J30" s="444"/>
      <c r="K30" s="444"/>
      <c r="L30" s="444"/>
      <c r="M30" s="444"/>
    </row>
    <row r="31" spans="1:13" s="62" customFormat="1" ht="12" x14ac:dyDescent="0.2">
      <c r="A31" s="443" t="s">
        <v>36</v>
      </c>
      <c r="B31" s="443"/>
      <c r="C31" s="443"/>
      <c r="D31" s="443"/>
      <c r="E31" s="443"/>
      <c r="F31" s="443"/>
      <c r="H31" s="443" t="s">
        <v>36</v>
      </c>
      <c r="I31" s="443"/>
      <c r="J31" s="443"/>
      <c r="K31" s="443"/>
      <c r="L31" s="443"/>
      <c r="M31" s="443"/>
    </row>
    <row r="32" spans="1:13" x14ac:dyDescent="0.2">
      <c r="A32" s="76" t="s">
        <v>41</v>
      </c>
      <c r="B32" s="77">
        <v>-0.25</v>
      </c>
      <c r="C32" s="77">
        <v>-0.1</v>
      </c>
      <c r="D32" s="78" t="s">
        <v>37</v>
      </c>
      <c r="E32" s="79" t="s">
        <v>38</v>
      </c>
      <c r="F32" s="79" t="s">
        <v>39</v>
      </c>
      <c r="H32" s="76" t="s">
        <v>41</v>
      </c>
      <c r="I32" s="77">
        <v>-0.25</v>
      </c>
      <c r="J32" s="77">
        <v>-0.1</v>
      </c>
      <c r="K32" s="78" t="s">
        <v>37</v>
      </c>
      <c r="L32" s="79" t="s">
        <v>38</v>
      </c>
      <c r="M32" s="79" t="s">
        <v>39</v>
      </c>
    </row>
    <row r="33" spans="1:13" x14ac:dyDescent="0.2">
      <c r="A33" s="83" t="s">
        <v>42</v>
      </c>
      <c r="B33" s="78">
        <f>0.75*D33</f>
        <v>22.5</v>
      </c>
      <c r="C33" s="78">
        <f>0.9*D33</f>
        <v>27</v>
      </c>
      <c r="D33" s="78">
        <f>E3</f>
        <v>30</v>
      </c>
      <c r="E33" s="78">
        <f>D33*1.1</f>
        <v>33</v>
      </c>
      <c r="F33" s="78">
        <f>D33*1.25</f>
        <v>37.5</v>
      </c>
      <c r="H33" s="83" t="s">
        <v>42</v>
      </c>
      <c r="I33" s="78">
        <f>0.75*K33</f>
        <v>41.25</v>
      </c>
      <c r="J33" s="78">
        <f>0.9*K33</f>
        <v>49.5</v>
      </c>
      <c r="K33" s="78">
        <f>G3</f>
        <v>55</v>
      </c>
      <c r="L33" s="78">
        <f>K33*1.1</f>
        <v>60.500000000000007</v>
      </c>
      <c r="M33" s="78">
        <f>K33*1.25</f>
        <v>68.75</v>
      </c>
    </row>
    <row r="34" spans="1:13" x14ac:dyDescent="0.2">
      <c r="A34" s="84">
        <f>Irrigated!A34</f>
        <v>6.02</v>
      </c>
      <c r="B34" s="85">
        <f>$A$34*B$33-$E$6</f>
        <v>-60.105417400000022</v>
      </c>
      <c r="C34" s="85">
        <f>$A$34*C$33-$E$6</f>
        <v>-33.015417400000018</v>
      </c>
      <c r="D34" s="85">
        <f>$A$34*D$33-$E$6</f>
        <v>-14.955417400000016</v>
      </c>
      <c r="E34" s="85">
        <f>$A$34*E$33-$E$6</f>
        <v>3.1045825999999863</v>
      </c>
      <c r="F34" s="85">
        <f>$A$34*F$33-$E$6</f>
        <v>30.194582599999961</v>
      </c>
      <c r="H34" s="84">
        <f>Irrigated!H34</f>
        <v>3.5</v>
      </c>
      <c r="I34" s="85">
        <f>$H$34*I$33-$G$6</f>
        <v>-46.961951424999995</v>
      </c>
      <c r="J34" s="85">
        <f>$H$34*J$33-$G$6</f>
        <v>-18.086951424999995</v>
      </c>
      <c r="K34" s="85">
        <f>$H$34*K$33-$G$6</f>
        <v>1.1630485750000048</v>
      </c>
      <c r="L34" s="85">
        <f>$H$34*L$33-$G$6</f>
        <v>20.413048575000033</v>
      </c>
      <c r="M34" s="85">
        <f>$H$34*M$33-$G$6</f>
        <v>49.288048575000005</v>
      </c>
    </row>
    <row r="35" spans="1:13" x14ac:dyDescent="0.2">
      <c r="A35" s="86">
        <f>Irrigated!A35</f>
        <v>7.31</v>
      </c>
      <c r="B35" s="87">
        <f>$A$35*B$33-$E$6</f>
        <v>-31.080417400000016</v>
      </c>
      <c r="C35" s="87">
        <f>$A$35*C$33-$E$6</f>
        <v>1.8145825999999659</v>
      </c>
      <c r="D35" s="87">
        <f>$A$35*D$33-$E$6</f>
        <v>23.744582599999973</v>
      </c>
      <c r="E35" s="87">
        <f>$A$35*E$33-$E$6</f>
        <v>45.674582599999979</v>
      </c>
      <c r="F35" s="87">
        <f>$A$35*F$33-$E$6</f>
        <v>78.56958259999999</v>
      </c>
      <c r="H35" s="86">
        <f>Irrigated!H35</f>
        <v>4.25</v>
      </c>
      <c r="I35" s="87">
        <f>$H$35*I$33-$G$6</f>
        <v>-16.024451424999995</v>
      </c>
      <c r="J35" s="87">
        <f>$H$35*J$33-$G$6</f>
        <v>19.038048575000005</v>
      </c>
      <c r="K35" s="87">
        <f>$H$35*K$33-$G$6</f>
        <v>42.413048575000005</v>
      </c>
      <c r="L35" s="87">
        <f>$H$35*L$33-$G$6</f>
        <v>65.788048575000062</v>
      </c>
      <c r="M35" s="87">
        <f>$H$35*M$33-$G$6</f>
        <v>100.850548575</v>
      </c>
    </row>
    <row r="36" spans="1:13" x14ac:dyDescent="0.2">
      <c r="A36" s="86">
        <f>Irrigated!A36</f>
        <v>8.6</v>
      </c>
      <c r="B36" s="87">
        <f>$A$36*B$33-$E$6</f>
        <v>-2.0554174000000103</v>
      </c>
      <c r="C36" s="87">
        <f>$A$36*C$33-$E$6</f>
        <v>36.644582599999978</v>
      </c>
      <c r="D36" s="87">
        <f>$A$36*D$33-$E$6</f>
        <v>62.44458259999999</v>
      </c>
      <c r="E36" s="87">
        <f>$A$36*E$33-$E$6</f>
        <v>88.244582600000001</v>
      </c>
      <c r="F36" s="87">
        <f>$A$36*F$33-$E$6</f>
        <v>126.94458259999999</v>
      </c>
      <c r="H36" s="86">
        <f>Irrigated!H36</f>
        <v>5</v>
      </c>
      <c r="I36" s="87">
        <f>$H$36*I$33-$G$6</f>
        <v>14.913048575000005</v>
      </c>
      <c r="J36" s="87">
        <f>$H$36*J$33-$G$6</f>
        <v>56.163048575000005</v>
      </c>
      <c r="K36" s="87">
        <f>$H$36*K$33-$G$6</f>
        <v>83.663048575000005</v>
      </c>
      <c r="L36" s="87">
        <f>$H$36*L$33-$G$6</f>
        <v>111.16304857500006</v>
      </c>
      <c r="M36" s="87">
        <f>$H$36*M$33-$G$6</f>
        <v>152.413048575</v>
      </c>
    </row>
    <row r="37" spans="1:13" x14ac:dyDescent="0.2">
      <c r="A37" s="86">
        <f>Irrigated!A37</f>
        <v>9.8899999999999988</v>
      </c>
      <c r="B37" s="87">
        <f>$A$37*B$33-$E$6</f>
        <v>26.969582599999967</v>
      </c>
      <c r="C37" s="87">
        <f>$A$37*C$33-$E$6</f>
        <v>71.474582599999962</v>
      </c>
      <c r="D37" s="87">
        <f>$A$37*D$33-$E$6</f>
        <v>101.14458259999998</v>
      </c>
      <c r="E37" s="87">
        <f>$A$37*E$33-$E$6</f>
        <v>130.81458259999994</v>
      </c>
      <c r="F37" s="87">
        <f>$A$37*F$33-$E$6</f>
        <v>175.31958259999993</v>
      </c>
      <c r="H37" s="86">
        <f>Irrigated!H37</f>
        <v>5.75</v>
      </c>
      <c r="I37" s="87">
        <f>$H$37*I$33-$G$6</f>
        <v>45.850548575000005</v>
      </c>
      <c r="J37" s="87">
        <f>$H$37*J$33-$G$6</f>
        <v>93.288048575000005</v>
      </c>
      <c r="K37" s="87">
        <f>$H$37*K$33-$G$6</f>
        <v>124.913048575</v>
      </c>
      <c r="L37" s="87">
        <f>$H$37*L$33-$G$6</f>
        <v>156.53804857500006</v>
      </c>
      <c r="M37" s="87">
        <f>$H$37*M$33-$G$6</f>
        <v>203.975548575</v>
      </c>
    </row>
    <row r="38" spans="1:13" x14ac:dyDescent="0.2">
      <c r="A38" s="88">
        <f>Irrigated!A38</f>
        <v>11.18</v>
      </c>
      <c r="B38" s="89">
        <f>$A$38*B$33-$E$6</f>
        <v>55.994582599999973</v>
      </c>
      <c r="C38" s="89">
        <f>$A$38*C$33-$E$6</f>
        <v>106.3045826</v>
      </c>
      <c r="D38" s="89">
        <f>$A$38*D$33-$E$6</f>
        <v>139.84458259999997</v>
      </c>
      <c r="E38" s="89">
        <f>$A$38*E$33-$E$6</f>
        <v>173.38458259999999</v>
      </c>
      <c r="F38" s="89">
        <f>$A$38*F$33-$E$6</f>
        <v>223.69458259999999</v>
      </c>
      <c r="H38" s="88">
        <f>Irrigated!H38</f>
        <v>6.5</v>
      </c>
      <c r="I38" s="89">
        <f>$H$38*I$33-$G$6</f>
        <v>76.788048575000005</v>
      </c>
      <c r="J38" s="89">
        <f>$H$38*J$33-$G$6</f>
        <v>130.413048575</v>
      </c>
      <c r="K38" s="89">
        <f>$H$38*K$33-$G$6</f>
        <v>166.163048575</v>
      </c>
      <c r="L38" s="89">
        <f>$H$38*L$33-$G$6</f>
        <v>201.91304857500006</v>
      </c>
      <c r="M38" s="89">
        <f>$H$38*M$33-$G$6</f>
        <v>255.538048575</v>
      </c>
    </row>
    <row r="39" spans="1:13" s="62" customFormat="1" ht="12" x14ac:dyDescent="0.2"/>
    <row r="49" s="62" customFormat="1" ht="12" x14ac:dyDescent="0.2"/>
    <row r="59" s="62" customFormat="1" ht="12" x14ac:dyDescent="0.2"/>
  </sheetData>
  <sheetProtection sheet="1" objects="1" scenarios="1"/>
  <mergeCells count="15">
    <mergeCell ref="A10:F10"/>
    <mergeCell ref="A11:F11"/>
    <mergeCell ref="B1:G1"/>
    <mergeCell ref="A7:M7"/>
    <mergeCell ref="H10:M10"/>
    <mergeCell ref="H11:M11"/>
    <mergeCell ref="A9:M9"/>
    <mergeCell ref="H31:M31"/>
    <mergeCell ref="A30:F30"/>
    <mergeCell ref="A31:F31"/>
    <mergeCell ref="A20:F20"/>
    <mergeCell ref="A21:F21"/>
    <mergeCell ref="H20:M20"/>
    <mergeCell ref="H21:M21"/>
    <mergeCell ref="H30:M30"/>
  </mergeCells>
  <phoneticPr fontId="2" type="noConversion"/>
  <conditionalFormatting sqref="B14:F18 I14:M18 I24:M28 I34:M38 B34:F38 B24:F28">
    <cfRule type="cellIs" dxfId="2" priority="1" stopIfTrue="1" operator="greaterThanOrEqual">
      <formula>0</formula>
    </cfRule>
  </conditionalFormatting>
  <printOptions horizontalCentered="1" verticalCentered="1"/>
  <pageMargins left="0.5" right="0.5" top="0.5" bottom="0.5" header="0.5" footer="0.5"/>
  <pageSetup orientation="landscape" horizontalDpi="300" verticalDpi="300"/>
  <headerFooter alignWithMargins="0">
    <oddFooter>&amp;L&amp;G</oddFooter>
  </headerFooter>
  <ignoredErrors>
    <ignoredError sqref="A29:F29 A19:F19 A57:F57 A47:F47" numberStoredAsText="1"/>
  </ignoredErrors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8" tint="0.59999389629810485"/>
  </sheetPr>
  <dimension ref="A1:M59"/>
  <sheetViews>
    <sheetView topLeftCell="A7" workbookViewId="0">
      <selection sqref="A1:I1"/>
    </sheetView>
  </sheetViews>
  <sheetFormatPr defaultColWidth="9.7109375" defaultRowHeight="12.75" x14ac:dyDescent="0.2"/>
  <cols>
    <col min="1" max="13" width="9.28515625" style="75" customWidth="1"/>
    <col min="14" max="14" width="6.42578125" style="75" bestFit="1" customWidth="1"/>
    <col min="15" max="16384" width="9.7109375" style="75"/>
  </cols>
  <sheetData>
    <row r="1" spans="1:13" s="62" customFormat="1" ht="12" hidden="1" x14ac:dyDescent="0.2">
      <c r="A1" s="61"/>
      <c r="B1" s="452" t="s">
        <v>45</v>
      </c>
      <c r="C1" s="452"/>
      <c r="D1" s="452"/>
      <c r="E1" s="452"/>
      <c r="F1" s="452"/>
      <c r="G1" s="61"/>
    </row>
    <row r="2" spans="1:13" s="62" customFormat="1" ht="12" hidden="1" x14ac:dyDescent="0.2">
      <c r="A2" s="63" t="s">
        <v>40</v>
      </c>
      <c r="B2" s="64" t="str">
        <f>Conventional!B6</f>
        <v>Cotton</v>
      </c>
      <c r="C2" s="64" t="str">
        <f>Conventional!D6</f>
        <v>Peanuts</v>
      </c>
      <c r="D2" s="64" t="str">
        <f>Conventional!F6</f>
        <v>Corn</v>
      </c>
      <c r="E2" s="64" t="str">
        <f>Conventional!H6</f>
        <v>Soybeans</v>
      </c>
      <c r="F2" s="64" t="str">
        <f>Conventional!J6</f>
        <v>Sorghum</v>
      </c>
    </row>
    <row r="3" spans="1:13" s="62" customFormat="1" ht="12" hidden="1" x14ac:dyDescent="0.2">
      <c r="A3" s="63" t="s">
        <v>41</v>
      </c>
      <c r="B3" s="65">
        <f>'Strip-Till'!B7</f>
        <v>1200</v>
      </c>
      <c r="C3" s="65">
        <f>'Strip-Till'!D7</f>
        <v>4700</v>
      </c>
      <c r="D3" s="65">
        <f>'Strip-Till'!F7</f>
        <v>200</v>
      </c>
      <c r="E3" s="65">
        <f>'Strip-Till'!H7</f>
        <v>60</v>
      </c>
      <c r="F3" s="65">
        <f>'Strip-Till'!J7</f>
        <v>100</v>
      </c>
    </row>
    <row r="4" spans="1:13" s="62" customFormat="1" ht="12" hidden="1" x14ac:dyDescent="0.2">
      <c r="A4" s="62" t="s">
        <v>42</v>
      </c>
      <c r="B4" s="67">
        <f>'Strip-Till'!B8</f>
        <v>0.7</v>
      </c>
      <c r="C4" s="68">
        <f>'Strip-Till'!D8</f>
        <v>369.89361702127661</v>
      </c>
      <c r="D4" s="69">
        <f>'Strip-Till'!F8</f>
        <v>4.25</v>
      </c>
      <c r="E4" s="69">
        <f>'Strip-Till'!H8</f>
        <v>8.6</v>
      </c>
      <c r="F4" s="69">
        <f>'Strip-Till'!J8</f>
        <v>4.04</v>
      </c>
      <c r="G4" s="69"/>
    </row>
    <row r="5" spans="1:13" s="62" customFormat="1" ht="12" hidden="1" x14ac:dyDescent="0.2">
      <c r="A5" s="70" t="s">
        <v>44</v>
      </c>
      <c r="B5" s="71">
        <f>B3*B4</f>
        <v>840</v>
      </c>
      <c r="C5" s="71">
        <f>C3*C4/2000</f>
        <v>869.25</v>
      </c>
      <c r="D5" s="71">
        <f>D3*D4</f>
        <v>850</v>
      </c>
      <c r="E5" s="71">
        <f>E3*E4</f>
        <v>516</v>
      </c>
      <c r="F5" s="71">
        <f>F3*F4</f>
        <v>404</v>
      </c>
      <c r="G5" s="72"/>
    </row>
    <row r="6" spans="1:13" s="62" customFormat="1" ht="12" hidden="1" x14ac:dyDescent="0.2">
      <c r="A6" s="70" t="s">
        <v>43</v>
      </c>
      <c r="B6" s="73">
        <f>'Strip-Till'!B31</f>
        <v>550.88269833333334</v>
      </c>
      <c r="C6" s="73">
        <f>'Strip-Till'!D31</f>
        <v>597.23720000000003</v>
      </c>
      <c r="D6" s="73">
        <f>'Strip-Till'!F31</f>
        <v>600.39402500000006</v>
      </c>
      <c r="E6" s="73">
        <f>'Strip-Till'!H31</f>
        <v>272.83093880000001</v>
      </c>
      <c r="F6" s="73">
        <f>'Strip-Till'!J31</f>
        <v>301.33792500000004</v>
      </c>
      <c r="G6" s="68"/>
    </row>
    <row r="7" spans="1:13" s="62" customFormat="1" ht="15.75" x14ac:dyDescent="0.25">
      <c r="A7" s="451" t="s">
        <v>130</v>
      </c>
      <c r="B7" s="451"/>
      <c r="C7" s="451"/>
      <c r="D7" s="451"/>
      <c r="E7" s="451"/>
      <c r="F7" s="451"/>
      <c r="G7" s="451"/>
      <c r="H7" s="451"/>
      <c r="I7" s="451"/>
      <c r="J7" s="451"/>
      <c r="K7" s="451"/>
      <c r="L7" s="451"/>
      <c r="M7" s="451"/>
    </row>
    <row r="8" spans="1:13" s="62" customFormat="1" ht="15.75" x14ac:dyDescent="0.25">
      <c r="A8" s="60" t="s">
        <v>35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</row>
    <row r="9" spans="1:13" x14ac:dyDescent="0.2">
      <c r="A9" s="450" t="s">
        <v>154</v>
      </c>
      <c r="B9" s="450"/>
      <c r="C9" s="450"/>
      <c r="D9" s="450"/>
      <c r="E9" s="450"/>
      <c r="F9" s="450"/>
      <c r="G9" s="450"/>
      <c r="H9" s="450"/>
      <c r="I9" s="450"/>
      <c r="J9" s="450"/>
      <c r="K9" s="450"/>
      <c r="L9" s="450"/>
      <c r="M9" s="450"/>
    </row>
    <row r="10" spans="1:13" x14ac:dyDescent="0.2">
      <c r="A10" s="444" t="s">
        <v>55</v>
      </c>
      <c r="B10" s="444"/>
      <c r="C10" s="444"/>
      <c r="D10" s="444"/>
      <c r="E10" s="444"/>
      <c r="F10" s="444"/>
      <c r="H10" s="444" t="s">
        <v>56</v>
      </c>
      <c r="I10" s="444"/>
      <c r="J10" s="444"/>
      <c r="K10" s="444"/>
      <c r="L10" s="444"/>
      <c r="M10" s="444"/>
    </row>
    <row r="11" spans="1:13" s="62" customFormat="1" ht="12" x14ac:dyDescent="0.2">
      <c r="A11" s="443" t="s">
        <v>36</v>
      </c>
      <c r="B11" s="443"/>
      <c r="C11" s="443"/>
      <c r="D11" s="443"/>
      <c r="E11" s="443"/>
      <c r="F11" s="443"/>
      <c r="H11" s="447" t="s">
        <v>36</v>
      </c>
      <c r="I11" s="447"/>
      <c r="J11" s="447"/>
      <c r="K11" s="447"/>
      <c r="L11" s="447"/>
      <c r="M11" s="447"/>
    </row>
    <row r="12" spans="1:13" x14ac:dyDescent="0.2">
      <c r="A12" s="76" t="s">
        <v>41</v>
      </c>
      <c r="B12" s="77">
        <v>-0.25</v>
      </c>
      <c r="C12" s="77">
        <v>-0.1</v>
      </c>
      <c r="D12" s="78" t="s">
        <v>37</v>
      </c>
      <c r="E12" s="79" t="s">
        <v>38</v>
      </c>
      <c r="F12" s="79" t="s">
        <v>39</v>
      </c>
      <c r="H12" s="76" t="s">
        <v>41</v>
      </c>
      <c r="I12" s="80">
        <v>-0.25</v>
      </c>
      <c r="J12" s="80">
        <v>-0.1</v>
      </c>
      <c r="K12" s="81" t="s">
        <v>37</v>
      </c>
      <c r="L12" s="82" t="s">
        <v>38</v>
      </c>
      <c r="M12" s="82" t="s">
        <v>39</v>
      </c>
    </row>
    <row r="13" spans="1:13" x14ac:dyDescent="0.2">
      <c r="A13" s="83" t="s">
        <v>42</v>
      </c>
      <c r="B13" s="78">
        <f>0.75*D13</f>
        <v>150</v>
      </c>
      <c r="C13" s="78">
        <f>0.9*D13</f>
        <v>180</v>
      </c>
      <c r="D13" s="78">
        <f>D3</f>
        <v>200</v>
      </c>
      <c r="E13" s="78">
        <f>D13*1.1</f>
        <v>220.00000000000003</v>
      </c>
      <c r="F13" s="78">
        <f>D13*1.25</f>
        <v>250</v>
      </c>
      <c r="H13" s="83" t="s">
        <v>42</v>
      </c>
      <c r="I13" s="78">
        <f>0.75*K13</f>
        <v>900</v>
      </c>
      <c r="J13" s="78">
        <f>0.9*K13</f>
        <v>1080</v>
      </c>
      <c r="K13" s="78">
        <f>B3</f>
        <v>1200</v>
      </c>
      <c r="L13" s="78">
        <f>K13*1.1</f>
        <v>1320</v>
      </c>
      <c r="M13" s="78">
        <f>K13*1.25</f>
        <v>1500</v>
      </c>
    </row>
    <row r="14" spans="1:13" x14ac:dyDescent="0.2">
      <c r="A14" s="84">
        <f>Irrigated!A14</f>
        <v>2.9749999999999996</v>
      </c>
      <c r="B14" s="85">
        <f>$A$14*B$13-$D$6</f>
        <v>-154.14402500000011</v>
      </c>
      <c r="C14" s="85">
        <f>$A$14*C$13-$D$6</f>
        <v>-64.89402500000017</v>
      </c>
      <c r="D14" s="85">
        <f>$A$14*D$13-$D$6</f>
        <v>-5.3940250000001697</v>
      </c>
      <c r="E14" s="85">
        <f>$A$14*E$13-$D$6</f>
        <v>54.105974999999944</v>
      </c>
      <c r="F14" s="85">
        <f>$A$14*F$13-$D$6</f>
        <v>143.35597499999983</v>
      </c>
      <c r="H14" s="84">
        <f>Irrigated!H14</f>
        <v>0.48999999999999994</v>
      </c>
      <c r="I14" s="87">
        <f>$H$14*$I$13-$B$6</f>
        <v>-109.88269833333339</v>
      </c>
      <c r="J14" s="87">
        <f>$H$14*J13-$B$6</f>
        <v>-21.682698333333406</v>
      </c>
      <c r="K14" s="87">
        <f>$H$14*K13-$B$6</f>
        <v>37.117301666666549</v>
      </c>
      <c r="L14" s="87">
        <f>$H$14*L13-$B$6</f>
        <v>95.917301666666617</v>
      </c>
      <c r="M14" s="87">
        <f>$H$14*M13-$B$6</f>
        <v>184.11730166666655</v>
      </c>
    </row>
    <row r="15" spans="1:13" x14ac:dyDescent="0.2">
      <c r="A15" s="86">
        <f>Irrigated!A15</f>
        <v>3.6124999999999998</v>
      </c>
      <c r="B15" s="87">
        <f>$A$15*B$13-$D$6</f>
        <v>-58.519025000000056</v>
      </c>
      <c r="C15" s="87">
        <f>$A$15*C$13-$D$6</f>
        <v>49.855974999999944</v>
      </c>
      <c r="D15" s="87">
        <f>$A$15*D$13-$D$6</f>
        <v>122.10597499999994</v>
      </c>
      <c r="E15" s="87">
        <f>$A$15*E$13-$D$6</f>
        <v>194.35597500000006</v>
      </c>
      <c r="F15" s="87">
        <f>$A$15*F$13-$D$6</f>
        <v>302.73097499999994</v>
      </c>
      <c r="H15" s="86">
        <f>Irrigated!H15</f>
        <v>0.59499999999999997</v>
      </c>
      <c r="I15" s="87">
        <f>$H$15*$I$13-$B$6</f>
        <v>-15.382698333333337</v>
      </c>
      <c r="J15" s="87">
        <f>$H$15*J13-$B$6</f>
        <v>91.717301666666685</v>
      </c>
      <c r="K15" s="87">
        <f>$H$15*K13-$B$6</f>
        <v>163.11730166666666</v>
      </c>
      <c r="L15" s="87">
        <f>$H$15*L13-$B$6</f>
        <v>234.51730166666664</v>
      </c>
      <c r="M15" s="87">
        <f>$H$15*M13-$B$6</f>
        <v>341.61730166666666</v>
      </c>
    </row>
    <row r="16" spans="1:13" x14ac:dyDescent="0.2">
      <c r="A16" s="86">
        <f>Irrigated!A16</f>
        <v>4.25</v>
      </c>
      <c r="B16" s="87">
        <f>$A$16*B$13-$D$6</f>
        <v>37.105974999999944</v>
      </c>
      <c r="C16" s="87">
        <f>$A$16*C$13-$D$6</f>
        <v>164.60597499999994</v>
      </c>
      <c r="D16" s="87">
        <f>$A$16*D$13-$D$6</f>
        <v>249.60597499999994</v>
      </c>
      <c r="E16" s="87">
        <f>$A$16*E$13-$D$6</f>
        <v>334.60597500000006</v>
      </c>
      <c r="F16" s="87">
        <f>$A$16*F$13-$D$6</f>
        <v>462.10597499999994</v>
      </c>
      <c r="H16" s="86">
        <f>Irrigated!H16</f>
        <v>0.7</v>
      </c>
      <c r="I16" s="87">
        <f>$H$16*$I$13-$B$6</f>
        <v>79.117301666666663</v>
      </c>
      <c r="J16" s="87">
        <f>$H$16*J13-$B$6</f>
        <v>205.11730166666666</v>
      </c>
      <c r="K16" s="87">
        <f>$H$16*K13-$B$6</f>
        <v>289.11730166666666</v>
      </c>
      <c r="L16" s="87">
        <f>$H$16*L13-$B$6</f>
        <v>373.11730166666655</v>
      </c>
      <c r="M16" s="87">
        <f>$H$16*M13-$B$6</f>
        <v>499.11730166666666</v>
      </c>
    </row>
    <row r="17" spans="1:13" x14ac:dyDescent="0.2">
      <c r="A17" s="86">
        <f>Irrigated!A17</f>
        <v>4.8874999999999993</v>
      </c>
      <c r="B17" s="87">
        <f>$A$17*B$13-$D$6</f>
        <v>132.73097499999983</v>
      </c>
      <c r="C17" s="87">
        <f>$A$17*C$13-$D$6</f>
        <v>279.35597499999983</v>
      </c>
      <c r="D17" s="87">
        <f>$A$17*D$13-$D$6</f>
        <v>377.10597499999983</v>
      </c>
      <c r="E17" s="87">
        <f>$A$17*E$13-$D$6</f>
        <v>474.85597499999994</v>
      </c>
      <c r="F17" s="87">
        <f>$A$17*F$13-$D$6</f>
        <v>621.48097499999972</v>
      </c>
      <c r="H17" s="86">
        <f>Irrigated!H17</f>
        <v>0.80499999999999994</v>
      </c>
      <c r="I17" s="87">
        <f>$H$17*$I$13-$B$6</f>
        <v>173.61730166666666</v>
      </c>
      <c r="J17" s="87">
        <f>$H$17*J13-$B$6</f>
        <v>318.51730166666664</v>
      </c>
      <c r="K17" s="87">
        <f>$H$17*K13-$B$6</f>
        <v>415.11730166666655</v>
      </c>
      <c r="L17" s="87">
        <f>$H$17*L13-$B$6</f>
        <v>511.71730166666657</v>
      </c>
      <c r="M17" s="87">
        <f>$H$17*M13-$B$6</f>
        <v>656.61730166666666</v>
      </c>
    </row>
    <row r="18" spans="1:13" x14ac:dyDescent="0.2">
      <c r="A18" s="88">
        <f>Irrigated!A18</f>
        <v>5.5250000000000004</v>
      </c>
      <c r="B18" s="89">
        <f>$A$18*B$13-$D$6</f>
        <v>228.35597499999994</v>
      </c>
      <c r="C18" s="89">
        <f>$A$18*C$13-$D$6</f>
        <v>394.10597500000006</v>
      </c>
      <c r="D18" s="89">
        <f>$A$18*D$13-$D$6</f>
        <v>504.60597499999994</v>
      </c>
      <c r="E18" s="89">
        <f>$A$18*E$13-$D$6</f>
        <v>615.10597500000017</v>
      </c>
      <c r="F18" s="89">
        <f>$A$18*F$13-$D$6</f>
        <v>780.85597499999994</v>
      </c>
      <c r="H18" s="88">
        <f>Irrigated!H18</f>
        <v>0.90999999999999992</v>
      </c>
      <c r="I18" s="89">
        <f>$H$18*$I$13-$B$6</f>
        <v>268.11730166666655</v>
      </c>
      <c r="J18" s="89">
        <f>$H$18*J13-$B$6</f>
        <v>431.91730166666662</v>
      </c>
      <c r="K18" s="89">
        <f>$H$18*K13-$B$6</f>
        <v>541.11730166666666</v>
      </c>
      <c r="L18" s="89">
        <f>$H$18*L13-$B$6</f>
        <v>650.31730166666648</v>
      </c>
      <c r="M18" s="89">
        <f>$H$18*M13-$B$6</f>
        <v>814.11730166666644</v>
      </c>
    </row>
    <row r="20" spans="1:13" x14ac:dyDescent="0.2">
      <c r="A20" s="444" t="s">
        <v>57</v>
      </c>
      <c r="B20" s="444"/>
      <c r="C20" s="444"/>
      <c r="D20" s="444"/>
      <c r="E20" s="444"/>
      <c r="F20" s="444"/>
      <c r="H20" s="445" t="s">
        <v>122</v>
      </c>
      <c r="I20" s="445"/>
      <c r="J20" s="445"/>
      <c r="K20" s="445"/>
      <c r="L20" s="445"/>
      <c r="M20" s="445"/>
    </row>
    <row r="21" spans="1:13" s="62" customFormat="1" ht="12" x14ac:dyDescent="0.2">
      <c r="A21" s="443" t="s">
        <v>36</v>
      </c>
      <c r="B21" s="443"/>
      <c r="C21" s="443"/>
      <c r="D21" s="443"/>
      <c r="E21" s="443"/>
      <c r="F21" s="443"/>
      <c r="H21" s="446" t="s">
        <v>36</v>
      </c>
      <c r="I21" s="446"/>
      <c r="J21" s="446"/>
      <c r="K21" s="446"/>
      <c r="L21" s="446"/>
      <c r="M21" s="446"/>
    </row>
    <row r="22" spans="1:13" x14ac:dyDescent="0.2">
      <c r="A22" s="76" t="s">
        <v>41</v>
      </c>
      <c r="B22" s="77">
        <v>-0.25</v>
      </c>
      <c r="C22" s="77">
        <v>-0.1</v>
      </c>
      <c r="D22" s="78" t="s">
        <v>37</v>
      </c>
      <c r="E22" s="79" t="s">
        <v>38</v>
      </c>
      <c r="F22" s="79" t="s">
        <v>39</v>
      </c>
      <c r="H22" s="76" t="s">
        <v>41</v>
      </c>
      <c r="I22" s="77">
        <v>-0.25</v>
      </c>
      <c r="J22" s="77">
        <v>-0.1</v>
      </c>
      <c r="K22" s="78" t="s">
        <v>37</v>
      </c>
      <c r="L22" s="79" t="s">
        <v>38</v>
      </c>
      <c r="M22" s="79" t="s">
        <v>39</v>
      </c>
    </row>
    <row r="23" spans="1:13" x14ac:dyDescent="0.2">
      <c r="A23" s="83" t="s">
        <v>42</v>
      </c>
      <c r="B23" s="78">
        <f>0.75*D23</f>
        <v>75</v>
      </c>
      <c r="C23" s="78">
        <f>0.9*D23</f>
        <v>90</v>
      </c>
      <c r="D23" s="78">
        <f>F3</f>
        <v>100</v>
      </c>
      <c r="E23" s="78">
        <f>D23*1.1</f>
        <v>110.00000000000001</v>
      </c>
      <c r="F23" s="78">
        <f>D23*1.25</f>
        <v>125</v>
      </c>
      <c r="H23" s="83" t="s">
        <v>42</v>
      </c>
      <c r="I23" s="78">
        <f>0.75*K23</f>
        <v>3525</v>
      </c>
      <c r="J23" s="78">
        <f>0.9*K23</f>
        <v>4230</v>
      </c>
      <c r="K23" s="78">
        <f>C3</f>
        <v>4700</v>
      </c>
      <c r="L23" s="78">
        <f>K23*1.1</f>
        <v>5170</v>
      </c>
      <c r="M23" s="78">
        <f>K23*1.25</f>
        <v>5875</v>
      </c>
    </row>
    <row r="24" spans="1:13" x14ac:dyDescent="0.2">
      <c r="A24" s="84">
        <f>Irrigated!A24</f>
        <v>2.8279999999999998</v>
      </c>
      <c r="B24" s="85">
        <f>$A$24*B$23-$F$6</f>
        <v>-89.237925000000047</v>
      </c>
      <c r="C24" s="85">
        <f>$A$24*C$23-$F$6</f>
        <v>-46.817925000000059</v>
      </c>
      <c r="D24" s="85">
        <f>$A$24*D$23-$F$6</f>
        <v>-18.53792500000003</v>
      </c>
      <c r="E24" s="85">
        <f>$A$24*E$23-$F$6</f>
        <v>9.7420749999999998</v>
      </c>
      <c r="F24" s="85">
        <f>$A$24*F$23-$F$6</f>
        <v>52.162074999999959</v>
      </c>
      <c r="H24" s="90">
        <f>Irrigated!H24</f>
        <v>258.92553191489361</v>
      </c>
      <c r="I24" s="85">
        <f>$H$24*I$23/2000-$C$6</f>
        <v>-140.88095000000004</v>
      </c>
      <c r="J24" s="85">
        <f>$H$24*J$23/2000-$C$6</f>
        <v>-49.609699999999975</v>
      </c>
      <c r="K24" s="85">
        <f>$H$24*K$23/2000-$C$6</f>
        <v>11.237799999999993</v>
      </c>
      <c r="L24" s="85">
        <f>$H$24*L$23/2000-$C$6</f>
        <v>72.085299999999961</v>
      </c>
      <c r="M24" s="85">
        <f>$H$24*M$23/2000-$C$6</f>
        <v>163.35654999999997</v>
      </c>
    </row>
    <row r="25" spans="1:13" x14ac:dyDescent="0.2">
      <c r="A25" s="86">
        <f>Irrigated!A25</f>
        <v>3.4339999999999997</v>
      </c>
      <c r="B25" s="87">
        <f>$A$25*B$23-$F$6</f>
        <v>-43.787925000000087</v>
      </c>
      <c r="C25" s="87">
        <f>$A$25*C$23-$F$6</f>
        <v>7.7220749999999612</v>
      </c>
      <c r="D25" s="87">
        <f>$A$25*D$23-$F$6</f>
        <v>42.062074999999936</v>
      </c>
      <c r="E25" s="87">
        <f>$A$25*E$23-$F$6</f>
        <v>76.402074999999968</v>
      </c>
      <c r="F25" s="87">
        <f>$A$25*F$23-$F$6</f>
        <v>127.9120749999999</v>
      </c>
      <c r="H25" s="91">
        <f>Irrigated!H25</f>
        <v>314.40957446808511</v>
      </c>
      <c r="I25" s="87">
        <f>$H$25*I$23/2000-$C$6</f>
        <v>-43.090325000000007</v>
      </c>
      <c r="J25" s="87">
        <f>$H$25*J$23/2000-$C$6</f>
        <v>67.73905000000002</v>
      </c>
      <c r="K25" s="87">
        <f>$H$25*K$23/2000-$C$6</f>
        <v>141.62529999999992</v>
      </c>
      <c r="L25" s="87">
        <f>$H$25*L$23/2000-$C$6</f>
        <v>215.51154999999994</v>
      </c>
      <c r="M25" s="87">
        <f>$H$25*M$23/2000-$C$6</f>
        <v>326.34092499999997</v>
      </c>
    </row>
    <row r="26" spans="1:13" x14ac:dyDescent="0.2">
      <c r="A26" s="86">
        <f>Irrigated!A26</f>
        <v>4.04</v>
      </c>
      <c r="B26" s="87">
        <f>$A$26*B$23-$F$6</f>
        <v>1.6620749999999589</v>
      </c>
      <c r="C26" s="87">
        <f>$A$26*C$23-$F$6</f>
        <v>62.262074999999982</v>
      </c>
      <c r="D26" s="87">
        <f>$A$26*D$23-$F$6</f>
        <v>102.66207499999996</v>
      </c>
      <c r="E26" s="87">
        <f>$A$26*E$23-$F$6</f>
        <v>143.06207499999999</v>
      </c>
      <c r="F26" s="87">
        <f>$A$26*F$23-$F$6</f>
        <v>203.66207499999996</v>
      </c>
      <c r="H26" s="91">
        <f>Irrigated!H26</f>
        <v>369.89361702127661</v>
      </c>
      <c r="I26" s="87">
        <f>$H$26*I$23/2000-$C$6</f>
        <v>54.70029999999997</v>
      </c>
      <c r="J26" s="87">
        <f>$H$26*J$23/2000-$C$6</f>
        <v>185.08780000000002</v>
      </c>
      <c r="K26" s="87">
        <f>$H$26*K$23/2000-$C$6</f>
        <v>272.01279999999997</v>
      </c>
      <c r="L26" s="87">
        <f>$H$26*L$23/2000-$C$6</f>
        <v>358.93779999999992</v>
      </c>
      <c r="M26" s="87">
        <f>$H$26*M$23/2000-$C$6</f>
        <v>489.32529999999997</v>
      </c>
    </row>
    <row r="27" spans="1:13" x14ac:dyDescent="0.2">
      <c r="A27" s="86">
        <f>Irrigated!A27</f>
        <v>4.6459999999999999</v>
      </c>
      <c r="B27" s="87">
        <f>$A$27*B$23-$F$6</f>
        <v>47.112074999999948</v>
      </c>
      <c r="C27" s="87">
        <f>$A$27*C$23-$F$6</f>
        <v>116.80207499999995</v>
      </c>
      <c r="D27" s="87">
        <f>$A$27*D$23-$F$6</f>
        <v>163.26207499999992</v>
      </c>
      <c r="E27" s="87">
        <f>$A$27*E$23-$F$6</f>
        <v>209.72207500000002</v>
      </c>
      <c r="F27" s="87">
        <f>$A$27*F$23-$F$6</f>
        <v>279.41207499999996</v>
      </c>
      <c r="H27" s="91">
        <f>Irrigated!H27</f>
        <v>425.37765957446805</v>
      </c>
      <c r="I27" s="87">
        <f>$H$27*I$23/2000-$C$6</f>
        <v>152.49092499999995</v>
      </c>
      <c r="J27" s="87">
        <f>$H$27*J$23/2000-$C$6</f>
        <v>302.4365499999999</v>
      </c>
      <c r="K27" s="87">
        <f>$H$27*K$23/2000-$C$6</f>
        <v>402.4002999999999</v>
      </c>
      <c r="L27" s="87">
        <f>$H$27*L$23/2000-$C$6</f>
        <v>502.36404999999991</v>
      </c>
      <c r="M27" s="87">
        <f>$H$27*M$23/2000-$C$6</f>
        <v>652.30967499999997</v>
      </c>
    </row>
    <row r="28" spans="1:13" x14ac:dyDescent="0.2">
      <c r="A28" s="88">
        <f>Irrigated!A28</f>
        <v>5.2520000000000007</v>
      </c>
      <c r="B28" s="89">
        <f>$A$28*B$23-$F$6</f>
        <v>92.562074999999993</v>
      </c>
      <c r="C28" s="89">
        <f>$A$28*C$23-$F$6</f>
        <v>171.34207500000002</v>
      </c>
      <c r="D28" s="89">
        <f>$A$28*D$23-$F$6</f>
        <v>223.862075</v>
      </c>
      <c r="E28" s="89">
        <f>$A$28*E$23-$F$6</f>
        <v>276.3820750000001</v>
      </c>
      <c r="F28" s="89">
        <f>$A$28*F$23-$F$6</f>
        <v>355.16207500000007</v>
      </c>
      <c r="H28" s="92">
        <f>Irrigated!H28</f>
        <v>480.86170212765961</v>
      </c>
      <c r="I28" s="89">
        <f>$H$28*I$23/2000-$C$6</f>
        <v>250.28155000000004</v>
      </c>
      <c r="J28" s="89">
        <f>$H$28*J$23/2000-$C$6</f>
        <v>419.78530000000012</v>
      </c>
      <c r="K28" s="89">
        <f>$H$28*K$23/2000-$C$6</f>
        <v>532.78780000000006</v>
      </c>
      <c r="L28" s="89">
        <f>$H$28*L$23/2000-$C$6</f>
        <v>645.79029999999989</v>
      </c>
      <c r="M28" s="89">
        <f>$H$28*M$23/2000-$C$6</f>
        <v>815.29404999999997</v>
      </c>
    </row>
    <row r="30" spans="1:13" x14ac:dyDescent="0.2">
      <c r="A30" s="444" t="s">
        <v>58</v>
      </c>
      <c r="B30" s="444"/>
      <c r="C30" s="444"/>
      <c r="D30" s="444"/>
      <c r="E30" s="444"/>
      <c r="F30" s="444"/>
    </row>
    <row r="31" spans="1:13" s="62" customFormat="1" ht="12" x14ac:dyDescent="0.2">
      <c r="A31" s="443" t="s">
        <v>36</v>
      </c>
      <c r="B31" s="443"/>
      <c r="C31" s="443"/>
      <c r="D31" s="443"/>
      <c r="E31" s="443"/>
      <c r="F31" s="443"/>
    </row>
    <row r="32" spans="1:13" x14ac:dyDescent="0.2">
      <c r="A32" s="76" t="s">
        <v>41</v>
      </c>
      <c r="B32" s="77">
        <v>-0.25</v>
      </c>
      <c r="C32" s="77">
        <v>-0.1</v>
      </c>
      <c r="D32" s="78" t="s">
        <v>37</v>
      </c>
      <c r="E32" s="79" t="s">
        <v>38</v>
      </c>
      <c r="F32" s="79" t="s">
        <v>39</v>
      </c>
    </row>
    <row r="33" spans="1:6" x14ac:dyDescent="0.2">
      <c r="A33" s="83" t="s">
        <v>42</v>
      </c>
      <c r="B33" s="78">
        <f>0.75*D33</f>
        <v>45</v>
      </c>
      <c r="C33" s="78">
        <f>0.9*D33</f>
        <v>54</v>
      </c>
      <c r="D33" s="78">
        <f>E3</f>
        <v>60</v>
      </c>
      <c r="E33" s="78">
        <f>D33*1.1</f>
        <v>66</v>
      </c>
      <c r="F33" s="78">
        <f>D33*1.25</f>
        <v>75</v>
      </c>
    </row>
    <row r="34" spans="1:6" x14ac:dyDescent="0.2">
      <c r="A34" s="84">
        <f>Irrigated!A34</f>
        <v>6.02</v>
      </c>
      <c r="B34" s="85">
        <f>$A$34*B$33-$E$6</f>
        <v>-1.9309388000000354</v>
      </c>
      <c r="C34" s="85">
        <f>$A$34*C$33-$E$6</f>
        <v>52.249061199999971</v>
      </c>
      <c r="D34" s="85">
        <f>$A$34*D$33-$E$6</f>
        <v>88.369061199999976</v>
      </c>
      <c r="E34" s="85">
        <f>$A$34*E$33-$E$6</f>
        <v>124.48906119999998</v>
      </c>
      <c r="F34" s="85">
        <f>$A$34*F$33-$E$6</f>
        <v>178.66906119999993</v>
      </c>
    </row>
    <row r="35" spans="1:6" x14ac:dyDescent="0.2">
      <c r="A35" s="86">
        <f>Irrigated!A35</f>
        <v>7.31</v>
      </c>
      <c r="B35" s="87">
        <f>$A$35*B$33-$E$6</f>
        <v>56.119061199999976</v>
      </c>
      <c r="C35" s="87">
        <f>$A$35*C$33-$E$6</f>
        <v>121.90906119999994</v>
      </c>
      <c r="D35" s="87">
        <f>$A$35*D$33-$E$6</f>
        <v>165.76906119999995</v>
      </c>
      <c r="E35" s="87">
        <f>$A$35*E$33-$E$6</f>
        <v>209.62906119999997</v>
      </c>
      <c r="F35" s="87">
        <f>$A$35*F$33-$E$6</f>
        <v>275.41906119999999</v>
      </c>
    </row>
    <row r="36" spans="1:6" x14ac:dyDescent="0.2">
      <c r="A36" s="86">
        <f>Irrigated!A36</f>
        <v>8.6</v>
      </c>
      <c r="B36" s="87">
        <f>$A$36*B$33-$E$6</f>
        <v>114.16906119999999</v>
      </c>
      <c r="C36" s="87">
        <f>$A$36*C$33-$E$6</f>
        <v>191.56906119999996</v>
      </c>
      <c r="D36" s="87">
        <f>$A$36*D$33-$E$6</f>
        <v>243.16906119999999</v>
      </c>
      <c r="E36" s="87">
        <f>$A$36*E$33-$E$6</f>
        <v>294.76906120000001</v>
      </c>
      <c r="F36" s="87">
        <f>$A$36*F$33-$E$6</f>
        <v>372.16906119999999</v>
      </c>
    </row>
    <row r="37" spans="1:6" x14ac:dyDescent="0.2">
      <c r="A37" s="86">
        <f>Irrigated!A37</f>
        <v>9.8899999999999988</v>
      </c>
      <c r="B37" s="87">
        <f>$A$37*B$33-$E$6</f>
        <v>172.21906119999994</v>
      </c>
      <c r="C37" s="87">
        <f>$A$37*C$33-$E$6</f>
        <v>261.22906119999993</v>
      </c>
      <c r="D37" s="87">
        <f>$A$37*D$33-$E$6</f>
        <v>320.56906119999996</v>
      </c>
      <c r="E37" s="87">
        <f>$A$37*E$33-$E$6</f>
        <v>379.90906119999988</v>
      </c>
      <c r="F37" s="87">
        <f>$A$37*F$33-$E$6</f>
        <v>468.91906119999987</v>
      </c>
    </row>
    <row r="38" spans="1:6" x14ac:dyDescent="0.2">
      <c r="A38" s="88">
        <f>Irrigated!A38</f>
        <v>11.18</v>
      </c>
      <c r="B38" s="89">
        <f>$A$38*B$33-$E$6</f>
        <v>230.26906119999995</v>
      </c>
      <c r="C38" s="89">
        <f>$A$38*C$33-$E$6</f>
        <v>330.88906120000001</v>
      </c>
      <c r="D38" s="89">
        <f>$A$38*D$33-$E$6</f>
        <v>397.96906119999994</v>
      </c>
      <c r="E38" s="89">
        <f>$A$38*E$33-$E$6</f>
        <v>465.04906119999998</v>
      </c>
      <c r="F38" s="89">
        <f>$A$38*F$33-$E$6</f>
        <v>565.66906119999999</v>
      </c>
    </row>
    <row r="39" spans="1:6" s="62" customFormat="1" ht="12" x14ac:dyDescent="0.2"/>
    <row r="49" s="62" customFormat="1" ht="12" x14ac:dyDescent="0.2"/>
    <row r="59" s="62" customFormat="1" ht="12" x14ac:dyDescent="0.2"/>
  </sheetData>
  <sheetProtection sheet="1" objects="1" scenarios="1"/>
  <mergeCells count="13">
    <mergeCell ref="A31:F31"/>
    <mergeCell ref="A20:F20"/>
    <mergeCell ref="A21:F21"/>
    <mergeCell ref="H21:M21"/>
    <mergeCell ref="A30:F30"/>
    <mergeCell ref="H20:M20"/>
    <mergeCell ref="B1:F1"/>
    <mergeCell ref="A7:M7"/>
    <mergeCell ref="A10:F10"/>
    <mergeCell ref="A11:F11"/>
    <mergeCell ref="H11:M11"/>
    <mergeCell ref="A9:M9"/>
    <mergeCell ref="H10:M10"/>
  </mergeCells>
  <phoneticPr fontId="2" type="noConversion"/>
  <conditionalFormatting sqref="B34:F38 I24:M28 I14:M18 B14:F18 B24:F28">
    <cfRule type="cellIs" dxfId="1" priority="1" stopIfTrue="1" operator="greaterThanOrEqual">
      <formula>0</formula>
    </cfRule>
  </conditionalFormatting>
  <printOptions horizontalCentered="1" verticalCentered="1"/>
  <pageMargins left="0.5" right="0.5" top="0.5" bottom="0.5" header="0.5" footer="0.5"/>
  <pageSetup orientation="landscape" horizontalDpi="300" verticalDpi="300"/>
  <headerFooter alignWithMargins="0">
    <oddFooter>&amp;L&amp;G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8" tint="0.59999389629810485"/>
  </sheetPr>
  <dimension ref="A1:M59"/>
  <sheetViews>
    <sheetView topLeftCell="A7" workbookViewId="0">
      <selection sqref="A1:I1"/>
    </sheetView>
  </sheetViews>
  <sheetFormatPr defaultColWidth="9.7109375" defaultRowHeight="12.75" x14ac:dyDescent="0.2"/>
  <cols>
    <col min="1" max="13" width="9.28515625" style="75" customWidth="1"/>
    <col min="14" max="16384" width="9.7109375" style="75"/>
  </cols>
  <sheetData>
    <row r="1" spans="1:13" s="62" customFormat="1" ht="12" hidden="1" x14ac:dyDescent="0.2">
      <c r="B1" s="452" t="s">
        <v>46</v>
      </c>
      <c r="C1" s="452"/>
      <c r="D1" s="452"/>
      <c r="E1" s="452"/>
      <c r="F1" s="452"/>
      <c r="G1" s="93"/>
    </row>
    <row r="2" spans="1:13" s="62" customFormat="1" ht="12" hidden="1" x14ac:dyDescent="0.2">
      <c r="A2" s="63" t="s">
        <v>40</v>
      </c>
      <c r="B2" s="64" t="str">
        <f>Conventional!L6</f>
        <v>Cotton</v>
      </c>
      <c r="C2" s="64" t="str">
        <f>Conventional!N6</f>
        <v>Peanuts</v>
      </c>
      <c r="D2" s="64" t="str">
        <f>Conventional!P6</f>
        <v>Corn</v>
      </c>
      <c r="E2" s="64" t="str">
        <f>Conventional!R6</f>
        <v>Soybeans</v>
      </c>
      <c r="F2" s="64" t="str">
        <f>Conventional!T6</f>
        <v>Sorghum</v>
      </c>
    </row>
    <row r="3" spans="1:13" s="62" customFormat="1" ht="12" hidden="1" x14ac:dyDescent="0.2">
      <c r="A3" s="63" t="s">
        <v>41</v>
      </c>
      <c r="B3" s="65">
        <f>'Strip-Till'!L7</f>
        <v>750</v>
      </c>
      <c r="C3" s="65">
        <f>'Strip-Till'!N7</f>
        <v>3400</v>
      </c>
      <c r="D3" s="65">
        <f>'Strip-Till'!P7</f>
        <v>85</v>
      </c>
      <c r="E3" s="65">
        <f>'Strip-Till'!R7</f>
        <v>30</v>
      </c>
      <c r="F3" s="65">
        <f>'Strip-Till'!T7</f>
        <v>65</v>
      </c>
    </row>
    <row r="4" spans="1:13" s="62" customFormat="1" ht="12" hidden="1" x14ac:dyDescent="0.2">
      <c r="A4" s="62" t="s">
        <v>42</v>
      </c>
      <c r="B4" s="67">
        <f>'Strip-Till'!L8</f>
        <v>0.7</v>
      </c>
      <c r="C4" s="68">
        <f>'Strip-Till'!N8</f>
        <v>370.44117647058823</v>
      </c>
      <c r="D4" s="69">
        <f>'Strip-Till'!P8</f>
        <v>4.25</v>
      </c>
      <c r="E4" s="69">
        <f>'Strip-Till'!R8</f>
        <v>8.6</v>
      </c>
      <c r="F4" s="69">
        <f>'Strip-Till'!T8</f>
        <v>4.04</v>
      </c>
    </row>
    <row r="5" spans="1:13" s="62" customFormat="1" ht="12" hidden="1" x14ac:dyDescent="0.2">
      <c r="A5" s="70" t="s">
        <v>44</v>
      </c>
      <c r="B5" s="71">
        <f>B3*B4</f>
        <v>525</v>
      </c>
      <c r="C5" s="71">
        <f>C3*C4/2000</f>
        <v>629.75</v>
      </c>
      <c r="D5" s="71">
        <f>D3*D4</f>
        <v>361.25</v>
      </c>
      <c r="E5" s="71">
        <f>E3*E4</f>
        <v>258</v>
      </c>
      <c r="F5" s="71">
        <f>F3*F4</f>
        <v>262.60000000000002</v>
      </c>
    </row>
    <row r="6" spans="1:13" s="62" customFormat="1" ht="12" hidden="1" x14ac:dyDescent="0.2">
      <c r="A6" s="70" t="s">
        <v>43</v>
      </c>
      <c r="B6" s="73">
        <f>'Strip-Till'!L31</f>
        <v>444.85231845833334</v>
      </c>
      <c r="C6" s="73">
        <f>'Strip-Till'!N31</f>
        <v>528.38782500000002</v>
      </c>
      <c r="D6" s="73">
        <f>'Strip-Till'!P31</f>
        <v>297.88728235000002</v>
      </c>
      <c r="E6" s="73">
        <f>'Strip-Till'!R31</f>
        <v>208.26554402500003</v>
      </c>
      <c r="F6" s="73">
        <f>'Strip-Till'!T31</f>
        <v>198.33072341249999</v>
      </c>
    </row>
    <row r="7" spans="1:13" s="62" customFormat="1" ht="15.75" x14ac:dyDescent="0.25">
      <c r="A7" s="451" t="s">
        <v>131</v>
      </c>
      <c r="B7" s="451"/>
      <c r="C7" s="451"/>
      <c r="D7" s="451"/>
      <c r="E7" s="451"/>
      <c r="F7" s="451"/>
      <c r="G7" s="451"/>
      <c r="H7" s="451"/>
      <c r="I7" s="451"/>
      <c r="J7" s="451"/>
      <c r="K7" s="451"/>
      <c r="L7" s="451"/>
      <c r="M7" s="451"/>
    </row>
    <row r="8" spans="1:13" s="62" customFormat="1" ht="15.75" x14ac:dyDescent="0.25">
      <c r="A8" s="60" t="s">
        <v>35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</row>
    <row r="9" spans="1:13" x14ac:dyDescent="0.2">
      <c r="A9" s="450" t="s">
        <v>154</v>
      </c>
      <c r="B9" s="450"/>
      <c r="C9" s="450"/>
      <c r="D9" s="450"/>
      <c r="E9" s="450"/>
      <c r="F9" s="450"/>
      <c r="G9" s="450"/>
      <c r="H9" s="450"/>
      <c r="I9" s="450"/>
      <c r="J9" s="450"/>
      <c r="K9" s="450"/>
      <c r="L9" s="450"/>
      <c r="M9" s="450"/>
    </row>
    <row r="10" spans="1:13" x14ac:dyDescent="0.2">
      <c r="A10" s="444" t="s">
        <v>59</v>
      </c>
      <c r="B10" s="444"/>
      <c r="C10" s="444"/>
      <c r="D10" s="444"/>
      <c r="E10" s="444"/>
      <c r="F10" s="444"/>
      <c r="H10" s="444" t="s">
        <v>62</v>
      </c>
      <c r="I10" s="444"/>
      <c r="J10" s="444"/>
      <c r="K10" s="444"/>
      <c r="L10" s="444"/>
      <c r="M10" s="444"/>
    </row>
    <row r="11" spans="1:13" s="62" customFormat="1" ht="12" x14ac:dyDescent="0.2">
      <c r="A11" s="443" t="s">
        <v>36</v>
      </c>
      <c r="B11" s="443"/>
      <c r="C11" s="443"/>
      <c r="D11" s="443"/>
      <c r="E11" s="443"/>
      <c r="F11" s="443"/>
      <c r="H11" s="447" t="s">
        <v>36</v>
      </c>
      <c r="I11" s="447"/>
      <c r="J11" s="447"/>
      <c r="K11" s="447"/>
      <c r="L11" s="447"/>
      <c r="M11" s="447"/>
    </row>
    <row r="12" spans="1:13" x14ac:dyDescent="0.2">
      <c r="A12" s="76" t="s">
        <v>41</v>
      </c>
      <c r="B12" s="77">
        <v>-0.25</v>
      </c>
      <c r="C12" s="77">
        <v>-0.1</v>
      </c>
      <c r="D12" s="78" t="s">
        <v>37</v>
      </c>
      <c r="E12" s="79" t="s">
        <v>38</v>
      </c>
      <c r="F12" s="79" t="s">
        <v>39</v>
      </c>
      <c r="H12" s="76" t="s">
        <v>41</v>
      </c>
      <c r="I12" s="80">
        <v>-0.25</v>
      </c>
      <c r="J12" s="80">
        <v>-0.1</v>
      </c>
      <c r="K12" s="81" t="s">
        <v>37</v>
      </c>
      <c r="L12" s="82" t="s">
        <v>38</v>
      </c>
      <c r="M12" s="82" t="s">
        <v>39</v>
      </c>
    </row>
    <row r="13" spans="1:13" x14ac:dyDescent="0.2">
      <c r="A13" s="83" t="s">
        <v>42</v>
      </c>
      <c r="B13" s="78">
        <f>0.75*D13</f>
        <v>63.75</v>
      </c>
      <c r="C13" s="78">
        <f>0.9*D13</f>
        <v>76.5</v>
      </c>
      <c r="D13" s="78">
        <f>D3</f>
        <v>85</v>
      </c>
      <c r="E13" s="78">
        <f>D13*1.1</f>
        <v>93.500000000000014</v>
      </c>
      <c r="F13" s="78">
        <f>D13*1.25</f>
        <v>106.25</v>
      </c>
      <c r="H13" s="83" t="s">
        <v>42</v>
      </c>
      <c r="I13" s="81">
        <f>0.75*K13</f>
        <v>562.5</v>
      </c>
      <c r="J13" s="81">
        <f>0.9*K13</f>
        <v>675</v>
      </c>
      <c r="K13" s="81">
        <f>B3</f>
        <v>750</v>
      </c>
      <c r="L13" s="81">
        <f>K13*1.1</f>
        <v>825.00000000000011</v>
      </c>
      <c r="M13" s="81">
        <f>K13*1.25</f>
        <v>937.5</v>
      </c>
    </row>
    <row r="14" spans="1:13" x14ac:dyDescent="0.2">
      <c r="A14" s="84">
        <f>Irrigated!A14</f>
        <v>2.9749999999999996</v>
      </c>
      <c r="B14" s="85">
        <f>$A$14*B$13-$D$6</f>
        <v>-108.23103235000005</v>
      </c>
      <c r="C14" s="85">
        <f>$A$14*C$13-$D$6</f>
        <v>-70.299782350000044</v>
      </c>
      <c r="D14" s="85">
        <f>$A$14*D$13-$D$6</f>
        <v>-45.012282350000049</v>
      </c>
      <c r="E14" s="85">
        <f>$A$14*E$13-$D$6</f>
        <v>-19.724782349999998</v>
      </c>
      <c r="F14" s="85">
        <f>$A$14*F$13-$D$6</f>
        <v>18.206467649999922</v>
      </c>
      <c r="H14" s="84">
        <f>Irrigated!H14</f>
        <v>0.48999999999999994</v>
      </c>
      <c r="I14" s="85">
        <f>$H$14*I$13-$B$6</f>
        <v>-169.2273184583334</v>
      </c>
      <c r="J14" s="85">
        <f>$H$14*J$13-$B$6</f>
        <v>-114.1023184583334</v>
      </c>
      <c r="K14" s="85">
        <f>$H$14*K$13-$B$6</f>
        <v>-77.3523184583334</v>
      </c>
      <c r="L14" s="85">
        <f>$H$14*L$13-$B$6</f>
        <v>-40.602318458333343</v>
      </c>
      <c r="M14" s="85">
        <f>$H$14*M$13-$B$6</f>
        <v>14.5226815416666</v>
      </c>
    </row>
    <row r="15" spans="1:13" x14ac:dyDescent="0.2">
      <c r="A15" s="86">
        <f>Irrigated!A15</f>
        <v>3.6124999999999998</v>
      </c>
      <c r="B15" s="87">
        <f>$A$15*B$13-$D$6</f>
        <v>-67.590407350000021</v>
      </c>
      <c r="C15" s="87">
        <f>$A$15*C$13-$D$6</f>
        <v>-21.531032350000032</v>
      </c>
      <c r="D15" s="87">
        <f>$A$15*D$13-$D$6</f>
        <v>9.1752176499999791</v>
      </c>
      <c r="E15" s="87">
        <f>$A$15*E$13-$D$6</f>
        <v>39.88146764999999</v>
      </c>
      <c r="F15" s="87">
        <f>$A$15*F$13-$D$6</f>
        <v>85.940842649999979</v>
      </c>
      <c r="H15" s="86">
        <f>Irrigated!H15</f>
        <v>0.59499999999999997</v>
      </c>
      <c r="I15" s="87">
        <f>$H$15*I$13-$B$6</f>
        <v>-110.16481845833334</v>
      </c>
      <c r="J15" s="87">
        <f>$H$15*J$13-$B$6</f>
        <v>-43.227318458333343</v>
      </c>
      <c r="K15" s="87">
        <f>$H$15*K$13-$B$6</f>
        <v>1.3976815416666568</v>
      </c>
      <c r="L15" s="87">
        <f>$H$15*L$13-$B$6</f>
        <v>46.022681541666714</v>
      </c>
      <c r="M15" s="87">
        <f>$H$15*M$13-$B$6</f>
        <v>112.96018154166666</v>
      </c>
    </row>
    <row r="16" spans="1:13" x14ac:dyDescent="0.2">
      <c r="A16" s="86">
        <f>Irrigated!A16</f>
        <v>4.25</v>
      </c>
      <c r="B16" s="87">
        <f>$A$16*B$13-$D$6</f>
        <v>-26.949782350000021</v>
      </c>
      <c r="C16" s="87">
        <f>$A$16*C$13-$D$6</f>
        <v>27.237717649999979</v>
      </c>
      <c r="D16" s="87">
        <f>$A$16*D$13-$D$6</f>
        <v>63.362717649999979</v>
      </c>
      <c r="E16" s="87">
        <f>$A$16*E$13-$D$6</f>
        <v>99.487717650000036</v>
      </c>
      <c r="F16" s="87">
        <f>$A$16*F$13-$D$6</f>
        <v>153.67521764999998</v>
      </c>
      <c r="H16" s="86">
        <f>Irrigated!H16</f>
        <v>0.7</v>
      </c>
      <c r="I16" s="87">
        <f>$H$16*I$13-$B$6</f>
        <v>-51.102318458333343</v>
      </c>
      <c r="J16" s="87">
        <f>$H$16*J$13-$B$6</f>
        <v>27.6476815416666</v>
      </c>
      <c r="K16" s="87">
        <f>$H$16*K$13-$B$6</f>
        <v>80.147681541666657</v>
      </c>
      <c r="L16" s="87">
        <f>$H$16*L$13-$B$6</f>
        <v>132.64768154166666</v>
      </c>
      <c r="M16" s="87">
        <f>$H$16*M$13-$B$6</f>
        <v>211.39768154166666</v>
      </c>
    </row>
    <row r="17" spans="1:13" x14ac:dyDescent="0.2">
      <c r="A17" s="86">
        <f>Irrigated!A17</f>
        <v>4.8874999999999993</v>
      </c>
      <c r="B17" s="87">
        <f>$A$17*B$13-$D$6</f>
        <v>13.690842649999922</v>
      </c>
      <c r="C17" s="87">
        <f>$A$17*C$13-$D$6</f>
        <v>76.006467649999934</v>
      </c>
      <c r="D17" s="87">
        <f>$A$17*D$13-$D$6</f>
        <v>117.55021764999992</v>
      </c>
      <c r="E17" s="87">
        <f>$A$17*E$13-$D$6</f>
        <v>159.09396764999997</v>
      </c>
      <c r="F17" s="87">
        <f>$A$17*F$13-$D$6</f>
        <v>221.40959264999987</v>
      </c>
      <c r="H17" s="86">
        <f>Irrigated!H17</f>
        <v>0.80499999999999994</v>
      </c>
      <c r="I17" s="87">
        <f>$H$17*I$13-$B$6</f>
        <v>7.9601815416666</v>
      </c>
      <c r="J17" s="87">
        <f>$H$17*J$13-$B$6</f>
        <v>98.522681541666657</v>
      </c>
      <c r="K17" s="87">
        <f>$H$17*K$13-$B$6</f>
        <v>158.89768154166666</v>
      </c>
      <c r="L17" s="87">
        <f>$H$17*L$13-$B$6</f>
        <v>219.27268154166666</v>
      </c>
      <c r="M17" s="87">
        <f>$H$17*M$13-$B$6</f>
        <v>309.83518154166654</v>
      </c>
    </row>
    <row r="18" spans="1:13" x14ac:dyDescent="0.2">
      <c r="A18" s="88">
        <f>Irrigated!A18</f>
        <v>5.5250000000000004</v>
      </c>
      <c r="B18" s="89">
        <f>$A$18*B$13-$D$6</f>
        <v>54.331467649999979</v>
      </c>
      <c r="C18" s="89">
        <f>$A$18*C$13-$D$6</f>
        <v>124.77521765</v>
      </c>
      <c r="D18" s="89">
        <f>$A$18*D$13-$D$6</f>
        <v>171.73771765000004</v>
      </c>
      <c r="E18" s="89">
        <f>$A$18*E$13-$D$6</f>
        <v>218.70021765000007</v>
      </c>
      <c r="F18" s="89">
        <f>$A$18*F$13-$D$6</f>
        <v>289.14396764999998</v>
      </c>
      <c r="H18" s="88">
        <f>Irrigated!H18</f>
        <v>0.90999999999999992</v>
      </c>
      <c r="I18" s="89">
        <f>$H$18*I$13-$B$6</f>
        <v>67.0226815416666</v>
      </c>
      <c r="J18" s="89">
        <f>$H$18*J$13-$B$6</f>
        <v>169.39768154166666</v>
      </c>
      <c r="K18" s="89">
        <f>$H$18*K$13-$B$6</f>
        <v>237.64768154166654</v>
      </c>
      <c r="L18" s="89">
        <f>$H$18*L$13-$B$6</f>
        <v>305.89768154166666</v>
      </c>
      <c r="M18" s="89">
        <f>$H$18*M$13-$B$6</f>
        <v>408.27268154166654</v>
      </c>
    </row>
    <row r="20" spans="1:13" x14ac:dyDescent="0.2">
      <c r="A20" s="444" t="s">
        <v>60</v>
      </c>
      <c r="B20" s="444"/>
      <c r="C20" s="444"/>
      <c r="D20" s="444"/>
      <c r="E20" s="444"/>
      <c r="F20" s="444"/>
      <c r="H20" s="445" t="s">
        <v>123</v>
      </c>
      <c r="I20" s="445"/>
      <c r="J20" s="445"/>
      <c r="K20" s="445"/>
      <c r="L20" s="445"/>
      <c r="M20" s="445"/>
    </row>
    <row r="21" spans="1:13" s="62" customFormat="1" ht="12" x14ac:dyDescent="0.2">
      <c r="A21" s="443" t="s">
        <v>36</v>
      </c>
      <c r="B21" s="443"/>
      <c r="C21" s="443"/>
      <c r="D21" s="443"/>
      <c r="E21" s="443"/>
      <c r="F21" s="443"/>
      <c r="H21" s="446" t="s">
        <v>36</v>
      </c>
      <c r="I21" s="446"/>
      <c r="J21" s="446"/>
      <c r="K21" s="446"/>
      <c r="L21" s="446"/>
      <c r="M21" s="446"/>
    </row>
    <row r="22" spans="1:13" x14ac:dyDescent="0.2">
      <c r="A22" s="76" t="s">
        <v>41</v>
      </c>
      <c r="B22" s="77">
        <v>-0.25</v>
      </c>
      <c r="C22" s="77">
        <v>-0.1</v>
      </c>
      <c r="D22" s="78" t="s">
        <v>37</v>
      </c>
      <c r="E22" s="79" t="s">
        <v>38</v>
      </c>
      <c r="F22" s="79" t="s">
        <v>39</v>
      </c>
      <c r="H22" s="76" t="s">
        <v>41</v>
      </c>
      <c r="I22" s="77">
        <v>-0.25</v>
      </c>
      <c r="J22" s="77">
        <v>-0.1</v>
      </c>
      <c r="K22" s="78" t="s">
        <v>37</v>
      </c>
      <c r="L22" s="79" t="s">
        <v>38</v>
      </c>
      <c r="M22" s="79" t="s">
        <v>39</v>
      </c>
    </row>
    <row r="23" spans="1:13" x14ac:dyDescent="0.2">
      <c r="A23" s="83" t="s">
        <v>42</v>
      </c>
      <c r="B23" s="78">
        <f>0.75*D23</f>
        <v>48.75</v>
      </c>
      <c r="C23" s="78">
        <f>0.9*D23</f>
        <v>58.5</v>
      </c>
      <c r="D23" s="78">
        <f>F3</f>
        <v>65</v>
      </c>
      <c r="E23" s="78">
        <f>D23*1.1</f>
        <v>71.5</v>
      </c>
      <c r="F23" s="78">
        <f>D23*1.25</f>
        <v>81.25</v>
      </c>
      <c r="H23" s="83" t="s">
        <v>42</v>
      </c>
      <c r="I23" s="78">
        <f>0.75*K23</f>
        <v>2550</v>
      </c>
      <c r="J23" s="78">
        <f>0.9*K23</f>
        <v>3060</v>
      </c>
      <c r="K23" s="78">
        <f>C3</f>
        <v>3400</v>
      </c>
      <c r="L23" s="78">
        <f>K23*1.1</f>
        <v>3740.0000000000005</v>
      </c>
      <c r="M23" s="78">
        <f>K23*1.25</f>
        <v>4250</v>
      </c>
    </row>
    <row r="24" spans="1:13" x14ac:dyDescent="0.2">
      <c r="A24" s="84">
        <f>Irrigated!A24</f>
        <v>2.8279999999999998</v>
      </c>
      <c r="B24" s="85">
        <f>$A$24*B$23-$F$6</f>
        <v>-60.465723412500012</v>
      </c>
      <c r="C24" s="85">
        <f>$A$24*C$23-$F$6</f>
        <v>-32.892723412500004</v>
      </c>
      <c r="D24" s="85">
        <f>$A$24*D$23-$F$6</f>
        <v>-14.510723412499999</v>
      </c>
      <c r="E24" s="85">
        <f>$A$24*E$23-$F$6</f>
        <v>3.8712765875000059</v>
      </c>
      <c r="F24" s="85">
        <f>$A$24*F$23-$F$6</f>
        <v>31.444276587499985</v>
      </c>
      <c r="H24" s="90">
        <f>Irrigated!H24</f>
        <v>258.92553191489361</v>
      </c>
      <c r="I24" s="85">
        <f>$H$24*I$23/2000-$C$6</f>
        <v>-198.25777180851065</v>
      </c>
      <c r="J24" s="85">
        <f>$H$24*J$23/2000-$C$6</f>
        <v>-132.23176117021279</v>
      </c>
      <c r="K24" s="85">
        <f>$H$24*K$23/2000-$C$6</f>
        <v>-88.214420744680865</v>
      </c>
      <c r="L24" s="85">
        <f>$H$24*L$23/2000-$C$6</f>
        <v>-44.197080319148881</v>
      </c>
      <c r="M24" s="85">
        <f>$H$24*M$23/2000-$C$6</f>
        <v>21.828930319148867</v>
      </c>
    </row>
    <row r="25" spans="1:13" x14ac:dyDescent="0.2">
      <c r="A25" s="86">
        <f>Irrigated!A25</f>
        <v>3.4339999999999997</v>
      </c>
      <c r="B25" s="87">
        <f>$A$25*B$23-$F$6</f>
        <v>-30.923223412499993</v>
      </c>
      <c r="C25" s="87">
        <f>$A$25*C$23-$F$6</f>
        <v>2.5582765874999893</v>
      </c>
      <c r="D25" s="87">
        <f>$A$25*D$23-$F$6</f>
        <v>24.879276587499987</v>
      </c>
      <c r="E25" s="87">
        <f>$A$25*E$23-$F$6</f>
        <v>47.200276587499985</v>
      </c>
      <c r="F25" s="87">
        <f>$A$25*F$23-$F$6</f>
        <v>80.681776587499996</v>
      </c>
      <c r="H25" s="91">
        <f>Irrigated!H25</f>
        <v>314.40957446808511</v>
      </c>
      <c r="I25" s="87">
        <f>$H$25*I$23/2000-$C$6</f>
        <v>-127.51561755319148</v>
      </c>
      <c r="J25" s="87">
        <f>$H$25*J$23/2000-$C$6</f>
        <v>-47.341176063829835</v>
      </c>
      <c r="K25" s="87">
        <f>$H$25*K$23/2000-$C$6</f>
        <v>6.1084515957446683</v>
      </c>
      <c r="L25" s="87">
        <f>$H$25*L$23/2000-$C$6</f>
        <v>59.558079255319285</v>
      </c>
      <c r="M25" s="87">
        <f>$H$25*M$23/2000-$C$6</f>
        <v>139.73252074468087</v>
      </c>
    </row>
    <row r="26" spans="1:13" x14ac:dyDescent="0.2">
      <c r="A26" s="86">
        <f>Irrigated!A26</f>
        <v>4.04</v>
      </c>
      <c r="B26" s="87">
        <f>$A$26*B$23-$F$6</f>
        <v>-1.3807234125000036</v>
      </c>
      <c r="C26" s="87">
        <f>$A$26*C$23-$F$6</f>
        <v>38.009276587500011</v>
      </c>
      <c r="D26" s="87">
        <f>$A$26*D$23-$F$6</f>
        <v>64.26927658750003</v>
      </c>
      <c r="E26" s="87">
        <f>$A$26*E$23-$F$6</f>
        <v>90.529276587500021</v>
      </c>
      <c r="F26" s="87">
        <f>$A$26*F$23-$F$6</f>
        <v>129.91927658750001</v>
      </c>
      <c r="H26" s="91">
        <f>Irrigated!H26</f>
        <v>369.89361702127661</v>
      </c>
      <c r="I26" s="87">
        <f>$H$26*I$23/2000-$C$6</f>
        <v>-56.773463297872354</v>
      </c>
      <c r="J26" s="87">
        <f>$H$26*J$23/2000-$C$6</f>
        <v>37.549409042553179</v>
      </c>
      <c r="K26" s="87">
        <f>$H$26*K$23/2000-$C$6</f>
        <v>100.4313239361702</v>
      </c>
      <c r="L26" s="87">
        <f>$H$26*L$23/2000-$C$6</f>
        <v>163.31323882978734</v>
      </c>
      <c r="M26" s="87">
        <f>$H$26*M$23/2000-$C$6</f>
        <v>257.63611117021276</v>
      </c>
    </row>
    <row r="27" spans="1:13" x14ac:dyDescent="0.2">
      <c r="A27" s="86">
        <f>Irrigated!A27</f>
        <v>4.6459999999999999</v>
      </c>
      <c r="B27" s="87">
        <f>$A$27*B$23-$F$6</f>
        <v>28.161776587500015</v>
      </c>
      <c r="C27" s="87">
        <f>$A$27*C$23-$F$6</f>
        <v>73.460276587500005</v>
      </c>
      <c r="D27" s="87">
        <f>$A$27*D$23-$F$6</f>
        <v>103.65927658750002</v>
      </c>
      <c r="E27" s="87">
        <f>$A$27*E$23-$F$6</f>
        <v>133.85827658750003</v>
      </c>
      <c r="F27" s="87">
        <f>$A$27*F$23-$F$6</f>
        <v>179.15677658750002</v>
      </c>
      <c r="H27" s="91">
        <f>Irrigated!H27</f>
        <v>425.37765957446805</v>
      </c>
      <c r="I27" s="87">
        <f>$H$27*I$23/2000-$C$6</f>
        <v>13.968690957446711</v>
      </c>
      <c r="J27" s="87">
        <f>$H$27*J$23/2000-$C$6</f>
        <v>122.43999414893608</v>
      </c>
      <c r="K27" s="87">
        <f>$H$27*K$23/2000-$C$6</f>
        <v>194.75419627659562</v>
      </c>
      <c r="L27" s="87">
        <f>$H$27*L$23/2000-$C$6</f>
        <v>267.06839840425528</v>
      </c>
      <c r="M27" s="87">
        <f>$H$27*M$23/2000-$C$6</f>
        <v>375.53970159574465</v>
      </c>
    </row>
    <row r="28" spans="1:13" x14ac:dyDescent="0.2">
      <c r="A28" s="88">
        <f>Irrigated!A28</f>
        <v>5.2520000000000007</v>
      </c>
      <c r="B28" s="89">
        <f>$A$28*B$23-$F$6</f>
        <v>57.704276587500033</v>
      </c>
      <c r="C28" s="89">
        <f>$A$28*C$23-$F$6</f>
        <v>108.91127658750003</v>
      </c>
      <c r="D28" s="89">
        <f>$A$28*D$23-$F$6</f>
        <v>143.04927658750006</v>
      </c>
      <c r="E28" s="89">
        <f>$A$28*E$23-$F$6</f>
        <v>177.18727658750004</v>
      </c>
      <c r="F28" s="89">
        <f>$A$28*F$23-$F$6</f>
        <v>228.39427658750009</v>
      </c>
      <c r="H28" s="92">
        <f>Irrigated!H28</f>
        <v>480.86170212765961</v>
      </c>
      <c r="I28" s="89">
        <f>$H$28*I$23/2000-$C$6</f>
        <v>84.710845212766003</v>
      </c>
      <c r="J28" s="89">
        <f>$H$28*J$23/2000-$C$6</f>
        <v>207.33057925531909</v>
      </c>
      <c r="K28" s="89">
        <f>$H$28*K$23/2000-$C$6</f>
        <v>289.07706861702138</v>
      </c>
      <c r="L28" s="89">
        <f>$H$28*L$23/2000-$C$6</f>
        <v>370.82355797872356</v>
      </c>
      <c r="M28" s="89">
        <f>$H$28*M$23/2000-$C$6</f>
        <v>493.44329202127676</v>
      </c>
    </row>
    <row r="30" spans="1:13" x14ac:dyDescent="0.2">
      <c r="A30" s="444" t="s">
        <v>61</v>
      </c>
      <c r="B30" s="444"/>
      <c r="C30" s="444"/>
      <c r="D30" s="444"/>
      <c r="E30" s="444"/>
      <c r="F30" s="444"/>
    </row>
    <row r="31" spans="1:13" s="62" customFormat="1" ht="12" x14ac:dyDescent="0.2">
      <c r="A31" s="443" t="s">
        <v>36</v>
      </c>
      <c r="B31" s="443"/>
      <c r="C31" s="443"/>
      <c r="D31" s="443"/>
      <c r="E31" s="443"/>
      <c r="F31" s="443"/>
    </row>
    <row r="32" spans="1:13" x14ac:dyDescent="0.2">
      <c r="A32" s="76" t="s">
        <v>41</v>
      </c>
      <c r="B32" s="77">
        <v>-0.25</v>
      </c>
      <c r="C32" s="77">
        <v>-0.1</v>
      </c>
      <c r="D32" s="78" t="s">
        <v>37</v>
      </c>
      <c r="E32" s="79" t="s">
        <v>38</v>
      </c>
      <c r="F32" s="79" t="s">
        <v>39</v>
      </c>
      <c r="I32" s="62"/>
    </row>
    <row r="33" spans="1:9" x14ac:dyDescent="0.2">
      <c r="A33" s="83" t="s">
        <v>42</v>
      </c>
      <c r="B33" s="78">
        <f>0.75*D33</f>
        <v>22.5</v>
      </c>
      <c r="C33" s="78">
        <f>0.9*D33</f>
        <v>27</v>
      </c>
      <c r="D33" s="78">
        <f>E3</f>
        <v>30</v>
      </c>
      <c r="E33" s="78">
        <f>D33*1.1</f>
        <v>33</v>
      </c>
      <c r="F33" s="78">
        <f>D33*1.25</f>
        <v>37.5</v>
      </c>
      <c r="I33" s="62"/>
    </row>
    <row r="34" spans="1:9" x14ac:dyDescent="0.2">
      <c r="A34" s="84">
        <f>Irrigated!A34</f>
        <v>6.02</v>
      </c>
      <c r="B34" s="85">
        <f>$A$34*B$33-$E$6</f>
        <v>-72.815544025000037</v>
      </c>
      <c r="C34" s="85">
        <f>$A$34*C$33-$E$6</f>
        <v>-45.725544025000033</v>
      </c>
      <c r="D34" s="85">
        <f>$A$34*D$33-$E$6</f>
        <v>-27.665544025000031</v>
      </c>
      <c r="E34" s="85">
        <f>$A$34*E$33-$E$6</f>
        <v>-9.6055440250000288</v>
      </c>
      <c r="F34" s="85">
        <f>$A$34*F$33-$E$6</f>
        <v>17.484455974999946</v>
      </c>
      <c r="I34" s="62"/>
    </row>
    <row r="35" spans="1:9" x14ac:dyDescent="0.2">
      <c r="A35" s="86">
        <f>Irrigated!A35</f>
        <v>7.31</v>
      </c>
      <c r="B35" s="87">
        <f>$A$35*B$33-$E$6</f>
        <v>-43.790544025000031</v>
      </c>
      <c r="C35" s="87">
        <f>$A$35*C$33-$E$6</f>
        <v>-10.895544025000049</v>
      </c>
      <c r="D35" s="87">
        <f>$A$35*D$33-$E$6</f>
        <v>11.034455974999958</v>
      </c>
      <c r="E35" s="87">
        <f>$A$35*E$33-$E$6</f>
        <v>32.964455974999964</v>
      </c>
      <c r="F35" s="87">
        <f>$A$35*F$33-$E$6</f>
        <v>65.859455974999975</v>
      </c>
      <c r="I35" s="62"/>
    </row>
    <row r="36" spans="1:9" x14ac:dyDescent="0.2">
      <c r="A36" s="86">
        <f>Irrigated!A36</f>
        <v>8.6</v>
      </c>
      <c r="B36" s="87">
        <f>$A$36*B$33-$E$6</f>
        <v>-14.765544025000025</v>
      </c>
      <c r="C36" s="87">
        <f>$A$36*C$33-$E$6</f>
        <v>23.934455974999963</v>
      </c>
      <c r="D36" s="87">
        <f>$A$36*D$33-$E$6</f>
        <v>49.734455974999975</v>
      </c>
      <c r="E36" s="87">
        <f>$A$36*E$33-$E$6</f>
        <v>75.534455974999986</v>
      </c>
      <c r="F36" s="87">
        <f>$A$36*F$33-$E$6</f>
        <v>114.23445597499997</v>
      </c>
      <c r="I36" s="62"/>
    </row>
    <row r="37" spans="1:9" x14ac:dyDescent="0.2">
      <c r="A37" s="86">
        <f>Irrigated!A37</f>
        <v>9.8899999999999988</v>
      </c>
      <c r="B37" s="87">
        <f>$A$37*B$33-$E$6</f>
        <v>14.259455974999952</v>
      </c>
      <c r="C37" s="87">
        <f>$A$37*C$33-$E$6</f>
        <v>58.764455974999947</v>
      </c>
      <c r="D37" s="87">
        <f>$A$37*D$33-$E$6</f>
        <v>88.434455974999963</v>
      </c>
      <c r="E37" s="87">
        <f>$A$37*E$33-$E$6</f>
        <v>118.10445597499992</v>
      </c>
      <c r="F37" s="87">
        <f>$A$37*F$33-$E$6</f>
        <v>162.60945597499992</v>
      </c>
      <c r="I37" s="62"/>
    </row>
    <row r="38" spans="1:9" x14ac:dyDescent="0.2">
      <c r="A38" s="88">
        <f>Irrigated!A38</f>
        <v>11.18</v>
      </c>
      <c r="B38" s="89">
        <f>$A$38*B$33-$E$6</f>
        <v>43.284455974999958</v>
      </c>
      <c r="C38" s="89">
        <f>$A$38*C$33-$E$6</f>
        <v>93.594455974999988</v>
      </c>
      <c r="D38" s="89">
        <f>$A$38*D$33-$E$6</f>
        <v>127.13445597499995</v>
      </c>
      <c r="E38" s="89">
        <f>$A$38*E$33-$E$6</f>
        <v>160.67445597499997</v>
      </c>
      <c r="F38" s="89">
        <f>$A$38*F$33-$E$6</f>
        <v>210.98445597499997</v>
      </c>
      <c r="I38" s="62"/>
    </row>
    <row r="39" spans="1:9" s="62" customFormat="1" ht="12" x14ac:dyDescent="0.2"/>
    <row r="49" s="62" customFormat="1" ht="12" x14ac:dyDescent="0.2"/>
    <row r="59" s="62" customFormat="1" ht="12" x14ac:dyDescent="0.2"/>
  </sheetData>
  <sheetProtection sheet="1" objects="1" scenarios="1"/>
  <mergeCells count="13">
    <mergeCell ref="B1:F1"/>
    <mergeCell ref="A31:F31"/>
    <mergeCell ref="A20:F20"/>
    <mergeCell ref="A21:F21"/>
    <mergeCell ref="A7:M7"/>
    <mergeCell ref="H21:M21"/>
    <mergeCell ref="A10:F10"/>
    <mergeCell ref="A11:F11"/>
    <mergeCell ref="A30:F30"/>
    <mergeCell ref="H10:M10"/>
    <mergeCell ref="H11:M11"/>
    <mergeCell ref="A9:M9"/>
    <mergeCell ref="H20:M20"/>
  </mergeCells>
  <phoneticPr fontId="2" type="noConversion"/>
  <conditionalFormatting sqref="B14:F18 I14:M18 I24:M28 B24:F28 B34:F38">
    <cfRule type="cellIs" dxfId="0" priority="1" stopIfTrue="1" operator="greaterThanOrEqual">
      <formula>0</formula>
    </cfRule>
  </conditionalFormatting>
  <printOptions horizontalCentered="1" verticalCentered="1"/>
  <pageMargins left="0.5" right="0.5" top="0.5" bottom="0.5" header="0.5" footer="0.5"/>
  <pageSetup orientation="landscape" horizontalDpi="300" verticalDpi="300"/>
  <headerFooter alignWithMargins="0">
    <oddFooter>&amp;L&amp;G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99"/>
    <pageSetUpPr fitToPage="1"/>
  </sheetPr>
  <dimension ref="A1:BE447"/>
  <sheetViews>
    <sheetView tabSelected="1" zoomScale="170" zoomScaleNormal="170" zoomScaleSheetLayoutView="87" zoomScalePageLayoutView="17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/>
    </sheetView>
  </sheetViews>
  <sheetFormatPr defaultColWidth="8.85546875" defaultRowHeight="12.75" x14ac:dyDescent="0.2"/>
  <cols>
    <col min="1" max="1" width="25.140625" style="96" customWidth="1"/>
    <col min="2" max="2" width="5.42578125" style="101" bestFit="1" customWidth="1"/>
    <col min="3" max="3" width="3" style="101" bestFit="1" customWidth="1"/>
    <col min="4" max="4" width="5.42578125" style="101" bestFit="1" customWidth="1"/>
    <col min="5" max="5" width="4" style="101" bestFit="1" customWidth="1"/>
    <col min="6" max="6" width="5.42578125" style="101" bestFit="1" customWidth="1"/>
    <col min="7" max="7" width="3.42578125" style="101" bestFit="1" customWidth="1"/>
    <col min="8" max="8" width="5.42578125" style="101" bestFit="1" customWidth="1"/>
    <col min="9" max="9" width="3.42578125" style="101" bestFit="1" customWidth="1"/>
    <col min="10" max="10" width="5.42578125" style="101" bestFit="1" customWidth="1"/>
    <col min="11" max="11" width="3.42578125" style="101" bestFit="1" customWidth="1"/>
    <col min="12" max="12" width="5.7109375" style="101" bestFit="1" customWidth="1"/>
    <col min="13" max="13" width="3.42578125" style="101" customWidth="1"/>
    <col min="14" max="14" width="5.42578125" style="101" bestFit="1" customWidth="1"/>
    <col min="15" max="15" width="3" style="101" bestFit="1" customWidth="1"/>
    <col min="16" max="16" width="5.42578125" style="101" bestFit="1" customWidth="1"/>
    <col min="17" max="17" width="4" style="101" bestFit="1" customWidth="1"/>
    <col min="18" max="18" width="5.42578125" style="101" bestFit="1" customWidth="1"/>
    <col min="19" max="19" width="3.42578125" style="101" bestFit="1" customWidth="1"/>
    <col min="20" max="20" width="5.42578125" style="101" bestFit="1" customWidth="1"/>
    <col min="21" max="21" width="3.42578125" style="101" bestFit="1" customWidth="1"/>
    <col min="22" max="22" width="5.42578125" style="101" bestFit="1" customWidth="1"/>
    <col min="23" max="23" width="3.42578125" style="101" bestFit="1" customWidth="1"/>
    <col min="24" max="24" width="5.42578125" style="101" bestFit="1" customWidth="1"/>
    <col min="25" max="25" width="3.42578125" style="101" customWidth="1"/>
    <col min="26" max="26" width="5.42578125" style="101" bestFit="1" customWidth="1"/>
    <col min="27" max="27" width="3.42578125" style="101" customWidth="1"/>
    <col min="28" max="28" width="5.42578125" style="101" bestFit="1" customWidth="1"/>
    <col min="29" max="29" width="6.42578125" style="101" bestFit="1" customWidth="1"/>
    <col min="30" max="30" width="8.85546875" style="101"/>
    <col min="31" max="57" width="8.85546875" style="100"/>
    <col min="58" max="16384" width="8.85546875" style="101"/>
  </cols>
  <sheetData>
    <row r="1" spans="1:57" x14ac:dyDescent="0.2">
      <c r="A1" s="94" t="s">
        <v>180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00"/>
      <c r="AD1" s="100"/>
      <c r="BE1" s="101"/>
    </row>
    <row r="2" spans="1:57" s="319" customFormat="1" ht="11.25" x14ac:dyDescent="0.2">
      <c r="A2" s="316" t="s">
        <v>184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316"/>
      <c r="T2" s="316"/>
      <c r="U2" s="316"/>
      <c r="V2" s="316"/>
      <c r="W2" s="316"/>
      <c r="X2" s="316"/>
      <c r="Y2" s="316"/>
      <c r="Z2" s="317"/>
      <c r="AA2" s="317"/>
      <c r="AB2" s="317"/>
      <c r="AC2" s="318"/>
      <c r="AD2" s="318"/>
      <c r="AE2" s="318"/>
      <c r="AF2" s="318"/>
      <c r="AG2" s="318"/>
      <c r="AH2" s="318"/>
      <c r="AI2" s="318"/>
      <c r="AJ2" s="318"/>
      <c r="AK2" s="318"/>
      <c r="AL2" s="318"/>
      <c r="AM2" s="318"/>
      <c r="AN2" s="318"/>
      <c r="AO2" s="318"/>
      <c r="AP2" s="318"/>
      <c r="AQ2" s="318"/>
      <c r="AR2" s="318"/>
      <c r="AS2" s="318"/>
      <c r="AT2" s="318"/>
      <c r="AU2" s="318"/>
      <c r="AV2" s="318"/>
      <c r="AW2" s="318"/>
      <c r="AX2" s="318"/>
      <c r="AY2" s="318"/>
      <c r="AZ2" s="318"/>
      <c r="BA2" s="318"/>
      <c r="BB2" s="318"/>
      <c r="BC2" s="318"/>
      <c r="BD2" s="318"/>
    </row>
    <row r="3" spans="1:57" x14ac:dyDescent="0.2">
      <c r="A3" s="231" t="s">
        <v>181</v>
      </c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  <c r="P3" s="314"/>
      <c r="Q3" s="314"/>
      <c r="R3" s="314"/>
      <c r="S3" s="314"/>
      <c r="T3" s="314"/>
      <c r="U3" s="314"/>
      <c r="V3" s="314"/>
      <c r="W3" s="314"/>
      <c r="X3" s="314"/>
      <c r="Y3" s="315"/>
      <c r="Z3" s="307"/>
      <c r="AA3" s="307"/>
      <c r="AB3" s="100"/>
      <c r="AC3" s="100"/>
      <c r="AD3" s="100"/>
      <c r="AZ3" s="101"/>
      <c r="BA3" s="101"/>
      <c r="BB3" s="101"/>
      <c r="BC3" s="101"/>
      <c r="BD3" s="101"/>
      <c r="BE3" s="101"/>
    </row>
    <row r="4" spans="1:57" x14ac:dyDescent="0.2">
      <c r="A4" s="175" t="s">
        <v>25</v>
      </c>
      <c r="B4" s="388" t="s">
        <v>0</v>
      </c>
      <c r="C4" s="389"/>
      <c r="D4" s="389"/>
      <c r="E4" s="389"/>
      <c r="F4" s="389"/>
      <c r="G4" s="389"/>
      <c r="H4" s="389"/>
      <c r="I4" s="389"/>
      <c r="J4" s="389"/>
      <c r="K4" s="389"/>
      <c r="L4" s="388" t="s">
        <v>1</v>
      </c>
      <c r="M4" s="389"/>
      <c r="N4" s="389"/>
      <c r="O4" s="389"/>
      <c r="P4" s="389"/>
      <c r="Q4" s="389"/>
      <c r="R4" s="389"/>
      <c r="S4" s="389"/>
      <c r="T4" s="389"/>
      <c r="U4" s="389"/>
      <c r="V4" s="389"/>
      <c r="W4" s="389"/>
      <c r="X4" s="389"/>
      <c r="Y4" s="390"/>
      <c r="Z4" s="307"/>
      <c r="AA4" s="307"/>
      <c r="AB4" s="100"/>
      <c r="AC4" s="100"/>
      <c r="AD4" s="100"/>
      <c r="BA4" s="101"/>
      <c r="BB4" s="101"/>
      <c r="BC4" s="101"/>
      <c r="BD4" s="101"/>
      <c r="BE4" s="101"/>
    </row>
    <row r="5" spans="1:57" s="162" customFormat="1" x14ac:dyDescent="0.2">
      <c r="A5" s="176"/>
      <c r="B5" s="377"/>
      <c r="C5" s="378"/>
      <c r="D5" s="376"/>
      <c r="E5" s="376"/>
      <c r="F5" s="379"/>
      <c r="G5" s="379"/>
      <c r="H5" s="379"/>
      <c r="I5" s="379"/>
      <c r="J5" s="386" t="s">
        <v>23</v>
      </c>
      <c r="K5" s="378"/>
      <c r="L5" s="377"/>
      <c r="M5" s="378"/>
      <c r="N5" s="376"/>
      <c r="O5" s="376"/>
      <c r="P5" s="379"/>
      <c r="Q5" s="379"/>
      <c r="R5" s="379"/>
      <c r="S5" s="379"/>
      <c r="T5" s="379" t="s">
        <v>23</v>
      </c>
      <c r="U5" s="379"/>
      <c r="V5" s="379" t="s">
        <v>22</v>
      </c>
      <c r="W5" s="379"/>
      <c r="X5" s="378"/>
      <c r="Y5" s="380"/>
      <c r="Z5" s="306"/>
      <c r="AA5" s="306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1"/>
      <c r="AT5" s="161"/>
      <c r="AU5" s="161"/>
      <c r="AV5" s="161"/>
      <c r="AW5" s="161"/>
      <c r="AX5" s="161"/>
      <c r="AY5" s="161"/>
      <c r="AZ5" s="161"/>
      <c r="BA5" s="161"/>
    </row>
    <row r="6" spans="1:57" s="162" customFormat="1" x14ac:dyDescent="0.2">
      <c r="A6" s="176"/>
      <c r="B6" s="384" t="s">
        <v>2</v>
      </c>
      <c r="C6" s="382"/>
      <c r="D6" s="385" t="s">
        <v>3</v>
      </c>
      <c r="E6" s="385"/>
      <c r="F6" s="381" t="s">
        <v>4</v>
      </c>
      <c r="G6" s="381"/>
      <c r="H6" s="381" t="s">
        <v>5</v>
      </c>
      <c r="I6" s="381"/>
      <c r="J6" s="387" t="s">
        <v>6</v>
      </c>
      <c r="K6" s="382"/>
      <c r="L6" s="384" t="s">
        <v>2</v>
      </c>
      <c r="M6" s="382"/>
      <c r="N6" s="385" t="s">
        <v>3</v>
      </c>
      <c r="O6" s="385"/>
      <c r="P6" s="381" t="s">
        <v>4</v>
      </c>
      <c r="Q6" s="381"/>
      <c r="R6" s="381" t="s">
        <v>5</v>
      </c>
      <c r="S6" s="381"/>
      <c r="T6" s="381" t="s">
        <v>6</v>
      </c>
      <c r="U6" s="381"/>
      <c r="V6" s="381" t="s">
        <v>7</v>
      </c>
      <c r="W6" s="381"/>
      <c r="X6" s="382" t="s">
        <v>7</v>
      </c>
      <c r="Y6" s="383"/>
      <c r="Z6" s="306"/>
      <c r="AA6" s="306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1"/>
      <c r="AO6" s="161"/>
      <c r="AP6" s="161"/>
      <c r="AQ6" s="161"/>
      <c r="AR6" s="161"/>
      <c r="AS6" s="161"/>
      <c r="AT6" s="161"/>
      <c r="AU6" s="161"/>
      <c r="AV6" s="161"/>
      <c r="AW6" s="161"/>
      <c r="AX6" s="161"/>
      <c r="AY6" s="161"/>
      <c r="AZ6" s="161"/>
      <c r="BA6" s="161"/>
    </row>
    <row r="7" spans="1:57" x14ac:dyDescent="0.2">
      <c r="A7" s="108" t="s">
        <v>155</v>
      </c>
      <c r="B7" s="288">
        <v>1200</v>
      </c>
      <c r="C7" s="287" t="s">
        <v>159</v>
      </c>
      <c r="D7" s="278">
        <f>'Peanut Price Calculator'!B10</f>
        <v>4700</v>
      </c>
      <c r="E7" s="279" t="s">
        <v>159</v>
      </c>
      <c r="F7" s="282">
        <v>200</v>
      </c>
      <c r="G7" s="283" t="s">
        <v>162</v>
      </c>
      <c r="H7" s="282">
        <v>60</v>
      </c>
      <c r="I7" s="283" t="s">
        <v>162</v>
      </c>
      <c r="J7" s="282">
        <v>100</v>
      </c>
      <c r="K7" s="287" t="s">
        <v>162</v>
      </c>
      <c r="L7" s="289">
        <v>750</v>
      </c>
      <c r="M7" s="287" t="s">
        <v>159</v>
      </c>
      <c r="N7" s="278">
        <f>'Peanut Price Calculator'!B21</f>
        <v>3400</v>
      </c>
      <c r="O7" s="279" t="s">
        <v>159</v>
      </c>
      <c r="P7" s="282">
        <v>85</v>
      </c>
      <c r="Q7" s="283" t="s">
        <v>162</v>
      </c>
      <c r="R7" s="282">
        <v>30</v>
      </c>
      <c r="S7" s="283" t="s">
        <v>162</v>
      </c>
      <c r="T7" s="282">
        <v>65</v>
      </c>
      <c r="U7" s="283" t="s">
        <v>162</v>
      </c>
      <c r="V7" s="282">
        <v>75</v>
      </c>
      <c r="W7" s="283" t="s">
        <v>162</v>
      </c>
      <c r="X7" s="284">
        <v>55</v>
      </c>
      <c r="Y7" s="285" t="s">
        <v>162</v>
      </c>
      <c r="Z7" s="307"/>
      <c r="AA7" s="307"/>
      <c r="AB7" s="100"/>
      <c r="AC7" s="100"/>
      <c r="AD7" s="100"/>
      <c r="BB7" s="101"/>
      <c r="BC7" s="101"/>
      <c r="BD7" s="101"/>
      <c r="BE7" s="101"/>
    </row>
    <row r="8" spans="1:57" ht="13.5" thickBot="1" x14ac:dyDescent="0.25">
      <c r="A8" s="109" t="s">
        <v>124</v>
      </c>
      <c r="B8" s="277">
        <v>0.7</v>
      </c>
      <c r="C8" s="276" t="s">
        <v>160</v>
      </c>
      <c r="D8" s="280">
        <f>'Peanut Price Calculator'!B17</f>
        <v>369.89361702127661</v>
      </c>
      <c r="E8" s="281" t="s">
        <v>161</v>
      </c>
      <c r="F8" s="273">
        <v>4.25</v>
      </c>
      <c r="G8" s="270" t="s">
        <v>163</v>
      </c>
      <c r="H8" s="273">
        <v>8.6</v>
      </c>
      <c r="I8" s="270" t="s">
        <v>163</v>
      </c>
      <c r="J8" s="273">
        <v>4.04</v>
      </c>
      <c r="K8" s="276" t="s">
        <v>163</v>
      </c>
      <c r="L8" s="308">
        <f>B8</f>
        <v>0.7</v>
      </c>
      <c r="M8" s="276" t="s">
        <v>160</v>
      </c>
      <c r="N8" s="280">
        <f>'Peanut Price Calculator'!B28</f>
        <v>370.44117647058823</v>
      </c>
      <c r="O8" s="281" t="s">
        <v>161</v>
      </c>
      <c r="P8" s="269">
        <f>F8</f>
        <v>4.25</v>
      </c>
      <c r="Q8" s="270" t="s">
        <v>163</v>
      </c>
      <c r="R8" s="269">
        <f>H8</f>
        <v>8.6</v>
      </c>
      <c r="S8" s="270" t="s">
        <v>163</v>
      </c>
      <c r="T8" s="269">
        <f>J8</f>
        <v>4.04</v>
      </c>
      <c r="U8" s="270" t="s">
        <v>163</v>
      </c>
      <c r="V8" s="273">
        <v>5</v>
      </c>
      <c r="W8" s="270" t="s">
        <v>163</v>
      </c>
      <c r="X8" s="271">
        <f>V8</f>
        <v>5</v>
      </c>
      <c r="Y8" s="272" t="s">
        <v>163</v>
      </c>
      <c r="Z8" s="307"/>
      <c r="AA8" s="307"/>
      <c r="AB8" s="100"/>
      <c r="AC8" s="100"/>
      <c r="AD8" s="100"/>
      <c r="BB8" s="101"/>
      <c r="BC8" s="101"/>
      <c r="BD8" s="101"/>
      <c r="BE8" s="101"/>
    </row>
    <row r="9" spans="1:57" x14ac:dyDescent="0.2">
      <c r="A9" s="110" t="s">
        <v>156</v>
      </c>
      <c r="B9" s="370">
        <f>B7*B8</f>
        <v>840</v>
      </c>
      <c r="C9" s="365"/>
      <c r="D9" s="367">
        <f>D8*(D7/2000)</f>
        <v>869.25000000000011</v>
      </c>
      <c r="E9" s="367"/>
      <c r="F9" s="367">
        <f>F7*F8</f>
        <v>850</v>
      </c>
      <c r="G9" s="367"/>
      <c r="H9" s="367">
        <f>H7*H8</f>
        <v>516</v>
      </c>
      <c r="I9" s="367"/>
      <c r="J9" s="373">
        <f>J7*J8</f>
        <v>404</v>
      </c>
      <c r="K9" s="365"/>
      <c r="L9" s="370">
        <f>L7*L8</f>
        <v>525</v>
      </c>
      <c r="M9" s="365"/>
      <c r="N9" s="367">
        <f>N8*(N7/2000)</f>
        <v>629.75</v>
      </c>
      <c r="O9" s="367"/>
      <c r="P9" s="367">
        <f>P7*P8</f>
        <v>361.25</v>
      </c>
      <c r="Q9" s="367"/>
      <c r="R9" s="367">
        <f>R7*R8</f>
        <v>258</v>
      </c>
      <c r="S9" s="367"/>
      <c r="T9" s="367">
        <f>T7*T8</f>
        <v>262.60000000000002</v>
      </c>
      <c r="U9" s="367"/>
      <c r="V9" s="367">
        <f>V7*V8</f>
        <v>375</v>
      </c>
      <c r="W9" s="367"/>
      <c r="X9" s="365">
        <f>X7*X8</f>
        <v>275</v>
      </c>
      <c r="Y9" s="366"/>
      <c r="Z9" s="307"/>
      <c r="AA9" s="307"/>
      <c r="AB9" s="100"/>
      <c r="AC9" s="100"/>
      <c r="AD9" s="100"/>
      <c r="BB9" s="101"/>
      <c r="BC9" s="101"/>
      <c r="BD9" s="101"/>
      <c r="BE9" s="101"/>
    </row>
    <row r="10" spans="1:57" x14ac:dyDescent="0.2">
      <c r="A10" s="111" t="s">
        <v>157</v>
      </c>
      <c r="B10" s="362"/>
      <c r="C10" s="359"/>
      <c r="D10" s="361"/>
      <c r="E10" s="361"/>
      <c r="F10" s="361"/>
      <c r="G10" s="361"/>
      <c r="H10" s="361"/>
      <c r="I10" s="361"/>
      <c r="J10" s="369"/>
      <c r="K10" s="359"/>
      <c r="L10" s="362"/>
      <c r="M10" s="359"/>
      <c r="N10" s="361"/>
      <c r="O10" s="361"/>
      <c r="P10" s="361"/>
      <c r="Q10" s="361"/>
      <c r="R10" s="361"/>
      <c r="S10" s="361"/>
      <c r="T10" s="361"/>
      <c r="U10" s="361"/>
      <c r="V10" s="302"/>
      <c r="W10" s="301"/>
      <c r="X10" s="359"/>
      <c r="Y10" s="360"/>
      <c r="Z10" s="307"/>
      <c r="AA10" s="307"/>
      <c r="AB10" s="100"/>
      <c r="AC10" s="100"/>
      <c r="AD10" s="100"/>
      <c r="BB10" s="101"/>
      <c r="BC10" s="101"/>
      <c r="BD10" s="101"/>
      <c r="BE10" s="101"/>
    </row>
    <row r="11" spans="1:57" x14ac:dyDescent="0.2">
      <c r="A11" s="105" t="s">
        <v>24</v>
      </c>
      <c r="B11" s="372">
        <v>102</v>
      </c>
      <c r="C11" s="363"/>
      <c r="D11" s="368">
        <v>98</v>
      </c>
      <c r="E11" s="368"/>
      <c r="F11" s="368">
        <v>94.4</v>
      </c>
      <c r="G11" s="368"/>
      <c r="H11" s="368">
        <v>50</v>
      </c>
      <c r="I11" s="368"/>
      <c r="J11" s="371">
        <v>13.5</v>
      </c>
      <c r="K11" s="363"/>
      <c r="L11" s="372">
        <v>102</v>
      </c>
      <c r="M11" s="363"/>
      <c r="N11" s="368">
        <v>98</v>
      </c>
      <c r="O11" s="368"/>
      <c r="P11" s="368">
        <v>51</v>
      </c>
      <c r="Q11" s="368"/>
      <c r="R11" s="368">
        <v>50</v>
      </c>
      <c r="S11" s="368"/>
      <c r="T11" s="368">
        <v>8.25</v>
      </c>
      <c r="U11" s="368"/>
      <c r="V11" s="368">
        <v>50.5</v>
      </c>
      <c r="W11" s="368"/>
      <c r="X11" s="363">
        <v>30.5</v>
      </c>
      <c r="Y11" s="364"/>
      <c r="Z11" s="307"/>
      <c r="AA11" s="307"/>
      <c r="AB11" s="100"/>
      <c r="AC11" s="100"/>
      <c r="AD11" s="100"/>
      <c r="BB11" s="101"/>
      <c r="BC11" s="101"/>
      <c r="BD11" s="101"/>
      <c r="BE11" s="101"/>
    </row>
    <row r="12" spans="1:57" x14ac:dyDescent="0.2">
      <c r="A12" s="105" t="s">
        <v>8</v>
      </c>
      <c r="B12" s="334">
        <f>B7/495*0.75</f>
        <v>1.8181818181818183</v>
      </c>
      <c r="C12" s="335"/>
      <c r="D12" s="325"/>
      <c r="E12" s="325"/>
      <c r="F12" s="325"/>
      <c r="G12" s="325"/>
      <c r="H12" s="325"/>
      <c r="I12" s="325"/>
      <c r="J12" s="335"/>
      <c r="K12" s="335"/>
      <c r="L12" s="334">
        <f>L7/495*0.75</f>
        <v>1.1363636363636362</v>
      </c>
      <c r="M12" s="335"/>
      <c r="N12" s="325"/>
      <c r="O12" s="325"/>
      <c r="P12" s="325"/>
      <c r="Q12" s="325"/>
      <c r="R12" s="325"/>
      <c r="S12" s="325"/>
      <c r="T12" s="325"/>
      <c r="U12" s="325"/>
      <c r="V12" s="325"/>
      <c r="W12" s="325"/>
      <c r="X12" s="335"/>
      <c r="Y12" s="342"/>
      <c r="Z12" s="307"/>
      <c r="AA12" s="307"/>
      <c r="AB12" s="100"/>
      <c r="AC12" s="100"/>
      <c r="AD12" s="100"/>
      <c r="BB12" s="101"/>
      <c r="BC12" s="101"/>
      <c r="BD12" s="101"/>
      <c r="BE12" s="101"/>
    </row>
    <row r="13" spans="1:57" x14ac:dyDescent="0.2">
      <c r="A13" s="105" t="s">
        <v>27</v>
      </c>
      <c r="B13" s="334">
        <f>14.52+5+B7*0.08*$D$45+0.0667*B7*$F$45+0.0667*B7*$H$45</f>
        <v>128.35039999999998</v>
      </c>
      <c r="C13" s="335"/>
      <c r="D13" s="325">
        <f>53.5+8+2</f>
        <v>63.5</v>
      </c>
      <c r="E13" s="325"/>
      <c r="F13" s="325">
        <f>22.5+F7*1.2*$D$45+F7*0.5*$F$45+F7*$H$45</f>
        <v>252.5</v>
      </c>
      <c r="G13" s="325"/>
      <c r="H13" s="325">
        <f>4+14.52+0.6667*H7*$F$45+1.333*H7*$H$45+2.25</f>
        <v>64.764039999999994</v>
      </c>
      <c r="I13" s="325"/>
      <c r="J13" s="335">
        <f>22.5+1.25*J7*$D$45+0.6*J7*$F$45+0.9*J7*$H$45</f>
        <v>140.80000000000001</v>
      </c>
      <c r="K13" s="335"/>
      <c r="L13" s="334">
        <f>14.52+5+0.08*L7*$D$45+0.0667*L7*$F$45+0.0667*L7*$H$45</f>
        <v>87.538999999999987</v>
      </c>
      <c r="M13" s="335"/>
      <c r="N13" s="325">
        <f>8+2+53.5</f>
        <v>63.5</v>
      </c>
      <c r="O13" s="325"/>
      <c r="P13" s="325">
        <f>11.25+P7*1.1765*$D$45+0.4706*P7*$F$45+0.7059*P7*$H$45</f>
        <v>98.452179999999998</v>
      </c>
      <c r="Q13" s="325"/>
      <c r="R13" s="325">
        <f>4+14.85+1.3333*R7*$F$45+2.6667*R7*$H$45+2</f>
        <v>64.849919999999997</v>
      </c>
      <c r="S13" s="325"/>
      <c r="T13" s="325">
        <f>11.25+1.2308*T7*$D$45+0.6154*T7*$F$45+0.9231*T7*$H$45</f>
        <v>88.45192999999999</v>
      </c>
      <c r="U13" s="325"/>
      <c r="V13" s="325">
        <f>11+1.6*V7*$D$45+0.6667*V7*$F$45+0.8*V7*$H$45</f>
        <v>112.40105</v>
      </c>
      <c r="W13" s="325"/>
      <c r="X13" s="335">
        <f>11+1.4545*X7*$D$45+0.7273*X7*$F$45+0.7273*X7*$H$45</f>
        <v>81.399889999999985</v>
      </c>
      <c r="Y13" s="342"/>
      <c r="Z13" s="307"/>
      <c r="AA13" s="309"/>
      <c r="AB13" s="100"/>
      <c r="AC13" s="100"/>
      <c r="AD13" s="100"/>
      <c r="BB13" s="101"/>
      <c r="BC13" s="101"/>
      <c r="BD13" s="101"/>
      <c r="BE13" s="101"/>
    </row>
    <row r="14" spans="1:57" x14ac:dyDescent="0.2">
      <c r="A14" s="105" t="s">
        <v>126</v>
      </c>
      <c r="B14" s="334"/>
      <c r="C14" s="335"/>
      <c r="D14" s="325"/>
      <c r="E14" s="325"/>
      <c r="F14" s="325"/>
      <c r="G14" s="325"/>
      <c r="H14" s="325"/>
      <c r="I14" s="325"/>
      <c r="J14" s="335"/>
      <c r="K14" s="335"/>
      <c r="L14" s="334"/>
      <c r="M14" s="335"/>
      <c r="N14" s="325"/>
      <c r="O14" s="325"/>
      <c r="P14" s="325"/>
      <c r="Q14" s="325"/>
      <c r="R14" s="325"/>
      <c r="S14" s="325"/>
      <c r="T14" s="325"/>
      <c r="U14" s="325"/>
      <c r="V14" s="325"/>
      <c r="W14" s="325"/>
      <c r="X14" s="335"/>
      <c r="Y14" s="342"/>
      <c r="Z14" s="307"/>
      <c r="AA14" s="309"/>
      <c r="AB14" s="100"/>
      <c r="AC14" s="100"/>
      <c r="AD14" s="100"/>
      <c r="BB14" s="101"/>
      <c r="BC14" s="101"/>
      <c r="BD14" s="101"/>
      <c r="BE14" s="101"/>
    </row>
    <row r="15" spans="1:57" x14ac:dyDescent="0.2">
      <c r="A15" s="105" t="s">
        <v>9</v>
      </c>
      <c r="B15" s="334">
        <f>(6.24+7.63+41.3+10.88+8.56+3.1+12.2)*1.01</f>
        <v>90.809100000000001</v>
      </c>
      <c r="C15" s="335"/>
      <c r="D15" s="325">
        <f>42.13+46.73+69.41</f>
        <v>158.26999999999998</v>
      </c>
      <c r="E15" s="325"/>
      <c r="F15" s="325">
        <f>11.15+28.14</f>
        <v>39.29</v>
      </c>
      <c r="G15" s="325"/>
      <c r="H15" s="325">
        <f>24.04+4.84+32.16</f>
        <v>61.039999999999992</v>
      </c>
      <c r="I15" s="325"/>
      <c r="J15" s="335">
        <f>20.34</f>
        <v>20.34</v>
      </c>
      <c r="K15" s="335"/>
      <c r="L15" s="334">
        <f>(6.24+7.63+41.3+10.88+8.56+2.24+9.76)*1.01</f>
        <v>87.476100000000002</v>
      </c>
      <c r="M15" s="335"/>
      <c r="N15" s="325">
        <f>47.91+46.73+47.32</f>
        <v>141.95999999999998</v>
      </c>
      <c r="O15" s="325"/>
      <c r="P15" s="325">
        <f>14.18+28.14</f>
        <v>42.32</v>
      </c>
      <c r="Q15" s="325"/>
      <c r="R15" s="325">
        <f>19.66+4.84</f>
        <v>24.5</v>
      </c>
      <c r="S15" s="325"/>
      <c r="T15" s="325">
        <v>16.38</v>
      </c>
      <c r="U15" s="325"/>
      <c r="V15" s="325">
        <f>19.63+5.67+10.4</f>
        <v>35.699999999999996</v>
      </c>
      <c r="W15" s="325"/>
      <c r="X15" s="335">
        <f>19.63+2.5+1.6</f>
        <v>23.73</v>
      </c>
      <c r="Y15" s="342"/>
      <c r="Z15" s="307"/>
      <c r="AA15" s="309"/>
      <c r="AB15" s="100"/>
      <c r="AC15" s="100"/>
      <c r="AD15" s="100"/>
      <c r="BB15" s="101"/>
      <c r="BC15" s="101"/>
      <c r="BD15" s="101"/>
      <c r="BE15" s="101"/>
    </row>
    <row r="16" spans="1:57" x14ac:dyDescent="0.2">
      <c r="A16" s="105" t="s">
        <v>173</v>
      </c>
      <c r="B16" s="232"/>
      <c r="C16" s="233"/>
      <c r="D16" s="322"/>
      <c r="E16" s="323"/>
      <c r="F16" s="322"/>
      <c r="G16" s="323"/>
      <c r="H16" s="322"/>
      <c r="I16" s="323"/>
      <c r="J16" s="233"/>
      <c r="K16" s="233"/>
      <c r="L16" s="299"/>
      <c r="M16" s="298"/>
      <c r="N16" s="322"/>
      <c r="O16" s="323"/>
      <c r="P16" s="322"/>
      <c r="Q16" s="323"/>
      <c r="R16" s="322"/>
      <c r="S16" s="323"/>
      <c r="T16" s="322"/>
      <c r="U16" s="323"/>
      <c r="V16" s="322"/>
      <c r="W16" s="323"/>
      <c r="X16" s="298"/>
      <c r="Y16" s="300"/>
      <c r="Z16" s="307"/>
      <c r="AA16" s="307"/>
      <c r="AB16" s="100"/>
      <c r="AC16" s="100"/>
      <c r="AD16" s="100"/>
      <c r="BB16" s="101"/>
      <c r="BC16" s="101"/>
      <c r="BD16" s="101"/>
      <c r="BE16" s="101"/>
    </row>
    <row r="17" spans="1:57" x14ac:dyDescent="0.2">
      <c r="A17" s="105" t="s">
        <v>174</v>
      </c>
      <c r="B17" s="334">
        <v>15</v>
      </c>
      <c r="C17" s="335"/>
      <c r="D17" s="325">
        <v>15</v>
      </c>
      <c r="E17" s="325"/>
      <c r="F17" s="325"/>
      <c r="G17" s="325"/>
      <c r="H17" s="325"/>
      <c r="I17" s="325"/>
      <c r="J17" s="335"/>
      <c r="K17" s="335"/>
      <c r="L17" s="334">
        <v>15</v>
      </c>
      <c r="M17" s="335"/>
      <c r="N17" s="325">
        <v>15</v>
      </c>
      <c r="O17" s="325"/>
      <c r="P17" s="325"/>
      <c r="Q17" s="325"/>
      <c r="R17" s="325"/>
      <c r="S17" s="325"/>
      <c r="T17" s="325"/>
      <c r="U17" s="325"/>
      <c r="V17" s="325"/>
      <c r="W17" s="325"/>
      <c r="X17" s="335"/>
      <c r="Y17" s="342"/>
      <c r="Z17" s="307"/>
      <c r="AA17" s="307"/>
      <c r="AB17" s="100"/>
      <c r="AC17" s="100"/>
      <c r="AD17" s="100"/>
      <c r="BB17" s="101"/>
      <c r="BC17" s="101"/>
      <c r="BD17" s="101"/>
      <c r="BE17" s="101"/>
    </row>
    <row r="18" spans="1:57" x14ac:dyDescent="0.2">
      <c r="A18" s="105" t="s">
        <v>10</v>
      </c>
      <c r="B18" s="334">
        <v>10</v>
      </c>
      <c r="C18" s="335"/>
      <c r="D18" s="325">
        <v>10</v>
      </c>
      <c r="E18" s="325"/>
      <c r="F18" s="325"/>
      <c r="G18" s="325"/>
      <c r="H18" s="325"/>
      <c r="I18" s="325"/>
      <c r="J18" s="335"/>
      <c r="K18" s="335"/>
      <c r="L18" s="334">
        <v>10</v>
      </c>
      <c r="M18" s="335"/>
      <c r="N18" s="325">
        <v>10</v>
      </c>
      <c r="O18" s="325"/>
      <c r="P18" s="325"/>
      <c r="Q18" s="325"/>
      <c r="R18" s="325"/>
      <c r="S18" s="325"/>
      <c r="T18" s="325"/>
      <c r="U18" s="325"/>
      <c r="V18" s="325"/>
      <c r="W18" s="325"/>
      <c r="X18" s="335"/>
      <c r="Y18" s="342"/>
      <c r="Z18" s="307"/>
      <c r="AA18" s="307"/>
      <c r="AB18" s="100"/>
      <c r="AC18" s="100"/>
      <c r="AD18" s="100"/>
      <c r="BB18" s="101"/>
      <c r="BC18" s="101"/>
      <c r="BD18" s="101"/>
      <c r="BE18" s="101"/>
    </row>
    <row r="19" spans="1:57" x14ac:dyDescent="0.2">
      <c r="A19" s="105" t="s">
        <v>28</v>
      </c>
      <c r="B19" s="334">
        <f>12.94*$B$46</f>
        <v>23.291999999999998</v>
      </c>
      <c r="C19" s="335"/>
      <c r="D19" s="325">
        <f>(9.2+7.9)*$B$46</f>
        <v>30.780000000000005</v>
      </c>
      <c r="E19" s="325"/>
      <c r="F19" s="325">
        <f>7.2*$B$46</f>
        <v>12.96</v>
      </c>
      <c r="G19" s="325"/>
      <c r="H19" s="325">
        <f>6*$B$46</f>
        <v>10.8</v>
      </c>
      <c r="I19" s="325"/>
      <c r="J19" s="335">
        <f>7.3*$B$46</f>
        <v>13.14</v>
      </c>
      <c r="K19" s="335"/>
      <c r="L19" s="334">
        <f>12.67*$B$46</f>
        <v>22.806000000000001</v>
      </c>
      <c r="M19" s="335"/>
      <c r="N19" s="325">
        <f>(9.2+7.9)*$B$46</f>
        <v>30.780000000000005</v>
      </c>
      <c r="O19" s="325"/>
      <c r="P19" s="325">
        <f>7.25*B46</f>
        <v>13.05</v>
      </c>
      <c r="Q19" s="325"/>
      <c r="R19" s="325">
        <f>6*$B$46</f>
        <v>10.8</v>
      </c>
      <c r="S19" s="325"/>
      <c r="T19" s="325">
        <f>7.3*$B$46</f>
        <v>13.14</v>
      </c>
      <c r="U19" s="325"/>
      <c r="V19" s="325">
        <f>9.95*$B$46</f>
        <v>17.91</v>
      </c>
      <c r="W19" s="325"/>
      <c r="X19" s="335">
        <f>5.54*$B$46</f>
        <v>9.9719999999999995</v>
      </c>
      <c r="Y19" s="342"/>
      <c r="Z19" s="307"/>
      <c r="AA19" s="307"/>
      <c r="AB19" s="100"/>
      <c r="AC19" s="100"/>
      <c r="AD19" s="100"/>
      <c r="BB19" s="101"/>
      <c r="BC19" s="101"/>
      <c r="BD19" s="101"/>
      <c r="BE19" s="101"/>
    </row>
    <row r="20" spans="1:57" x14ac:dyDescent="0.2">
      <c r="A20" s="105" t="s">
        <v>11</v>
      </c>
      <c r="B20" s="334">
        <f>1.02*29.68</f>
        <v>30.273600000000002</v>
      </c>
      <c r="C20" s="335"/>
      <c r="D20" s="325">
        <f>19.09+26.75</f>
        <v>45.84</v>
      </c>
      <c r="E20" s="325"/>
      <c r="F20" s="325">
        <f>10.88+7.64</f>
        <v>18.52</v>
      </c>
      <c r="G20" s="325"/>
      <c r="H20" s="325">
        <f>7.86+6.98</f>
        <v>14.84</v>
      </c>
      <c r="I20" s="325"/>
      <c r="J20" s="335">
        <f>11.18+6.65</f>
        <v>17.829999999999998</v>
      </c>
      <c r="K20" s="335"/>
      <c r="L20" s="334">
        <f>1.02*29.68</f>
        <v>30.273600000000002</v>
      </c>
      <c r="M20" s="335"/>
      <c r="N20" s="325">
        <f>19.09+26.75</f>
        <v>45.84</v>
      </c>
      <c r="O20" s="325"/>
      <c r="P20" s="325">
        <f>10.88+7.64</f>
        <v>18.52</v>
      </c>
      <c r="Q20" s="325"/>
      <c r="R20" s="325">
        <f>7.86+6.98</f>
        <v>14.84</v>
      </c>
      <c r="S20" s="325"/>
      <c r="T20" s="325">
        <f>11.18+6.65</f>
        <v>17.829999999999998</v>
      </c>
      <c r="U20" s="325"/>
      <c r="V20" s="325">
        <f>14.25+5.21</f>
        <v>19.46</v>
      </c>
      <c r="W20" s="325"/>
      <c r="X20" s="335">
        <f>6.29+5.21</f>
        <v>11.5</v>
      </c>
      <c r="Y20" s="342"/>
      <c r="Z20" s="307"/>
      <c r="AA20" s="307"/>
      <c r="AB20" s="100"/>
      <c r="AC20" s="100"/>
      <c r="AD20" s="100"/>
      <c r="BB20" s="101"/>
      <c r="BC20" s="101"/>
      <c r="BD20" s="101"/>
      <c r="BE20" s="101"/>
    </row>
    <row r="21" spans="1:57" x14ac:dyDescent="0.2">
      <c r="A21" s="105" t="s">
        <v>29</v>
      </c>
      <c r="B21" s="334">
        <f>((7*8)+(5*$B$46*8))/2</f>
        <v>64</v>
      </c>
      <c r="C21" s="335"/>
      <c r="D21" s="325">
        <f>((7*6)+(5*$B$46*6))/2</f>
        <v>48</v>
      </c>
      <c r="E21" s="325"/>
      <c r="F21" s="325">
        <f>((7*8)+(5*$B$46*8))/2</f>
        <v>64</v>
      </c>
      <c r="G21" s="325"/>
      <c r="H21" s="325">
        <f>((7*5)+(5*$B$46*5))/2</f>
        <v>40</v>
      </c>
      <c r="I21" s="325"/>
      <c r="J21" s="322">
        <f>((7*4)+(5*$B$46*4))/2</f>
        <v>32</v>
      </c>
      <c r="K21" s="335"/>
      <c r="L21" s="334"/>
      <c r="M21" s="335"/>
      <c r="N21" s="325"/>
      <c r="O21" s="325"/>
      <c r="P21" s="325"/>
      <c r="Q21" s="325"/>
      <c r="R21" s="325"/>
      <c r="S21" s="325"/>
      <c r="T21" s="325"/>
      <c r="U21" s="325"/>
      <c r="V21" s="322"/>
      <c r="W21" s="323"/>
      <c r="X21" s="335"/>
      <c r="Y21" s="342"/>
      <c r="Z21" s="307"/>
      <c r="AA21" s="307"/>
      <c r="AB21" s="100"/>
      <c r="AC21" s="100"/>
      <c r="AD21" s="100"/>
      <c r="BB21" s="101"/>
      <c r="BC21" s="101"/>
      <c r="BD21" s="101"/>
      <c r="BE21" s="101"/>
    </row>
    <row r="22" spans="1:57" x14ac:dyDescent="0.2">
      <c r="A22" s="105" t="s">
        <v>13</v>
      </c>
      <c r="B22" s="334">
        <v>24.8</v>
      </c>
      <c r="C22" s="335"/>
      <c r="D22" s="325">
        <v>31.42</v>
      </c>
      <c r="E22" s="325"/>
      <c r="F22" s="325">
        <v>12.61</v>
      </c>
      <c r="G22" s="325"/>
      <c r="H22" s="325">
        <v>10.41</v>
      </c>
      <c r="I22" s="325"/>
      <c r="J22" s="335">
        <v>12.67</v>
      </c>
      <c r="K22" s="335"/>
      <c r="L22" s="334">
        <v>22.09</v>
      </c>
      <c r="M22" s="335"/>
      <c r="N22" s="325">
        <v>31.42</v>
      </c>
      <c r="O22" s="325"/>
      <c r="P22" s="325">
        <v>12.61</v>
      </c>
      <c r="Q22" s="325"/>
      <c r="R22" s="325">
        <f>10.41</f>
        <v>10.41</v>
      </c>
      <c r="S22" s="325"/>
      <c r="T22" s="325">
        <v>12.67</v>
      </c>
      <c r="U22" s="325"/>
      <c r="V22" s="325">
        <v>14.92</v>
      </c>
      <c r="W22" s="325"/>
      <c r="X22" s="335">
        <v>8</v>
      </c>
      <c r="Y22" s="342"/>
      <c r="Z22" s="307"/>
      <c r="AA22" s="307"/>
      <c r="AB22" s="100"/>
      <c r="AC22" s="100"/>
      <c r="AD22" s="100"/>
      <c r="BB22" s="101"/>
      <c r="BC22" s="101"/>
      <c r="BD22" s="101"/>
      <c r="BE22" s="101"/>
    </row>
    <row r="23" spans="1:57" x14ac:dyDescent="0.2">
      <c r="A23" s="105" t="s">
        <v>14</v>
      </c>
      <c r="B23" s="334">
        <v>25</v>
      </c>
      <c r="C23" s="335"/>
      <c r="D23" s="325">
        <v>21</v>
      </c>
      <c r="E23" s="325"/>
      <c r="F23" s="325">
        <v>14</v>
      </c>
      <c r="G23" s="325"/>
      <c r="H23" s="325">
        <v>8</v>
      </c>
      <c r="I23" s="325"/>
      <c r="J23" s="335">
        <v>21</v>
      </c>
      <c r="K23" s="335"/>
      <c r="L23" s="334">
        <v>30</v>
      </c>
      <c r="M23" s="335"/>
      <c r="N23" s="325">
        <v>29</v>
      </c>
      <c r="O23" s="325"/>
      <c r="P23" s="325">
        <v>23</v>
      </c>
      <c r="Q23" s="325"/>
      <c r="R23" s="325">
        <v>14</v>
      </c>
      <c r="S23" s="325"/>
      <c r="T23" s="325">
        <v>17</v>
      </c>
      <c r="U23" s="325"/>
      <c r="V23" s="325">
        <v>14</v>
      </c>
      <c r="W23" s="325"/>
      <c r="X23" s="335">
        <v>15</v>
      </c>
      <c r="Y23" s="342"/>
      <c r="Z23" s="307"/>
      <c r="AA23" s="307"/>
      <c r="AB23" s="100"/>
      <c r="AC23" s="100"/>
      <c r="AD23" s="100"/>
      <c r="BB23" s="101"/>
      <c r="BC23" s="101"/>
      <c r="BD23" s="101"/>
      <c r="BE23" s="101"/>
    </row>
    <row r="24" spans="1:57" x14ac:dyDescent="0.2">
      <c r="A24" s="105" t="s">
        <v>127</v>
      </c>
      <c r="B24" s="334"/>
      <c r="C24" s="335"/>
      <c r="D24" s="325"/>
      <c r="E24" s="325"/>
      <c r="F24" s="325"/>
      <c r="G24" s="325"/>
      <c r="H24" s="325"/>
      <c r="I24" s="325"/>
      <c r="J24" s="335"/>
      <c r="K24" s="335"/>
      <c r="L24" s="334"/>
      <c r="M24" s="335"/>
      <c r="N24" s="325"/>
      <c r="O24" s="325"/>
      <c r="P24" s="325"/>
      <c r="Q24" s="325"/>
      <c r="R24" s="325"/>
      <c r="S24" s="325"/>
      <c r="T24" s="325"/>
      <c r="U24" s="325"/>
      <c r="V24" s="325"/>
      <c r="W24" s="325"/>
      <c r="X24" s="335"/>
      <c r="Y24" s="342"/>
      <c r="Z24" s="307"/>
      <c r="AA24" s="307"/>
      <c r="AB24" s="100"/>
      <c r="AC24" s="100"/>
      <c r="AD24" s="100"/>
      <c r="BB24" s="101"/>
      <c r="BC24" s="101"/>
      <c r="BD24" s="101"/>
      <c r="BE24" s="101"/>
    </row>
    <row r="25" spans="1:57" x14ac:dyDescent="0.2">
      <c r="A25" s="105" t="s">
        <v>16</v>
      </c>
      <c r="B25" s="334"/>
      <c r="C25" s="335"/>
      <c r="D25" s="325"/>
      <c r="E25" s="325"/>
      <c r="F25" s="325"/>
      <c r="G25" s="325"/>
      <c r="H25" s="325"/>
      <c r="I25" s="325"/>
      <c r="J25" s="335"/>
      <c r="K25" s="335"/>
      <c r="L25" s="334"/>
      <c r="M25" s="335"/>
      <c r="N25" s="325"/>
      <c r="O25" s="325"/>
      <c r="P25" s="325"/>
      <c r="Q25" s="325"/>
      <c r="R25" s="325"/>
      <c r="S25" s="325"/>
      <c r="T25" s="325"/>
      <c r="U25" s="325"/>
      <c r="V25" s="325"/>
      <c r="W25" s="325"/>
      <c r="X25" s="335"/>
      <c r="Y25" s="342"/>
      <c r="Z25" s="307"/>
      <c r="AA25" s="307"/>
      <c r="AB25" s="100"/>
      <c r="AC25" s="100"/>
      <c r="AD25" s="100"/>
      <c r="BB25" s="101"/>
      <c r="BC25" s="101"/>
      <c r="BD25" s="101"/>
      <c r="BE25" s="101"/>
    </row>
    <row r="26" spans="1:57" x14ac:dyDescent="0.2">
      <c r="A26" s="105" t="s">
        <v>17</v>
      </c>
      <c r="B26" s="374">
        <f t="shared" ref="B26:X26" si="0">(SUM(B11:B25))*0.5*0.065</f>
        <v>16.748656659090909</v>
      </c>
      <c r="C26" s="353"/>
      <c r="D26" s="355">
        <f t="shared" si="0"/>
        <v>16.958824999999997</v>
      </c>
      <c r="E26" s="355"/>
      <c r="F26" s="355">
        <f t="shared" si="0"/>
        <v>16.519099999999998</v>
      </c>
      <c r="G26" s="355"/>
      <c r="H26" s="355">
        <f t="shared" si="0"/>
        <v>8.4452563000000005</v>
      </c>
      <c r="I26" s="355"/>
      <c r="J26" s="353">
        <f t="shared" si="0"/>
        <v>8.8165999999999993</v>
      </c>
      <c r="K26" s="353"/>
      <c r="L26" s="374">
        <f t="shared" si="0"/>
        <v>13.270434568181816</v>
      </c>
      <c r="M26" s="353"/>
      <c r="N26" s="355">
        <f t="shared" si="0"/>
        <v>15.128750000000002</v>
      </c>
      <c r="O26" s="355"/>
      <c r="P26" s="355">
        <f t="shared" si="0"/>
        <v>8.41594585</v>
      </c>
      <c r="Q26" s="355"/>
      <c r="R26" s="355">
        <f t="shared" si="0"/>
        <v>6.1554974000000007</v>
      </c>
      <c r="S26" s="355"/>
      <c r="T26" s="355">
        <f t="shared" si="0"/>
        <v>5.6459627249999986</v>
      </c>
      <c r="U26" s="355"/>
      <c r="V26" s="355">
        <f>(SUM(V11:V25))*0.5*0.065</f>
        <v>8.6089591249999984</v>
      </c>
      <c r="W26" s="355"/>
      <c r="X26" s="353">
        <f t="shared" si="0"/>
        <v>5.8533114250000002</v>
      </c>
      <c r="Y26" s="354"/>
      <c r="Z26" s="307"/>
      <c r="AA26" s="307"/>
      <c r="AB26" s="100"/>
      <c r="AC26" s="100"/>
      <c r="AD26" s="100"/>
      <c r="BB26" s="101"/>
      <c r="BC26" s="101"/>
      <c r="BD26" s="101"/>
      <c r="BE26" s="101"/>
    </row>
    <row r="27" spans="1:57" x14ac:dyDescent="0.2">
      <c r="A27" s="105" t="s">
        <v>172</v>
      </c>
      <c r="B27" s="374">
        <f>(B7*0.08)+(B7/495*16.75)-(1.253*B7/2000*175)</f>
        <v>5.0410606060606256</v>
      </c>
      <c r="C27" s="353"/>
      <c r="D27" s="355"/>
      <c r="E27" s="355"/>
      <c r="F27" s="355"/>
      <c r="G27" s="355"/>
      <c r="H27" s="355"/>
      <c r="I27" s="355"/>
      <c r="J27" s="353"/>
      <c r="K27" s="353"/>
      <c r="L27" s="374">
        <f>(L7*0.08)+(L7/500*16.75)-(1.253*L7/2000*175)</f>
        <v>2.8968750000000085</v>
      </c>
      <c r="M27" s="353"/>
      <c r="N27" s="355"/>
      <c r="O27" s="355"/>
      <c r="P27" s="355"/>
      <c r="Q27" s="355"/>
      <c r="R27" s="355"/>
      <c r="S27" s="355"/>
      <c r="T27" s="355"/>
      <c r="U27" s="355"/>
      <c r="V27" s="355"/>
      <c r="W27" s="355"/>
      <c r="X27" s="353"/>
      <c r="Y27" s="354"/>
      <c r="Z27" s="307"/>
      <c r="AA27" s="307"/>
      <c r="AB27" s="100"/>
      <c r="AC27" s="100"/>
      <c r="AD27" s="100"/>
      <c r="BB27" s="101"/>
      <c r="BC27" s="101"/>
      <c r="BD27" s="101"/>
      <c r="BE27" s="101"/>
    </row>
    <row r="28" spans="1:57" x14ac:dyDescent="0.2">
      <c r="A28" s="105" t="s">
        <v>15</v>
      </c>
      <c r="B28" s="374"/>
      <c r="C28" s="353"/>
      <c r="D28" s="355">
        <f>D7/2000*0.33*20+D7/2000*0.67*30</f>
        <v>62.745000000000005</v>
      </c>
      <c r="E28" s="355"/>
      <c r="F28" s="355">
        <f>F7*1.0975*0.28</f>
        <v>61.46</v>
      </c>
      <c r="G28" s="355"/>
      <c r="H28" s="355"/>
      <c r="I28" s="355"/>
      <c r="J28" s="353">
        <f>J7*1.0975*0.28</f>
        <v>30.73</v>
      </c>
      <c r="K28" s="353"/>
      <c r="L28" s="374"/>
      <c r="M28" s="353"/>
      <c r="N28" s="355">
        <f>N7/2000*0.33*20+N7/2000*0.67*30</f>
        <v>45.39</v>
      </c>
      <c r="O28" s="355"/>
      <c r="P28" s="355">
        <f>P7*1.0975*0.28</f>
        <v>26.1205</v>
      </c>
      <c r="Q28" s="355"/>
      <c r="R28" s="355"/>
      <c r="S28" s="355"/>
      <c r="T28" s="355">
        <f>T7*1.0975*0.28</f>
        <v>19.974499999999999</v>
      </c>
      <c r="U28" s="355"/>
      <c r="V28" s="355">
        <f>V7*1.03*0.095</f>
        <v>7.3387500000000001</v>
      </c>
      <c r="W28" s="355"/>
      <c r="X28" s="353">
        <f>X7*1.03*0.095</f>
        <v>5.3817500000000003</v>
      </c>
      <c r="Y28" s="354"/>
      <c r="Z28" s="307"/>
      <c r="AA28" s="307"/>
      <c r="AB28" s="100"/>
      <c r="AC28" s="100"/>
      <c r="AD28" s="100"/>
      <c r="BB28" s="101"/>
      <c r="BC28" s="101"/>
      <c r="BD28" s="101"/>
      <c r="BE28" s="101"/>
    </row>
    <row r="29" spans="1:57" x14ac:dyDescent="0.2">
      <c r="A29" s="105" t="s">
        <v>18</v>
      </c>
      <c r="B29" s="336"/>
      <c r="C29" s="337"/>
      <c r="D29" s="326">
        <f>D7/2000*3+D7/2000*355*0.01</f>
        <v>15.3925</v>
      </c>
      <c r="E29" s="326"/>
      <c r="F29" s="326"/>
      <c r="G29" s="326"/>
      <c r="H29" s="326"/>
      <c r="I29" s="326"/>
      <c r="J29" s="337"/>
      <c r="K29" s="337"/>
      <c r="L29" s="336"/>
      <c r="M29" s="337"/>
      <c r="N29" s="326">
        <f>N7/2000*3+N7/2000*355*0.01</f>
        <v>11.135</v>
      </c>
      <c r="O29" s="326"/>
      <c r="P29" s="326"/>
      <c r="Q29" s="326"/>
      <c r="R29" s="326"/>
      <c r="S29" s="326"/>
      <c r="T29" s="326"/>
      <c r="U29" s="326"/>
      <c r="V29" s="326"/>
      <c r="W29" s="326"/>
      <c r="X29" s="337"/>
      <c r="Y29" s="346"/>
      <c r="Z29" s="307"/>
      <c r="AA29" s="307"/>
      <c r="AB29" s="100"/>
      <c r="AC29" s="100"/>
      <c r="AD29" s="100"/>
      <c r="BB29" s="101"/>
      <c r="BC29" s="101"/>
      <c r="BD29" s="101"/>
      <c r="BE29" s="101"/>
    </row>
    <row r="30" spans="1:57" ht="13.5" thickBot="1" x14ac:dyDescent="0.25">
      <c r="A30" s="125" t="s">
        <v>158</v>
      </c>
      <c r="B30" s="349">
        <f t="shared" ref="B30:X30" si="1">SUM(B11:B29)</f>
        <v>537.13299908333329</v>
      </c>
      <c r="C30" s="348"/>
      <c r="D30" s="329">
        <f t="shared" si="1"/>
        <v>616.90632500000004</v>
      </c>
      <c r="E30" s="329"/>
      <c r="F30" s="329">
        <f t="shared" si="1"/>
        <v>586.25909999999999</v>
      </c>
      <c r="G30" s="329"/>
      <c r="H30" s="329">
        <f t="shared" si="1"/>
        <v>268.29929629999998</v>
      </c>
      <c r="I30" s="329"/>
      <c r="J30" s="348">
        <f t="shared" si="1"/>
        <v>310.82659999999998</v>
      </c>
      <c r="K30" s="348"/>
      <c r="L30" s="349">
        <f>SUM(L11:L29)</f>
        <v>424.48837320454538</v>
      </c>
      <c r="M30" s="348"/>
      <c r="N30" s="329">
        <f t="shared" si="1"/>
        <v>537.15375000000006</v>
      </c>
      <c r="O30" s="329"/>
      <c r="P30" s="329">
        <f t="shared" si="1"/>
        <v>293.48862585000001</v>
      </c>
      <c r="Q30" s="329"/>
      <c r="R30" s="329">
        <f t="shared" si="1"/>
        <v>195.55541740000001</v>
      </c>
      <c r="S30" s="329"/>
      <c r="T30" s="329">
        <f t="shared" si="1"/>
        <v>199.34239272499997</v>
      </c>
      <c r="U30" s="329"/>
      <c r="V30" s="329">
        <f>SUM(V11:V29)</f>
        <v>280.83875912499997</v>
      </c>
      <c r="W30" s="329"/>
      <c r="X30" s="348">
        <f t="shared" si="1"/>
        <v>191.336951425</v>
      </c>
      <c r="Y30" s="351"/>
      <c r="Z30" s="307"/>
      <c r="AA30" s="307"/>
      <c r="AB30" s="100"/>
      <c r="AC30" s="100"/>
      <c r="AD30" s="100"/>
      <c r="BB30" s="101"/>
      <c r="BC30" s="101"/>
      <c r="BD30" s="101"/>
      <c r="BE30" s="101"/>
    </row>
    <row r="31" spans="1:57" s="165" customFormat="1" x14ac:dyDescent="0.2">
      <c r="A31" s="163" t="s">
        <v>164</v>
      </c>
      <c r="B31" s="375">
        <f t="shared" ref="B31:X31" si="2">B9-B30</f>
        <v>302.86700091666671</v>
      </c>
      <c r="C31" s="357"/>
      <c r="D31" s="356">
        <f t="shared" si="2"/>
        <v>252.34367500000008</v>
      </c>
      <c r="E31" s="356"/>
      <c r="F31" s="356">
        <f t="shared" si="2"/>
        <v>263.74090000000001</v>
      </c>
      <c r="G31" s="356"/>
      <c r="H31" s="356">
        <f t="shared" si="2"/>
        <v>247.70070370000002</v>
      </c>
      <c r="I31" s="356"/>
      <c r="J31" s="357">
        <f t="shared" si="2"/>
        <v>93.173400000000015</v>
      </c>
      <c r="K31" s="357"/>
      <c r="L31" s="375">
        <f t="shared" si="2"/>
        <v>100.51162679545462</v>
      </c>
      <c r="M31" s="357"/>
      <c r="N31" s="356">
        <f t="shared" si="2"/>
        <v>92.596249999999941</v>
      </c>
      <c r="O31" s="356"/>
      <c r="P31" s="356">
        <f t="shared" si="2"/>
        <v>67.761374149999995</v>
      </c>
      <c r="Q31" s="356"/>
      <c r="R31" s="356">
        <f t="shared" si="2"/>
        <v>62.44458259999999</v>
      </c>
      <c r="S31" s="356"/>
      <c r="T31" s="356">
        <f t="shared" si="2"/>
        <v>63.257607275000055</v>
      </c>
      <c r="U31" s="356"/>
      <c r="V31" s="356">
        <f>V9-V30</f>
        <v>94.161240875000033</v>
      </c>
      <c r="W31" s="356"/>
      <c r="X31" s="357">
        <f t="shared" si="2"/>
        <v>83.663048575000005</v>
      </c>
      <c r="Y31" s="358"/>
      <c r="Z31" s="310"/>
      <c r="AA31" s="310"/>
      <c r="AB31" s="164"/>
      <c r="AC31" s="164"/>
      <c r="AD31" s="164"/>
      <c r="AE31" s="164"/>
      <c r="AF31" s="164"/>
      <c r="AG31" s="164"/>
      <c r="AH31" s="164"/>
      <c r="AI31" s="164"/>
      <c r="AJ31" s="164"/>
      <c r="AK31" s="164"/>
      <c r="AL31" s="164"/>
      <c r="AM31" s="164"/>
      <c r="AN31" s="164"/>
      <c r="AO31" s="164"/>
      <c r="AP31" s="164"/>
      <c r="AQ31" s="164"/>
      <c r="AR31" s="164"/>
      <c r="AS31" s="164"/>
      <c r="AT31" s="164"/>
      <c r="AU31" s="164"/>
      <c r="AV31" s="164"/>
      <c r="AW31" s="164"/>
      <c r="AX31" s="164"/>
      <c r="AY31" s="164"/>
      <c r="AZ31" s="164"/>
      <c r="BA31" s="164"/>
    </row>
    <row r="32" spans="1:57" x14ac:dyDescent="0.2">
      <c r="A32" s="261" t="s">
        <v>171</v>
      </c>
      <c r="B32" s="262">
        <f>B30/B7</f>
        <v>0.44761083256944439</v>
      </c>
      <c r="C32" s="263" t="s">
        <v>160</v>
      </c>
      <c r="D32" s="264">
        <f>D30/D7*2000</f>
        <v>262.51332978723406</v>
      </c>
      <c r="E32" s="265" t="s">
        <v>161</v>
      </c>
      <c r="F32" s="266">
        <f>F30/F7</f>
        <v>2.9312955000000001</v>
      </c>
      <c r="G32" s="265" t="s">
        <v>163</v>
      </c>
      <c r="H32" s="266">
        <f>H30/H7</f>
        <v>4.4716549383333328</v>
      </c>
      <c r="I32" s="265" t="s">
        <v>163</v>
      </c>
      <c r="J32" s="267">
        <f>J30/J7</f>
        <v>3.108266</v>
      </c>
      <c r="K32" s="263" t="s">
        <v>163</v>
      </c>
      <c r="L32" s="262">
        <f>L30/L7</f>
        <v>0.56598449760606051</v>
      </c>
      <c r="M32" s="263" t="s">
        <v>160</v>
      </c>
      <c r="N32" s="264">
        <f>N30/N7*2000</f>
        <v>315.97279411764714</v>
      </c>
      <c r="O32" s="265" t="s">
        <v>161</v>
      </c>
      <c r="P32" s="266">
        <f>P30/P7</f>
        <v>3.4528073629411766</v>
      </c>
      <c r="Q32" s="265" t="s">
        <v>163</v>
      </c>
      <c r="R32" s="266">
        <f>R30/R7</f>
        <v>6.5185139133333339</v>
      </c>
      <c r="S32" s="265" t="s">
        <v>163</v>
      </c>
      <c r="T32" s="266">
        <f>T30/T7</f>
        <v>3.0668060419230763</v>
      </c>
      <c r="U32" s="265" t="s">
        <v>163</v>
      </c>
      <c r="V32" s="266">
        <f>V30/V7</f>
        <v>3.7445167883333328</v>
      </c>
      <c r="W32" s="265" t="s">
        <v>163</v>
      </c>
      <c r="X32" s="267">
        <f>X30/X7</f>
        <v>3.4788536622727273</v>
      </c>
      <c r="Y32" s="268" t="s">
        <v>163</v>
      </c>
      <c r="Z32" s="307"/>
      <c r="AA32" s="307"/>
      <c r="AB32" s="100"/>
      <c r="AC32" s="100"/>
      <c r="AD32" s="100"/>
      <c r="BB32" s="101"/>
      <c r="BC32" s="101"/>
      <c r="BD32" s="101"/>
      <c r="BE32" s="101"/>
    </row>
    <row r="33" spans="1:57" x14ac:dyDescent="0.2">
      <c r="A33" s="108" t="s">
        <v>165</v>
      </c>
      <c r="B33" s="374"/>
      <c r="C33" s="353"/>
      <c r="D33" s="355"/>
      <c r="E33" s="355"/>
      <c r="F33" s="355"/>
      <c r="G33" s="355"/>
      <c r="H33" s="355"/>
      <c r="I33" s="355"/>
      <c r="J33" s="353"/>
      <c r="K33" s="353"/>
      <c r="L33" s="374"/>
      <c r="M33" s="353"/>
      <c r="N33" s="355"/>
      <c r="O33" s="355"/>
      <c r="P33" s="355"/>
      <c r="Q33" s="355"/>
      <c r="R33" s="355"/>
      <c r="S33" s="355"/>
      <c r="T33" s="355"/>
      <c r="U33" s="355"/>
      <c r="V33" s="355"/>
      <c r="W33" s="355"/>
      <c r="X33" s="353"/>
      <c r="Y33" s="354"/>
      <c r="Z33" s="307"/>
      <c r="AA33" s="307"/>
      <c r="AB33" s="100"/>
      <c r="AC33" s="100"/>
      <c r="AD33" s="100"/>
      <c r="BB33" s="101"/>
      <c r="BC33" s="101"/>
      <c r="BD33" s="101"/>
      <c r="BE33" s="101"/>
    </row>
    <row r="34" spans="1:57" x14ac:dyDescent="0.2">
      <c r="A34" s="105" t="s">
        <v>19</v>
      </c>
      <c r="B34" s="334">
        <f>(48.49+17.14+77.42)*1.02</f>
        <v>145.911</v>
      </c>
      <c r="C34" s="335"/>
      <c r="D34" s="325">
        <f>55.26+81.21</f>
        <v>136.47</v>
      </c>
      <c r="E34" s="325"/>
      <c r="F34" s="325">
        <f>30.07+37.19</f>
        <v>67.259999999999991</v>
      </c>
      <c r="G34" s="325"/>
      <c r="H34" s="325">
        <f>22.41+34.13</f>
        <v>56.540000000000006</v>
      </c>
      <c r="I34" s="325"/>
      <c r="J34" s="335">
        <f>30.41+34.22</f>
        <v>64.63</v>
      </c>
      <c r="K34" s="335"/>
      <c r="L34" s="334">
        <f>(48.49+17.14+77.42)*1.02</f>
        <v>145.911</v>
      </c>
      <c r="M34" s="335"/>
      <c r="N34" s="325">
        <f>55.26+81.21</f>
        <v>136.47</v>
      </c>
      <c r="O34" s="325"/>
      <c r="P34" s="325">
        <f>30.07+37.19</f>
        <v>67.259999999999991</v>
      </c>
      <c r="Q34" s="325"/>
      <c r="R34" s="325">
        <f>22.41+34.13</f>
        <v>56.540000000000006</v>
      </c>
      <c r="S34" s="325"/>
      <c r="T34" s="322">
        <f>30.41+34.22</f>
        <v>64.63</v>
      </c>
      <c r="U34" s="323"/>
      <c r="V34" s="325">
        <f>41.59+24.17</f>
        <v>65.760000000000005</v>
      </c>
      <c r="W34" s="325"/>
      <c r="X34" s="335">
        <f>17.69+24.17</f>
        <v>41.86</v>
      </c>
      <c r="Y34" s="342"/>
      <c r="Z34" s="307"/>
      <c r="AA34" s="307"/>
      <c r="AB34" s="100"/>
      <c r="AC34" s="100"/>
      <c r="AD34" s="100"/>
      <c r="BB34" s="101"/>
      <c r="BC34" s="101"/>
      <c r="BD34" s="101"/>
      <c r="BE34" s="101"/>
    </row>
    <row r="35" spans="1:57" x14ac:dyDescent="0.2">
      <c r="A35" s="105" t="s">
        <v>12</v>
      </c>
      <c r="B35" s="334">
        <v>125</v>
      </c>
      <c r="C35" s="335"/>
      <c r="D35" s="325">
        <v>125</v>
      </c>
      <c r="E35" s="325"/>
      <c r="F35" s="325">
        <v>125</v>
      </c>
      <c r="G35" s="325"/>
      <c r="H35" s="325">
        <v>125</v>
      </c>
      <c r="I35" s="325"/>
      <c r="J35" s="335">
        <v>125</v>
      </c>
      <c r="K35" s="335"/>
      <c r="L35" s="334"/>
      <c r="M35" s="335"/>
      <c r="N35" s="325"/>
      <c r="O35" s="325"/>
      <c r="P35" s="325"/>
      <c r="Q35" s="325"/>
      <c r="R35" s="325"/>
      <c r="S35" s="325"/>
      <c r="T35" s="325"/>
      <c r="U35" s="325"/>
      <c r="V35" s="325"/>
      <c r="W35" s="325"/>
      <c r="X35" s="335"/>
      <c r="Y35" s="342"/>
      <c r="Z35" s="307"/>
      <c r="AA35" s="307"/>
      <c r="AB35" s="100"/>
      <c r="AC35" s="100"/>
      <c r="AD35" s="100"/>
      <c r="BB35" s="101"/>
      <c r="BC35" s="101"/>
      <c r="BD35" s="101"/>
      <c r="BE35" s="101"/>
    </row>
    <row r="36" spans="1:57" x14ac:dyDescent="0.2">
      <c r="A36" s="105" t="s">
        <v>20</v>
      </c>
      <c r="B36" s="334"/>
      <c r="C36" s="335"/>
      <c r="D36" s="325"/>
      <c r="E36" s="325"/>
      <c r="F36" s="325"/>
      <c r="G36" s="325"/>
      <c r="H36" s="325"/>
      <c r="I36" s="325"/>
      <c r="J36" s="335"/>
      <c r="K36" s="335"/>
      <c r="L36" s="334"/>
      <c r="M36" s="335"/>
      <c r="N36" s="325"/>
      <c r="O36" s="325"/>
      <c r="P36" s="325"/>
      <c r="Q36" s="325"/>
      <c r="R36" s="325"/>
      <c r="S36" s="325"/>
      <c r="T36" s="325"/>
      <c r="U36" s="325"/>
      <c r="V36" s="325"/>
      <c r="W36" s="325"/>
      <c r="X36" s="335"/>
      <c r="Y36" s="342"/>
      <c r="Z36" s="307"/>
      <c r="AA36" s="307"/>
      <c r="AB36" s="100"/>
      <c r="AC36" s="100"/>
      <c r="AD36" s="100"/>
      <c r="BB36" s="101"/>
      <c r="BC36" s="101"/>
      <c r="BD36" s="101"/>
      <c r="BE36" s="101"/>
    </row>
    <row r="37" spans="1:57" x14ac:dyDescent="0.2">
      <c r="A37" s="105" t="s">
        <v>21</v>
      </c>
      <c r="B37" s="336">
        <f>0.05*B30</f>
        <v>26.856649954166667</v>
      </c>
      <c r="C37" s="337"/>
      <c r="D37" s="326">
        <f>0.05*D30</f>
        <v>30.845316250000003</v>
      </c>
      <c r="E37" s="326"/>
      <c r="F37" s="326">
        <f>0.05*F30</f>
        <v>29.312955000000002</v>
      </c>
      <c r="G37" s="326"/>
      <c r="H37" s="326">
        <f>0.05*H30</f>
        <v>13.414964814999999</v>
      </c>
      <c r="I37" s="326"/>
      <c r="J37" s="337">
        <f>0.05*J30</f>
        <v>15.54133</v>
      </c>
      <c r="K37" s="337"/>
      <c r="L37" s="336">
        <f>0.05*L30</f>
        <v>21.224418660227272</v>
      </c>
      <c r="M37" s="337"/>
      <c r="N37" s="326">
        <f>0.05*N30</f>
        <v>26.857687500000004</v>
      </c>
      <c r="O37" s="326"/>
      <c r="P37" s="326">
        <f>0.05*P30</f>
        <v>14.674431292500001</v>
      </c>
      <c r="Q37" s="326"/>
      <c r="R37" s="326">
        <f>0.05*R30</f>
        <v>9.7777708700000012</v>
      </c>
      <c r="S37" s="326"/>
      <c r="T37" s="326">
        <f>0.05*T30</f>
        <v>9.9671196362499987</v>
      </c>
      <c r="U37" s="326"/>
      <c r="V37" s="326">
        <f>0.05*V30</f>
        <v>14.041937956249999</v>
      </c>
      <c r="W37" s="326"/>
      <c r="X37" s="337">
        <f>0.05*X30</f>
        <v>9.5668475712499994</v>
      </c>
      <c r="Y37" s="346"/>
      <c r="Z37" s="307"/>
      <c r="AA37" s="307"/>
      <c r="AB37" s="100"/>
      <c r="AC37" s="100"/>
      <c r="AD37" s="100"/>
      <c r="BB37" s="101"/>
      <c r="BC37" s="101"/>
      <c r="BD37" s="101"/>
      <c r="BE37" s="101"/>
    </row>
    <row r="38" spans="1:57" x14ac:dyDescent="0.2">
      <c r="A38" s="111" t="s">
        <v>166</v>
      </c>
      <c r="B38" s="338">
        <f>SUM(B34:B37)</f>
        <v>297.76764995416664</v>
      </c>
      <c r="C38" s="339"/>
      <c r="D38" s="327">
        <f>SUM(D34:D37)</f>
        <v>292.31531625000002</v>
      </c>
      <c r="E38" s="327"/>
      <c r="F38" s="327">
        <f>SUM(F34:F37)</f>
        <v>221.57295499999998</v>
      </c>
      <c r="G38" s="327"/>
      <c r="H38" s="327">
        <f>SUM(H34:H37)</f>
        <v>194.95496481500001</v>
      </c>
      <c r="I38" s="327"/>
      <c r="J38" s="339">
        <f>SUM(J34:J37)</f>
        <v>205.17132999999998</v>
      </c>
      <c r="K38" s="339"/>
      <c r="L38" s="338">
        <f>SUM(L34:L37)</f>
        <v>167.13541866022729</v>
      </c>
      <c r="M38" s="339"/>
      <c r="N38" s="327">
        <f>SUM(N34:N37)</f>
        <v>163.3276875</v>
      </c>
      <c r="O38" s="327"/>
      <c r="P38" s="327">
        <f>SUM(P34:P37)</f>
        <v>81.934431292499994</v>
      </c>
      <c r="Q38" s="327"/>
      <c r="R38" s="327">
        <f>SUM(R34:R37)</f>
        <v>66.317770870000004</v>
      </c>
      <c r="S38" s="327"/>
      <c r="T38" s="327">
        <f>SUM(T34:T37)</f>
        <v>74.59711963625</v>
      </c>
      <c r="U38" s="327"/>
      <c r="V38" s="327">
        <f>SUM(V34:V37)</f>
        <v>79.801937956250001</v>
      </c>
      <c r="W38" s="327"/>
      <c r="X38" s="339">
        <f>SUM(X34:X37)</f>
        <v>51.426847571250001</v>
      </c>
      <c r="Y38" s="345"/>
      <c r="Z38" s="307"/>
      <c r="AA38" s="307"/>
      <c r="AB38" s="100"/>
      <c r="AC38" s="100"/>
      <c r="AD38" s="100"/>
      <c r="BB38" s="101"/>
      <c r="BC38" s="101"/>
      <c r="BD38" s="101"/>
      <c r="BE38" s="101"/>
    </row>
    <row r="39" spans="1:57" x14ac:dyDescent="0.2">
      <c r="A39" s="105"/>
      <c r="B39" s="135"/>
      <c r="C39" s="136"/>
      <c r="D39" s="328"/>
      <c r="E39" s="328"/>
      <c r="F39" s="328"/>
      <c r="G39" s="328"/>
      <c r="H39" s="328"/>
      <c r="I39" s="328"/>
      <c r="J39" s="343"/>
      <c r="K39" s="343"/>
      <c r="L39" s="347"/>
      <c r="M39" s="343"/>
      <c r="N39" s="328"/>
      <c r="O39" s="328"/>
      <c r="P39" s="328"/>
      <c r="Q39" s="328"/>
      <c r="R39" s="328"/>
      <c r="S39" s="328"/>
      <c r="T39" s="328"/>
      <c r="U39" s="328"/>
      <c r="V39" s="303"/>
      <c r="W39" s="304"/>
      <c r="X39" s="343"/>
      <c r="Y39" s="344"/>
      <c r="Z39" s="307"/>
      <c r="AA39" s="307"/>
      <c r="AB39" s="100"/>
      <c r="AC39" s="100"/>
      <c r="AD39" s="100"/>
      <c r="BB39" s="101"/>
      <c r="BC39" s="101"/>
      <c r="BD39" s="101"/>
      <c r="BE39" s="101"/>
    </row>
    <row r="40" spans="1:57" ht="13.5" thickBot="1" x14ac:dyDescent="0.25">
      <c r="A40" s="125" t="s">
        <v>167</v>
      </c>
      <c r="B40" s="349">
        <f>B38+B30</f>
        <v>834.90064903749999</v>
      </c>
      <c r="C40" s="348"/>
      <c r="D40" s="329">
        <f>D38+D30</f>
        <v>909.22164125000006</v>
      </c>
      <c r="E40" s="329"/>
      <c r="F40" s="329">
        <f>F38+F30</f>
        <v>807.83205499999997</v>
      </c>
      <c r="G40" s="329"/>
      <c r="H40" s="329">
        <f>H38+H30</f>
        <v>463.25426111499996</v>
      </c>
      <c r="I40" s="329"/>
      <c r="J40" s="348">
        <f>J38+J30</f>
        <v>515.99793</v>
      </c>
      <c r="K40" s="348"/>
      <c r="L40" s="349">
        <f>L38+L30</f>
        <v>591.62379186477267</v>
      </c>
      <c r="M40" s="348"/>
      <c r="N40" s="329">
        <f>N38+N30</f>
        <v>700.48143750000008</v>
      </c>
      <c r="O40" s="329"/>
      <c r="P40" s="329">
        <f>P38+P30</f>
        <v>375.4230571425</v>
      </c>
      <c r="Q40" s="329"/>
      <c r="R40" s="329">
        <f>R38+R30</f>
        <v>261.87318827000001</v>
      </c>
      <c r="S40" s="329"/>
      <c r="T40" s="329">
        <f>T38+T30</f>
        <v>273.93951236124997</v>
      </c>
      <c r="U40" s="329"/>
      <c r="V40" s="329">
        <f>V38+V30</f>
        <v>360.64069708124998</v>
      </c>
      <c r="W40" s="329"/>
      <c r="X40" s="348">
        <f>X38+X30</f>
        <v>242.76379899624999</v>
      </c>
      <c r="Y40" s="351"/>
      <c r="Z40" s="307"/>
      <c r="AA40" s="307"/>
      <c r="AB40" s="100"/>
      <c r="AC40" s="100"/>
      <c r="AD40" s="100"/>
      <c r="BB40" s="101"/>
      <c r="BC40" s="101"/>
      <c r="BD40" s="101"/>
      <c r="BE40" s="101"/>
    </row>
    <row r="41" spans="1:57" s="167" customFormat="1" ht="13.5" thickBot="1" x14ac:dyDescent="0.25">
      <c r="A41" s="140" t="s">
        <v>168</v>
      </c>
      <c r="B41" s="340">
        <f>B9-B40</f>
        <v>5.0993509625000115</v>
      </c>
      <c r="C41" s="341"/>
      <c r="D41" s="333">
        <f>D9-D40</f>
        <v>-39.971641249999948</v>
      </c>
      <c r="E41" s="333"/>
      <c r="F41" s="333">
        <f>F9-F40</f>
        <v>42.167945000000032</v>
      </c>
      <c r="G41" s="333"/>
      <c r="H41" s="333">
        <f>H9-H40</f>
        <v>52.745738885000037</v>
      </c>
      <c r="I41" s="333"/>
      <c r="J41" s="341">
        <f>J9-J40</f>
        <v>-111.99793</v>
      </c>
      <c r="K41" s="341"/>
      <c r="L41" s="340">
        <f>L9-L40</f>
        <v>-66.62379186477267</v>
      </c>
      <c r="M41" s="341"/>
      <c r="N41" s="333">
        <f>N9-N40</f>
        <v>-70.731437500000084</v>
      </c>
      <c r="O41" s="333"/>
      <c r="P41" s="333">
        <f>P9-P40</f>
        <v>-14.173057142499999</v>
      </c>
      <c r="Q41" s="333"/>
      <c r="R41" s="333">
        <f>R9-R40</f>
        <v>-3.8731882700000142</v>
      </c>
      <c r="S41" s="333"/>
      <c r="T41" s="333">
        <f>T9-T40</f>
        <v>-11.339512361249945</v>
      </c>
      <c r="U41" s="333"/>
      <c r="V41" s="333">
        <f>V9-V40</f>
        <v>14.359302918750018</v>
      </c>
      <c r="W41" s="333"/>
      <c r="X41" s="341">
        <f>X9-X40</f>
        <v>32.236201003750011</v>
      </c>
      <c r="Y41" s="352"/>
      <c r="Z41" s="311"/>
      <c r="AA41" s="311"/>
      <c r="AB41" s="166"/>
      <c r="AC41" s="166"/>
      <c r="AD41" s="166"/>
      <c r="AE41" s="166"/>
      <c r="AF41" s="166"/>
      <c r="AG41" s="166"/>
      <c r="AH41" s="166"/>
      <c r="AI41" s="166"/>
      <c r="AJ41" s="166"/>
      <c r="AK41" s="166"/>
      <c r="AL41" s="166"/>
      <c r="AM41" s="166"/>
      <c r="AN41" s="166"/>
      <c r="AO41" s="166"/>
      <c r="AP41" s="166"/>
      <c r="AQ41" s="166"/>
      <c r="AR41" s="166"/>
      <c r="AS41" s="166"/>
      <c r="AT41" s="166"/>
      <c r="AU41" s="166"/>
      <c r="AV41" s="166"/>
      <c r="AW41" s="166"/>
      <c r="AX41" s="166"/>
      <c r="AY41" s="166"/>
      <c r="AZ41" s="166"/>
      <c r="BA41" s="166"/>
    </row>
    <row r="42" spans="1:57" ht="13.5" thickTop="1" x14ac:dyDescent="0.2">
      <c r="A42" s="105"/>
      <c r="B42" s="141"/>
      <c r="C42" s="142"/>
      <c r="D42" s="330"/>
      <c r="E42" s="330"/>
      <c r="F42" s="320"/>
      <c r="G42" s="321"/>
      <c r="H42" s="320"/>
      <c r="I42" s="321"/>
      <c r="J42" s="142"/>
      <c r="K42" s="142"/>
      <c r="L42" s="331"/>
      <c r="M42" s="332"/>
      <c r="N42" s="330"/>
      <c r="O42" s="330"/>
      <c r="P42" s="330"/>
      <c r="Q42" s="330"/>
      <c r="R42" s="330"/>
      <c r="S42" s="330"/>
      <c r="T42" s="330"/>
      <c r="U42" s="330"/>
      <c r="V42" s="320"/>
      <c r="W42" s="321"/>
      <c r="X42" s="332"/>
      <c r="Y42" s="350"/>
      <c r="Z42" s="307"/>
      <c r="AA42" s="307"/>
      <c r="AB42" s="100"/>
      <c r="AC42" s="100"/>
      <c r="AD42" s="100"/>
      <c r="BB42" s="101"/>
      <c r="BC42" s="101"/>
      <c r="BD42" s="101"/>
      <c r="BE42" s="101"/>
    </row>
    <row r="43" spans="1:57" x14ac:dyDescent="0.2">
      <c r="A43" s="127" t="s">
        <v>34</v>
      </c>
      <c r="B43" s="168">
        <f>B40/B7</f>
        <v>0.69575054086458332</v>
      </c>
      <c r="C43" s="146" t="s">
        <v>160</v>
      </c>
      <c r="D43" s="242">
        <f>D40/D7*2000</f>
        <v>386.90282606382982</v>
      </c>
      <c r="E43" s="244" t="s">
        <v>161</v>
      </c>
      <c r="F43" s="243">
        <f>F40/F7</f>
        <v>4.0391602749999995</v>
      </c>
      <c r="G43" s="244" t="s">
        <v>163</v>
      </c>
      <c r="H43" s="243">
        <f>H40/H7</f>
        <v>7.7209043519166665</v>
      </c>
      <c r="I43" s="244" t="s">
        <v>163</v>
      </c>
      <c r="J43" s="243">
        <f>J40/J7</f>
        <v>5.1599792999999998</v>
      </c>
      <c r="K43" s="129" t="s">
        <v>163</v>
      </c>
      <c r="L43" s="145">
        <f>L40/L7</f>
        <v>0.78883172248636357</v>
      </c>
      <c r="M43" s="146" t="s">
        <v>160</v>
      </c>
      <c r="N43" s="239">
        <f>N40/N7*2000</f>
        <v>412.04790441176476</v>
      </c>
      <c r="O43" s="238" t="s">
        <v>161</v>
      </c>
      <c r="P43" s="240">
        <f>P40/P7</f>
        <v>4.4167418487352945</v>
      </c>
      <c r="Q43" s="238" t="s">
        <v>163</v>
      </c>
      <c r="R43" s="240">
        <f>R40/R7</f>
        <v>8.729106275666668</v>
      </c>
      <c r="S43" s="238" t="s">
        <v>163</v>
      </c>
      <c r="T43" s="240">
        <f>T40/T7</f>
        <v>4.2144540363269227</v>
      </c>
      <c r="U43" s="238" t="s">
        <v>163</v>
      </c>
      <c r="V43" s="240">
        <f>V40/V7</f>
        <v>4.8085426277499996</v>
      </c>
      <c r="W43" s="238" t="s">
        <v>163</v>
      </c>
      <c r="X43" s="147">
        <f>X40/X7</f>
        <v>4.4138872544772729</v>
      </c>
      <c r="Y43" s="132" t="s">
        <v>163</v>
      </c>
      <c r="Z43" s="307"/>
      <c r="AA43" s="307"/>
      <c r="AB43" s="100"/>
      <c r="AC43" s="100"/>
      <c r="AD43" s="100"/>
      <c r="BA43" s="101"/>
      <c r="BB43" s="101"/>
      <c r="BC43" s="101"/>
      <c r="BD43" s="101"/>
      <c r="BE43" s="101"/>
    </row>
    <row r="44" spans="1:57" x14ac:dyDescent="0.2">
      <c r="A44" s="148" t="s">
        <v>169</v>
      </c>
      <c r="B44" s="149">
        <f>B40/B8</f>
        <v>1192.7152129107144</v>
      </c>
      <c r="C44" s="150" t="s">
        <v>159</v>
      </c>
      <c r="D44" s="245">
        <f>D40/D8*2000</f>
        <v>4916.1250662927814</v>
      </c>
      <c r="E44" s="241" t="s">
        <v>159</v>
      </c>
      <c r="F44" s="246">
        <f>F40/F8</f>
        <v>190.0781305882353</v>
      </c>
      <c r="G44" s="238" t="s">
        <v>162</v>
      </c>
      <c r="H44" s="246">
        <f>H40/H8</f>
        <v>53.866774548255812</v>
      </c>
      <c r="I44" s="238" t="s">
        <v>162</v>
      </c>
      <c r="J44" s="246">
        <f>J40/J8</f>
        <v>127.7222599009901</v>
      </c>
      <c r="K44" s="305" t="s">
        <v>162</v>
      </c>
      <c r="L44" s="312">
        <f>L40/L8</f>
        <v>845.17684552110381</v>
      </c>
      <c r="M44" s="150" t="s">
        <v>159</v>
      </c>
      <c r="N44" s="245">
        <f>N40/N8*2000</f>
        <v>3781.8767566494644</v>
      </c>
      <c r="O44" s="241" t="s">
        <v>159</v>
      </c>
      <c r="P44" s="246">
        <f>P40/P8</f>
        <v>88.33483697470588</v>
      </c>
      <c r="Q44" s="238" t="s">
        <v>162</v>
      </c>
      <c r="R44" s="246">
        <f>R40/R8</f>
        <v>30.450370729069771</v>
      </c>
      <c r="S44" s="238" t="s">
        <v>162</v>
      </c>
      <c r="T44" s="246">
        <f>T40/T8</f>
        <v>67.806809990408411</v>
      </c>
      <c r="U44" s="238" t="s">
        <v>162</v>
      </c>
      <c r="V44" s="246">
        <f>V40/V8</f>
        <v>72.128139416249994</v>
      </c>
      <c r="W44" s="238" t="s">
        <v>162</v>
      </c>
      <c r="X44" s="151">
        <f>X40/X8</f>
        <v>48.552759799249998</v>
      </c>
      <c r="Y44" s="132" t="s">
        <v>162</v>
      </c>
      <c r="Z44" s="313"/>
      <c r="AA44" s="313"/>
      <c r="AB44" s="100"/>
      <c r="AC44" s="100"/>
      <c r="AD44" s="100"/>
      <c r="BA44" s="101"/>
      <c r="BB44" s="101"/>
      <c r="BC44" s="101"/>
      <c r="BD44" s="101"/>
      <c r="BE44" s="101"/>
    </row>
    <row r="45" spans="1:57" x14ac:dyDescent="0.2">
      <c r="A45" s="153" t="s">
        <v>176</v>
      </c>
      <c r="B45" s="100"/>
      <c r="C45" s="237" t="s">
        <v>170</v>
      </c>
      <c r="D45" s="169">
        <v>0.5</v>
      </c>
      <c r="E45" s="170" t="s">
        <v>65</v>
      </c>
      <c r="F45" s="169">
        <v>0.42</v>
      </c>
      <c r="G45" s="170" t="s">
        <v>66</v>
      </c>
      <c r="H45" s="234">
        <v>0.34</v>
      </c>
      <c r="I45" s="100"/>
      <c r="J45" s="100"/>
      <c r="K45" s="236"/>
      <c r="L45" s="236"/>
      <c r="M45" s="236"/>
      <c r="N45" s="100"/>
      <c r="O45" s="100"/>
      <c r="P45" s="100"/>
      <c r="Q45" s="236"/>
      <c r="R45" s="171"/>
      <c r="S45" s="171"/>
      <c r="T45" s="153"/>
      <c r="U45" s="153"/>
      <c r="V45" s="153"/>
      <c r="W45" s="153"/>
      <c r="X45" s="153"/>
      <c r="Y45" s="153"/>
      <c r="Z45" s="153"/>
      <c r="AA45" s="153"/>
      <c r="AB45" s="172"/>
      <c r="AC45" s="100"/>
      <c r="AD45" s="100"/>
      <c r="BE45" s="101"/>
    </row>
    <row r="46" spans="1:57" x14ac:dyDescent="0.2">
      <c r="A46" s="97" t="s">
        <v>177</v>
      </c>
      <c r="B46" s="247">
        <v>1.8</v>
      </c>
      <c r="C46" s="324" t="s">
        <v>67</v>
      </c>
      <c r="D46" s="324"/>
      <c r="E46" s="324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173"/>
      <c r="AC46" s="100"/>
      <c r="AD46" s="100"/>
      <c r="BE46" s="101"/>
    </row>
    <row r="47" spans="1:57" x14ac:dyDescent="0.2">
      <c r="A47" s="324" t="s">
        <v>182</v>
      </c>
      <c r="B47" s="324"/>
      <c r="C47" s="324"/>
      <c r="D47" s="324"/>
      <c r="E47" s="324"/>
      <c r="F47" s="324"/>
      <c r="G47" s="324"/>
      <c r="H47" s="324"/>
      <c r="I47" s="324"/>
      <c r="J47" s="324"/>
      <c r="K47" s="324"/>
      <c r="L47" s="324"/>
      <c r="M47" s="324"/>
      <c r="N47" s="324"/>
      <c r="O47" s="324"/>
      <c r="P47" s="324"/>
      <c r="Q47" s="324"/>
      <c r="R47" s="324"/>
      <c r="S47" s="324"/>
      <c r="T47" s="324"/>
      <c r="U47" s="324"/>
      <c r="V47" s="324"/>
      <c r="W47" s="324"/>
      <c r="X47" s="324"/>
      <c r="Y47" s="324"/>
      <c r="Z47" s="324"/>
      <c r="AA47" s="324"/>
      <c r="AB47" s="324"/>
      <c r="AC47" s="174"/>
      <c r="AD47" s="100"/>
    </row>
    <row r="48" spans="1:57" x14ac:dyDescent="0.2">
      <c r="A48" s="95"/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</row>
    <row r="49" spans="1:1" s="100" customFormat="1" x14ac:dyDescent="0.2">
      <c r="A49" s="95"/>
    </row>
    <row r="50" spans="1:1" s="100" customFormat="1" x14ac:dyDescent="0.2">
      <c r="A50" s="95"/>
    </row>
    <row r="51" spans="1:1" s="100" customFormat="1" x14ac:dyDescent="0.2">
      <c r="A51" s="95"/>
    </row>
    <row r="52" spans="1:1" s="100" customFormat="1" x14ac:dyDescent="0.2">
      <c r="A52" s="95"/>
    </row>
    <row r="53" spans="1:1" s="100" customFormat="1" x14ac:dyDescent="0.2">
      <c r="A53" s="95"/>
    </row>
    <row r="54" spans="1:1" s="100" customFormat="1" x14ac:dyDescent="0.2">
      <c r="A54" s="95"/>
    </row>
    <row r="55" spans="1:1" s="100" customFormat="1" x14ac:dyDescent="0.2">
      <c r="A55" s="95"/>
    </row>
    <row r="56" spans="1:1" s="100" customFormat="1" x14ac:dyDescent="0.2">
      <c r="A56" s="95"/>
    </row>
    <row r="57" spans="1:1" s="100" customFormat="1" x14ac:dyDescent="0.2">
      <c r="A57" s="95"/>
    </row>
    <row r="58" spans="1:1" s="100" customFormat="1" x14ac:dyDescent="0.2">
      <c r="A58" s="95"/>
    </row>
    <row r="59" spans="1:1" s="100" customFormat="1" x14ac:dyDescent="0.2">
      <c r="A59" s="95"/>
    </row>
    <row r="60" spans="1:1" s="100" customFormat="1" x14ac:dyDescent="0.2">
      <c r="A60" s="95"/>
    </row>
    <row r="61" spans="1:1" s="100" customFormat="1" x14ac:dyDescent="0.2">
      <c r="A61" s="95"/>
    </row>
    <row r="62" spans="1:1" s="100" customFormat="1" x14ac:dyDescent="0.2">
      <c r="A62" s="95"/>
    </row>
    <row r="63" spans="1:1" s="100" customFormat="1" x14ac:dyDescent="0.2">
      <c r="A63" s="95"/>
    </row>
    <row r="64" spans="1:1" s="100" customFormat="1" x14ac:dyDescent="0.2">
      <c r="A64" s="95"/>
    </row>
    <row r="65" spans="1:1" s="100" customFormat="1" x14ac:dyDescent="0.2">
      <c r="A65" s="95"/>
    </row>
    <row r="66" spans="1:1" s="100" customFormat="1" x14ac:dyDescent="0.2">
      <c r="A66" s="95"/>
    </row>
    <row r="67" spans="1:1" s="100" customFormat="1" x14ac:dyDescent="0.2">
      <c r="A67" s="95"/>
    </row>
    <row r="68" spans="1:1" s="100" customFormat="1" x14ac:dyDescent="0.2">
      <c r="A68" s="95"/>
    </row>
    <row r="69" spans="1:1" s="100" customFormat="1" x14ac:dyDescent="0.2">
      <c r="A69" s="95"/>
    </row>
    <row r="70" spans="1:1" s="100" customFormat="1" x14ac:dyDescent="0.2">
      <c r="A70" s="95"/>
    </row>
    <row r="71" spans="1:1" s="100" customFormat="1" x14ac:dyDescent="0.2">
      <c r="A71" s="95"/>
    </row>
    <row r="72" spans="1:1" s="100" customFormat="1" x14ac:dyDescent="0.2">
      <c r="A72" s="95"/>
    </row>
    <row r="73" spans="1:1" s="100" customFormat="1" x14ac:dyDescent="0.2">
      <c r="A73" s="95"/>
    </row>
    <row r="74" spans="1:1" s="100" customFormat="1" x14ac:dyDescent="0.2">
      <c r="A74" s="95"/>
    </row>
    <row r="75" spans="1:1" s="100" customFormat="1" x14ac:dyDescent="0.2">
      <c r="A75" s="95"/>
    </row>
    <row r="76" spans="1:1" s="100" customFormat="1" x14ac:dyDescent="0.2">
      <c r="A76" s="95"/>
    </row>
    <row r="77" spans="1:1" s="100" customFormat="1" x14ac:dyDescent="0.2">
      <c r="A77" s="95"/>
    </row>
    <row r="78" spans="1:1" s="100" customFormat="1" x14ac:dyDescent="0.2">
      <c r="A78" s="95"/>
    </row>
    <row r="79" spans="1:1" s="100" customFormat="1" x14ac:dyDescent="0.2">
      <c r="A79" s="95"/>
    </row>
    <row r="80" spans="1:1" s="100" customFormat="1" x14ac:dyDescent="0.2">
      <c r="A80" s="95"/>
    </row>
    <row r="81" spans="1:1" s="100" customFormat="1" x14ac:dyDescent="0.2">
      <c r="A81" s="95"/>
    </row>
    <row r="82" spans="1:1" s="100" customFormat="1" x14ac:dyDescent="0.2">
      <c r="A82" s="95"/>
    </row>
    <row r="83" spans="1:1" s="100" customFormat="1" x14ac:dyDescent="0.2">
      <c r="A83" s="95"/>
    </row>
    <row r="84" spans="1:1" s="100" customFormat="1" x14ac:dyDescent="0.2">
      <c r="A84" s="95"/>
    </row>
    <row r="85" spans="1:1" s="100" customFormat="1" x14ac:dyDescent="0.2">
      <c r="A85" s="95"/>
    </row>
    <row r="86" spans="1:1" s="100" customFormat="1" x14ac:dyDescent="0.2">
      <c r="A86" s="95"/>
    </row>
    <row r="87" spans="1:1" s="100" customFormat="1" x14ac:dyDescent="0.2">
      <c r="A87" s="95"/>
    </row>
    <row r="88" spans="1:1" s="100" customFormat="1" x14ac:dyDescent="0.2">
      <c r="A88" s="95"/>
    </row>
    <row r="89" spans="1:1" s="100" customFormat="1" x14ac:dyDescent="0.2">
      <c r="A89" s="95"/>
    </row>
    <row r="90" spans="1:1" s="100" customFormat="1" x14ac:dyDescent="0.2">
      <c r="A90" s="95"/>
    </row>
    <row r="91" spans="1:1" s="100" customFormat="1" x14ac:dyDescent="0.2">
      <c r="A91" s="95"/>
    </row>
    <row r="92" spans="1:1" s="100" customFormat="1" x14ac:dyDescent="0.2">
      <c r="A92" s="95"/>
    </row>
    <row r="93" spans="1:1" s="100" customFormat="1" x14ac:dyDescent="0.2">
      <c r="A93" s="95"/>
    </row>
    <row r="94" spans="1:1" s="100" customFormat="1" x14ac:dyDescent="0.2">
      <c r="A94" s="95"/>
    </row>
    <row r="95" spans="1:1" s="100" customFormat="1" x14ac:dyDescent="0.2">
      <c r="A95" s="95"/>
    </row>
    <row r="96" spans="1:1" s="100" customFormat="1" x14ac:dyDescent="0.2">
      <c r="A96" s="95"/>
    </row>
    <row r="97" spans="1:1" s="100" customFormat="1" x14ac:dyDescent="0.2">
      <c r="A97" s="95"/>
    </row>
    <row r="98" spans="1:1" s="100" customFormat="1" x14ac:dyDescent="0.2">
      <c r="A98" s="95"/>
    </row>
    <row r="99" spans="1:1" s="100" customFormat="1" x14ac:dyDescent="0.2">
      <c r="A99" s="95"/>
    </row>
    <row r="100" spans="1:1" s="100" customFormat="1" x14ac:dyDescent="0.2">
      <c r="A100" s="95"/>
    </row>
    <row r="101" spans="1:1" s="100" customFormat="1" x14ac:dyDescent="0.2">
      <c r="A101" s="95"/>
    </row>
    <row r="102" spans="1:1" s="100" customFormat="1" x14ac:dyDescent="0.2">
      <c r="A102" s="95"/>
    </row>
    <row r="103" spans="1:1" s="100" customFormat="1" x14ac:dyDescent="0.2">
      <c r="A103" s="95"/>
    </row>
    <row r="104" spans="1:1" s="100" customFormat="1" x14ac:dyDescent="0.2">
      <c r="A104" s="95"/>
    </row>
    <row r="105" spans="1:1" s="100" customFormat="1" x14ac:dyDescent="0.2">
      <c r="A105" s="95"/>
    </row>
    <row r="106" spans="1:1" s="100" customFormat="1" x14ac:dyDescent="0.2">
      <c r="A106" s="95"/>
    </row>
    <row r="107" spans="1:1" s="100" customFormat="1" x14ac:dyDescent="0.2">
      <c r="A107" s="95"/>
    </row>
    <row r="108" spans="1:1" s="100" customFormat="1" x14ac:dyDescent="0.2">
      <c r="A108" s="95"/>
    </row>
    <row r="109" spans="1:1" s="100" customFormat="1" x14ac:dyDescent="0.2">
      <c r="A109" s="95"/>
    </row>
    <row r="110" spans="1:1" s="100" customFormat="1" x14ac:dyDescent="0.2">
      <c r="A110" s="95"/>
    </row>
    <row r="111" spans="1:1" s="100" customFormat="1" x14ac:dyDescent="0.2">
      <c r="A111" s="95"/>
    </row>
    <row r="112" spans="1:1" s="100" customFormat="1" x14ac:dyDescent="0.2">
      <c r="A112" s="95"/>
    </row>
    <row r="113" spans="1:1" s="100" customFormat="1" x14ac:dyDescent="0.2">
      <c r="A113" s="95"/>
    </row>
    <row r="114" spans="1:1" s="100" customFormat="1" x14ac:dyDescent="0.2">
      <c r="A114" s="95"/>
    </row>
    <row r="115" spans="1:1" s="100" customFormat="1" x14ac:dyDescent="0.2">
      <c r="A115" s="95"/>
    </row>
    <row r="116" spans="1:1" s="100" customFormat="1" x14ac:dyDescent="0.2">
      <c r="A116" s="95"/>
    </row>
    <row r="117" spans="1:1" s="100" customFormat="1" x14ac:dyDescent="0.2">
      <c r="A117" s="95"/>
    </row>
    <row r="118" spans="1:1" s="100" customFormat="1" x14ac:dyDescent="0.2">
      <c r="A118" s="95"/>
    </row>
    <row r="119" spans="1:1" s="100" customFormat="1" x14ac:dyDescent="0.2">
      <c r="A119" s="95"/>
    </row>
    <row r="120" spans="1:1" s="100" customFormat="1" x14ac:dyDescent="0.2">
      <c r="A120" s="95"/>
    </row>
    <row r="121" spans="1:1" s="100" customFormat="1" x14ac:dyDescent="0.2">
      <c r="A121" s="95"/>
    </row>
    <row r="122" spans="1:1" s="100" customFormat="1" x14ac:dyDescent="0.2">
      <c r="A122" s="95"/>
    </row>
    <row r="123" spans="1:1" s="100" customFormat="1" x14ac:dyDescent="0.2">
      <c r="A123" s="95"/>
    </row>
    <row r="124" spans="1:1" s="100" customFormat="1" x14ac:dyDescent="0.2">
      <c r="A124" s="95"/>
    </row>
    <row r="125" spans="1:1" s="100" customFormat="1" x14ac:dyDescent="0.2">
      <c r="A125" s="95"/>
    </row>
    <row r="126" spans="1:1" s="100" customFormat="1" x14ac:dyDescent="0.2">
      <c r="A126" s="95"/>
    </row>
    <row r="127" spans="1:1" s="100" customFormat="1" x14ac:dyDescent="0.2">
      <c r="A127" s="95"/>
    </row>
    <row r="128" spans="1:1" s="100" customFormat="1" x14ac:dyDescent="0.2">
      <c r="A128" s="95"/>
    </row>
    <row r="129" spans="1:1" s="100" customFormat="1" x14ac:dyDescent="0.2">
      <c r="A129" s="95"/>
    </row>
    <row r="130" spans="1:1" s="100" customFormat="1" x14ac:dyDescent="0.2">
      <c r="A130" s="95"/>
    </row>
    <row r="131" spans="1:1" s="100" customFormat="1" x14ac:dyDescent="0.2">
      <c r="A131" s="95"/>
    </row>
    <row r="132" spans="1:1" s="100" customFormat="1" x14ac:dyDescent="0.2">
      <c r="A132" s="95"/>
    </row>
    <row r="133" spans="1:1" s="100" customFormat="1" x14ac:dyDescent="0.2">
      <c r="A133" s="95"/>
    </row>
    <row r="134" spans="1:1" s="100" customFormat="1" x14ac:dyDescent="0.2">
      <c r="A134" s="95"/>
    </row>
    <row r="135" spans="1:1" s="100" customFormat="1" x14ac:dyDescent="0.2">
      <c r="A135" s="95"/>
    </row>
    <row r="136" spans="1:1" s="100" customFormat="1" x14ac:dyDescent="0.2">
      <c r="A136" s="95"/>
    </row>
    <row r="137" spans="1:1" s="100" customFormat="1" x14ac:dyDescent="0.2">
      <c r="A137" s="95"/>
    </row>
    <row r="138" spans="1:1" s="100" customFormat="1" x14ac:dyDescent="0.2">
      <c r="A138" s="95"/>
    </row>
    <row r="139" spans="1:1" s="100" customFormat="1" x14ac:dyDescent="0.2">
      <c r="A139" s="95"/>
    </row>
    <row r="140" spans="1:1" s="100" customFormat="1" x14ac:dyDescent="0.2">
      <c r="A140" s="95"/>
    </row>
    <row r="141" spans="1:1" s="100" customFormat="1" x14ac:dyDescent="0.2">
      <c r="A141" s="95"/>
    </row>
    <row r="142" spans="1:1" s="100" customFormat="1" x14ac:dyDescent="0.2">
      <c r="A142" s="95"/>
    </row>
    <row r="143" spans="1:1" s="100" customFormat="1" x14ac:dyDescent="0.2">
      <c r="A143" s="95"/>
    </row>
    <row r="144" spans="1:1" s="100" customFormat="1" x14ac:dyDescent="0.2">
      <c r="A144" s="95"/>
    </row>
    <row r="145" spans="1:1" s="100" customFormat="1" x14ac:dyDescent="0.2">
      <c r="A145" s="95"/>
    </row>
    <row r="146" spans="1:1" s="100" customFormat="1" x14ac:dyDescent="0.2">
      <c r="A146" s="95"/>
    </row>
    <row r="147" spans="1:1" s="100" customFormat="1" x14ac:dyDescent="0.2">
      <c r="A147" s="95"/>
    </row>
    <row r="148" spans="1:1" s="100" customFormat="1" x14ac:dyDescent="0.2">
      <c r="A148" s="95"/>
    </row>
    <row r="149" spans="1:1" s="100" customFormat="1" x14ac:dyDescent="0.2">
      <c r="A149" s="95"/>
    </row>
    <row r="150" spans="1:1" s="100" customFormat="1" x14ac:dyDescent="0.2">
      <c r="A150" s="95"/>
    </row>
    <row r="151" spans="1:1" s="100" customFormat="1" x14ac:dyDescent="0.2">
      <c r="A151" s="95"/>
    </row>
    <row r="152" spans="1:1" s="100" customFormat="1" x14ac:dyDescent="0.2">
      <c r="A152" s="95"/>
    </row>
    <row r="153" spans="1:1" s="100" customFormat="1" x14ac:dyDescent="0.2">
      <c r="A153" s="95"/>
    </row>
    <row r="154" spans="1:1" s="100" customFormat="1" x14ac:dyDescent="0.2">
      <c r="A154" s="95"/>
    </row>
    <row r="155" spans="1:1" s="100" customFormat="1" x14ac:dyDescent="0.2">
      <c r="A155" s="95"/>
    </row>
    <row r="156" spans="1:1" s="100" customFormat="1" x14ac:dyDescent="0.2">
      <c r="A156" s="95"/>
    </row>
    <row r="157" spans="1:1" s="100" customFormat="1" x14ac:dyDescent="0.2">
      <c r="A157" s="95"/>
    </row>
    <row r="158" spans="1:1" s="100" customFormat="1" x14ac:dyDescent="0.2">
      <c r="A158" s="95"/>
    </row>
    <row r="159" spans="1:1" s="100" customFormat="1" x14ac:dyDescent="0.2">
      <c r="A159" s="95"/>
    </row>
    <row r="160" spans="1:1" s="100" customFormat="1" x14ac:dyDescent="0.2">
      <c r="A160" s="95"/>
    </row>
    <row r="161" spans="1:1" s="100" customFormat="1" x14ac:dyDescent="0.2">
      <c r="A161" s="95"/>
    </row>
    <row r="162" spans="1:1" s="100" customFormat="1" x14ac:dyDescent="0.2">
      <c r="A162" s="95"/>
    </row>
    <row r="163" spans="1:1" s="100" customFormat="1" x14ac:dyDescent="0.2">
      <c r="A163" s="95"/>
    </row>
    <row r="164" spans="1:1" s="100" customFormat="1" x14ac:dyDescent="0.2">
      <c r="A164" s="95"/>
    </row>
    <row r="165" spans="1:1" s="100" customFormat="1" x14ac:dyDescent="0.2">
      <c r="A165" s="95"/>
    </row>
    <row r="166" spans="1:1" s="100" customFormat="1" x14ac:dyDescent="0.2">
      <c r="A166" s="95"/>
    </row>
    <row r="167" spans="1:1" s="100" customFormat="1" x14ac:dyDescent="0.2">
      <c r="A167" s="95"/>
    </row>
    <row r="168" spans="1:1" s="100" customFormat="1" x14ac:dyDescent="0.2">
      <c r="A168" s="95"/>
    </row>
    <row r="169" spans="1:1" s="100" customFormat="1" x14ac:dyDescent="0.2">
      <c r="A169" s="95"/>
    </row>
    <row r="170" spans="1:1" s="100" customFormat="1" x14ac:dyDescent="0.2">
      <c r="A170" s="95"/>
    </row>
    <row r="171" spans="1:1" s="100" customFormat="1" x14ac:dyDescent="0.2">
      <c r="A171" s="95"/>
    </row>
    <row r="172" spans="1:1" s="100" customFormat="1" x14ac:dyDescent="0.2">
      <c r="A172" s="95"/>
    </row>
    <row r="173" spans="1:1" s="100" customFormat="1" x14ac:dyDescent="0.2">
      <c r="A173" s="95"/>
    </row>
    <row r="174" spans="1:1" s="100" customFormat="1" x14ac:dyDescent="0.2">
      <c r="A174" s="95"/>
    </row>
    <row r="175" spans="1:1" s="100" customFormat="1" x14ac:dyDescent="0.2">
      <c r="A175" s="95"/>
    </row>
    <row r="176" spans="1:1" s="100" customFormat="1" x14ac:dyDescent="0.2">
      <c r="A176" s="95"/>
    </row>
    <row r="177" spans="1:1" s="100" customFormat="1" x14ac:dyDescent="0.2">
      <c r="A177" s="95"/>
    </row>
    <row r="178" spans="1:1" s="100" customFormat="1" x14ac:dyDescent="0.2">
      <c r="A178" s="95"/>
    </row>
    <row r="179" spans="1:1" s="100" customFormat="1" x14ac:dyDescent="0.2">
      <c r="A179" s="95"/>
    </row>
    <row r="180" spans="1:1" s="100" customFormat="1" x14ac:dyDescent="0.2">
      <c r="A180" s="95"/>
    </row>
    <row r="181" spans="1:1" s="100" customFormat="1" x14ac:dyDescent="0.2">
      <c r="A181" s="95"/>
    </row>
    <row r="182" spans="1:1" s="100" customFormat="1" x14ac:dyDescent="0.2">
      <c r="A182" s="95"/>
    </row>
    <row r="183" spans="1:1" s="100" customFormat="1" x14ac:dyDescent="0.2">
      <c r="A183" s="95"/>
    </row>
    <row r="184" spans="1:1" s="100" customFormat="1" x14ac:dyDescent="0.2">
      <c r="A184" s="95"/>
    </row>
    <row r="185" spans="1:1" s="100" customFormat="1" x14ac:dyDescent="0.2">
      <c r="A185" s="95"/>
    </row>
    <row r="186" spans="1:1" s="100" customFormat="1" x14ac:dyDescent="0.2">
      <c r="A186" s="95"/>
    </row>
    <row r="187" spans="1:1" s="100" customFormat="1" x14ac:dyDescent="0.2">
      <c r="A187" s="95"/>
    </row>
    <row r="188" spans="1:1" s="100" customFormat="1" x14ac:dyDescent="0.2">
      <c r="A188" s="95"/>
    </row>
    <row r="189" spans="1:1" s="100" customFormat="1" x14ac:dyDescent="0.2">
      <c r="A189" s="95"/>
    </row>
    <row r="190" spans="1:1" s="100" customFormat="1" x14ac:dyDescent="0.2">
      <c r="A190" s="95"/>
    </row>
    <row r="191" spans="1:1" s="100" customFormat="1" x14ac:dyDescent="0.2">
      <c r="A191" s="95"/>
    </row>
    <row r="192" spans="1:1" s="100" customFormat="1" x14ac:dyDescent="0.2">
      <c r="A192" s="95"/>
    </row>
    <row r="193" spans="1:1" s="100" customFormat="1" x14ac:dyDescent="0.2">
      <c r="A193" s="95"/>
    </row>
    <row r="194" spans="1:1" s="100" customFormat="1" x14ac:dyDescent="0.2">
      <c r="A194" s="95"/>
    </row>
    <row r="195" spans="1:1" s="100" customFormat="1" x14ac:dyDescent="0.2">
      <c r="A195" s="95"/>
    </row>
    <row r="196" spans="1:1" s="100" customFormat="1" x14ac:dyDescent="0.2">
      <c r="A196" s="95"/>
    </row>
    <row r="197" spans="1:1" s="100" customFormat="1" x14ac:dyDescent="0.2">
      <c r="A197" s="95"/>
    </row>
    <row r="198" spans="1:1" s="100" customFormat="1" x14ac:dyDescent="0.2">
      <c r="A198" s="95"/>
    </row>
    <row r="199" spans="1:1" s="100" customFormat="1" x14ac:dyDescent="0.2">
      <c r="A199" s="95"/>
    </row>
    <row r="200" spans="1:1" s="100" customFormat="1" x14ac:dyDescent="0.2">
      <c r="A200" s="95"/>
    </row>
    <row r="201" spans="1:1" s="100" customFormat="1" x14ac:dyDescent="0.2">
      <c r="A201" s="95"/>
    </row>
    <row r="202" spans="1:1" s="100" customFormat="1" x14ac:dyDescent="0.2">
      <c r="A202" s="95"/>
    </row>
    <row r="203" spans="1:1" s="100" customFormat="1" x14ac:dyDescent="0.2">
      <c r="A203" s="95"/>
    </row>
    <row r="204" spans="1:1" s="100" customFormat="1" x14ac:dyDescent="0.2">
      <c r="A204" s="95"/>
    </row>
    <row r="205" spans="1:1" s="100" customFormat="1" x14ac:dyDescent="0.2">
      <c r="A205" s="95"/>
    </row>
    <row r="206" spans="1:1" s="100" customFormat="1" x14ac:dyDescent="0.2">
      <c r="A206" s="95"/>
    </row>
    <row r="207" spans="1:1" s="100" customFormat="1" x14ac:dyDescent="0.2">
      <c r="A207" s="95"/>
    </row>
    <row r="208" spans="1:1" s="100" customFormat="1" x14ac:dyDescent="0.2">
      <c r="A208" s="95"/>
    </row>
    <row r="209" spans="1:1" s="100" customFormat="1" x14ac:dyDescent="0.2">
      <c r="A209" s="95"/>
    </row>
    <row r="210" spans="1:1" s="100" customFormat="1" x14ac:dyDescent="0.2">
      <c r="A210" s="95"/>
    </row>
    <row r="211" spans="1:1" s="100" customFormat="1" x14ac:dyDescent="0.2">
      <c r="A211" s="95"/>
    </row>
    <row r="212" spans="1:1" s="100" customFormat="1" x14ac:dyDescent="0.2">
      <c r="A212" s="95"/>
    </row>
    <row r="213" spans="1:1" s="100" customFormat="1" x14ac:dyDescent="0.2">
      <c r="A213" s="95"/>
    </row>
    <row r="214" spans="1:1" s="100" customFormat="1" x14ac:dyDescent="0.2">
      <c r="A214" s="95"/>
    </row>
    <row r="215" spans="1:1" s="100" customFormat="1" x14ac:dyDescent="0.2">
      <c r="A215" s="95"/>
    </row>
    <row r="216" spans="1:1" s="100" customFormat="1" x14ac:dyDescent="0.2">
      <c r="A216" s="95"/>
    </row>
    <row r="217" spans="1:1" s="100" customFormat="1" x14ac:dyDescent="0.2">
      <c r="A217" s="95"/>
    </row>
    <row r="218" spans="1:1" s="100" customFormat="1" x14ac:dyDescent="0.2">
      <c r="A218" s="95"/>
    </row>
    <row r="219" spans="1:1" s="100" customFormat="1" x14ac:dyDescent="0.2">
      <c r="A219" s="95"/>
    </row>
    <row r="220" spans="1:1" s="100" customFormat="1" x14ac:dyDescent="0.2">
      <c r="A220" s="95"/>
    </row>
    <row r="221" spans="1:1" s="100" customFormat="1" x14ac:dyDescent="0.2">
      <c r="A221" s="95"/>
    </row>
    <row r="222" spans="1:1" s="100" customFormat="1" x14ac:dyDescent="0.2">
      <c r="A222" s="95"/>
    </row>
    <row r="223" spans="1:1" s="100" customFormat="1" x14ac:dyDescent="0.2">
      <c r="A223" s="95"/>
    </row>
    <row r="224" spans="1:1" s="100" customFormat="1" x14ac:dyDescent="0.2">
      <c r="A224" s="95"/>
    </row>
    <row r="225" spans="1:1" s="100" customFormat="1" x14ac:dyDescent="0.2">
      <c r="A225" s="95"/>
    </row>
    <row r="226" spans="1:1" s="100" customFormat="1" x14ac:dyDescent="0.2">
      <c r="A226" s="95"/>
    </row>
    <row r="227" spans="1:1" s="100" customFormat="1" x14ac:dyDescent="0.2">
      <c r="A227" s="95"/>
    </row>
    <row r="228" spans="1:1" s="100" customFormat="1" x14ac:dyDescent="0.2">
      <c r="A228" s="95"/>
    </row>
    <row r="229" spans="1:1" s="100" customFormat="1" x14ac:dyDescent="0.2">
      <c r="A229" s="95"/>
    </row>
    <row r="230" spans="1:1" s="100" customFormat="1" x14ac:dyDescent="0.2">
      <c r="A230" s="95"/>
    </row>
    <row r="231" spans="1:1" s="100" customFormat="1" x14ac:dyDescent="0.2">
      <c r="A231" s="95"/>
    </row>
    <row r="232" spans="1:1" s="100" customFormat="1" x14ac:dyDescent="0.2">
      <c r="A232" s="95"/>
    </row>
    <row r="233" spans="1:1" s="100" customFormat="1" x14ac:dyDescent="0.2">
      <c r="A233" s="95"/>
    </row>
    <row r="234" spans="1:1" s="100" customFormat="1" x14ac:dyDescent="0.2">
      <c r="A234" s="95"/>
    </row>
    <row r="235" spans="1:1" s="100" customFormat="1" x14ac:dyDescent="0.2">
      <c r="A235" s="95"/>
    </row>
    <row r="236" spans="1:1" s="100" customFormat="1" x14ac:dyDescent="0.2">
      <c r="A236" s="95"/>
    </row>
    <row r="237" spans="1:1" s="100" customFormat="1" x14ac:dyDescent="0.2">
      <c r="A237" s="95"/>
    </row>
    <row r="238" spans="1:1" s="100" customFormat="1" x14ac:dyDescent="0.2">
      <c r="A238" s="95"/>
    </row>
    <row r="239" spans="1:1" s="100" customFormat="1" x14ac:dyDescent="0.2">
      <c r="A239" s="95"/>
    </row>
    <row r="240" spans="1:1" s="100" customFormat="1" x14ac:dyDescent="0.2">
      <c r="A240" s="95"/>
    </row>
    <row r="241" spans="1:1" s="100" customFormat="1" x14ac:dyDescent="0.2">
      <c r="A241" s="95"/>
    </row>
    <row r="242" spans="1:1" s="100" customFormat="1" x14ac:dyDescent="0.2">
      <c r="A242" s="95"/>
    </row>
    <row r="243" spans="1:1" s="100" customFormat="1" x14ac:dyDescent="0.2">
      <c r="A243" s="95"/>
    </row>
    <row r="244" spans="1:1" s="100" customFormat="1" x14ac:dyDescent="0.2">
      <c r="A244" s="95"/>
    </row>
    <row r="245" spans="1:1" s="100" customFormat="1" x14ac:dyDescent="0.2">
      <c r="A245" s="95"/>
    </row>
    <row r="246" spans="1:1" s="100" customFormat="1" x14ac:dyDescent="0.2">
      <c r="A246" s="95"/>
    </row>
    <row r="247" spans="1:1" s="100" customFormat="1" x14ac:dyDescent="0.2">
      <c r="A247" s="95"/>
    </row>
    <row r="248" spans="1:1" s="100" customFormat="1" x14ac:dyDescent="0.2">
      <c r="A248" s="95"/>
    </row>
    <row r="249" spans="1:1" s="100" customFormat="1" x14ac:dyDescent="0.2">
      <c r="A249" s="95"/>
    </row>
    <row r="250" spans="1:1" s="100" customFormat="1" x14ac:dyDescent="0.2">
      <c r="A250" s="95"/>
    </row>
    <row r="251" spans="1:1" s="100" customFormat="1" x14ac:dyDescent="0.2">
      <c r="A251" s="95"/>
    </row>
    <row r="252" spans="1:1" s="100" customFormat="1" x14ac:dyDescent="0.2">
      <c r="A252" s="95"/>
    </row>
    <row r="253" spans="1:1" s="100" customFormat="1" x14ac:dyDescent="0.2">
      <c r="A253" s="95"/>
    </row>
    <row r="254" spans="1:1" s="100" customFormat="1" x14ac:dyDescent="0.2">
      <c r="A254" s="95"/>
    </row>
    <row r="255" spans="1:1" s="100" customFormat="1" x14ac:dyDescent="0.2">
      <c r="A255" s="95"/>
    </row>
    <row r="256" spans="1:1" s="100" customFormat="1" x14ac:dyDescent="0.2">
      <c r="A256" s="95"/>
    </row>
    <row r="257" spans="1:1" s="100" customFormat="1" x14ac:dyDescent="0.2">
      <c r="A257" s="95"/>
    </row>
    <row r="258" spans="1:1" s="100" customFormat="1" x14ac:dyDescent="0.2">
      <c r="A258" s="95"/>
    </row>
    <row r="259" spans="1:1" s="100" customFormat="1" x14ac:dyDescent="0.2">
      <c r="A259" s="95"/>
    </row>
    <row r="260" spans="1:1" s="100" customFormat="1" x14ac:dyDescent="0.2">
      <c r="A260" s="95"/>
    </row>
    <row r="261" spans="1:1" s="100" customFormat="1" x14ac:dyDescent="0.2">
      <c r="A261" s="95"/>
    </row>
    <row r="262" spans="1:1" s="100" customFormat="1" x14ac:dyDescent="0.2">
      <c r="A262" s="95"/>
    </row>
    <row r="263" spans="1:1" s="100" customFormat="1" x14ac:dyDescent="0.2">
      <c r="A263" s="95"/>
    </row>
    <row r="264" spans="1:1" s="100" customFormat="1" x14ac:dyDescent="0.2">
      <c r="A264" s="95"/>
    </row>
    <row r="265" spans="1:1" s="100" customFormat="1" x14ac:dyDescent="0.2">
      <c r="A265" s="95"/>
    </row>
    <row r="266" spans="1:1" s="100" customFormat="1" x14ac:dyDescent="0.2">
      <c r="A266" s="95"/>
    </row>
    <row r="267" spans="1:1" s="100" customFormat="1" x14ac:dyDescent="0.2">
      <c r="A267" s="95"/>
    </row>
    <row r="268" spans="1:1" s="100" customFormat="1" x14ac:dyDescent="0.2">
      <c r="A268" s="95"/>
    </row>
    <row r="269" spans="1:1" s="100" customFormat="1" x14ac:dyDescent="0.2">
      <c r="A269" s="95"/>
    </row>
    <row r="270" spans="1:1" s="100" customFormat="1" x14ac:dyDescent="0.2">
      <c r="A270" s="95"/>
    </row>
    <row r="271" spans="1:1" s="100" customFormat="1" x14ac:dyDescent="0.2">
      <c r="A271" s="95"/>
    </row>
    <row r="272" spans="1:1" s="100" customFormat="1" x14ac:dyDescent="0.2">
      <c r="A272" s="95"/>
    </row>
    <row r="273" spans="1:1" s="100" customFormat="1" x14ac:dyDescent="0.2">
      <c r="A273" s="95"/>
    </row>
    <row r="274" spans="1:1" s="100" customFormat="1" x14ac:dyDescent="0.2">
      <c r="A274" s="95"/>
    </row>
    <row r="275" spans="1:1" s="100" customFormat="1" x14ac:dyDescent="0.2">
      <c r="A275" s="95"/>
    </row>
    <row r="276" spans="1:1" s="100" customFormat="1" x14ac:dyDescent="0.2">
      <c r="A276" s="95"/>
    </row>
    <row r="277" spans="1:1" s="100" customFormat="1" x14ac:dyDescent="0.2">
      <c r="A277" s="95"/>
    </row>
    <row r="278" spans="1:1" s="100" customFormat="1" x14ac:dyDescent="0.2">
      <c r="A278" s="95"/>
    </row>
    <row r="279" spans="1:1" s="100" customFormat="1" x14ac:dyDescent="0.2">
      <c r="A279" s="95"/>
    </row>
    <row r="280" spans="1:1" s="100" customFormat="1" x14ac:dyDescent="0.2">
      <c r="A280" s="95"/>
    </row>
    <row r="281" spans="1:1" s="100" customFormat="1" x14ac:dyDescent="0.2">
      <c r="A281" s="95"/>
    </row>
    <row r="282" spans="1:1" s="100" customFormat="1" x14ac:dyDescent="0.2">
      <c r="A282" s="95"/>
    </row>
    <row r="283" spans="1:1" s="100" customFormat="1" x14ac:dyDescent="0.2">
      <c r="A283" s="95"/>
    </row>
    <row r="284" spans="1:1" s="100" customFormat="1" x14ac:dyDescent="0.2">
      <c r="A284" s="95"/>
    </row>
    <row r="285" spans="1:1" s="100" customFormat="1" x14ac:dyDescent="0.2">
      <c r="A285" s="95"/>
    </row>
    <row r="286" spans="1:1" s="100" customFormat="1" x14ac:dyDescent="0.2">
      <c r="A286" s="95"/>
    </row>
    <row r="287" spans="1:1" s="100" customFormat="1" x14ac:dyDescent="0.2">
      <c r="A287" s="95"/>
    </row>
    <row r="288" spans="1:1" s="100" customFormat="1" x14ac:dyDescent="0.2">
      <c r="A288" s="95"/>
    </row>
    <row r="289" spans="1:1" s="100" customFormat="1" x14ac:dyDescent="0.2">
      <c r="A289" s="95"/>
    </row>
    <row r="290" spans="1:1" s="100" customFormat="1" x14ac:dyDescent="0.2">
      <c r="A290" s="95"/>
    </row>
    <row r="291" spans="1:1" s="100" customFormat="1" x14ac:dyDescent="0.2">
      <c r="A291" s="95"/>
    </row>
    <row r="292" spans="1:1" s="100" customFormat="1" x14ac:dyDescent="0.2">
      <c r="A292" s="95"/>
    </row>
    <row r="293" spans="1:1" s="100" customFormat="1" x14ac:dyDescent="0.2">
      <c r="A293" s="95"/>
    </row>
    <row r="294" spans="1:1" s="100" customFormat="1" x14ac:dyDescent="0.2">
      <c r="A294" s="95"/>
    </row>
    <row r="295" spans="1:1" s="100" customFormat="1" x14ac:dyDescent="0.2">
      <c r="A295" s="95"/>
    </row>
    <row r="296" spans="1:1" s="100" customFormat="1" x14ac:dyDescent="0.2">
      <c r="A296" s="95"/>
    </row>
    <row r="297" spans="1:1" s="100" customFormat="1" x14ac:dyDescent="0.2">
      <c r="A297" s="95"/>
    </row>
    <row r="298" spans="1:1" s="100" customFormat="1" x14ac:dyDescent="0.2">
      <c r="A298" s="95"/>
    </row>
    <row r="299" spans="1:1" s="100" customFormat="1" x14ac:dyDescent="0.2">
      <c r="A299" s="95"/>
    </row>
    <row r="300" spans="1:1" s="100" customFormat="1" x14ac:dyDescent="0.2">
      <c r="A300" s="95"/>
    </row>
    <row r="301" spans="1:1" s="100" customFormat="1" x14ac:dyDescent="0.2">
      <c r="A301" s="95"/>
    </row>
    <row r="302" spans="1:1" s="100" customFormat="1" x14ac:dyDescent="0.2">
      <c r="A302" s="95"/>
    </row>
    <row r="303" spans="1:1" s="100" customFormat="1" x14ac:dyDescent="0.2">
      <c r="A303" s="95"/>
    </row>
    <row r="304" spans="1:1" s="100" customFormat="1" x14ac:dyDescent="0.2">
      <c r="A304" s="95"/>
    </row>
    <row r="305" spans="1:1" s="100" customFormat="1" x14ac:dyDescent="0.2">
      <c r="A305" s="95"/>
    </row>
    <row r="306" spans="1:1" s="100" customFormat="1" x14ac:dyDescent="0.2">
      <c r="A306" s="95"/>
    </row>
    <row r="307" spans="1:1" s="100" customFormat="1" x14ac:dyDescent="0.2">
      <c r="A307" s="95"/>
    </row>
    <row r="308" spans="1:1" s="100" customFormat="1" x14ac:dyDescent="0.2">
      <c r="A308" s="95"/>
    </row>
    <row r="309" spans="1:1" s="100" customFormat="1" x14ac:dyDescent="0.2">
      <c r="A309" s="95"/>
    </row>
    <row r="310" spans="1:1" s="100" customFormat="1" x14ac:dyDescent="0.2">
      <c r="A310" s="95"/>
    </row>
    <row r="311" spans="1:1" s="100" customFormat="1" x14ac:dyDescent="0.2">
      <c r="A311" s="95"/>
    </row>
    <row r="312" spans="1:1" s="100" customFormat="1" x14ac:dyDescent="0.2">
      <c r="A312" s="95"/>
    </row>
    <row r="313" spans="1:1" s="100" customFormat="1" x14ac:dyDescent="0.2">
      <c r="A313" s="95"/>
    </row>
    <row r="314" spans="1:1" s="100" customFormat="1" x14ac:dyDescent="0.2">
      <c r="A314" s="95"/>
    </row>
    <row r="315" spans="1:1" s="100" customFormat="1" x14ac:dyDescent="0.2">
      <c r="A315" s="95"/>
    </row>
    <row r="316" spans="1:1" s="100" customFormat="1" x14ac:dyDescent="0.2">
      <c r="A316" s="95"/>
    </row>
    <row r="317" spans="1:1" s="100" customFormat="1" x14ac:dyDescent="0.2">
      <c r="A317" s="95"/>
    </row>
    <row r="318" spans="1:1" s="100" customFormat="1" x14ac:dyDescent="0.2">
      <c r="A318" s="95"/>
    </row>
    <row r="319" spans="1:1" s="100" customFormat="1" x14ac:dyDescent="0.2">
      <c r="A319" s="95"/>
    </row>
    <row r="320" spans="1:1" s="100" customFormat="1" x14ac:dyDescent="0.2">
      <c r="A320" s="95"/>
    </row>
    <row r="321" spans="1:1" s="100" customFormat="1" x14ac:dyDescent="0.2">
      <c r="A321" s="95"/>
    </row>
    <row r="322" spans="1:1" s="100" customFormat="1" x14ac:dyDescent="0.2">
      <c r="A322" s="95"/>
    </row>
    <row r="323" spans="1:1" s="100" customFormat="1" x14ac:dyDescent="0.2">
      <c r="A323" s="95"/>
    </row>
    <row r="324" spans="1:1" s="100" customFormat="1" x14ac:dyDescent="0.2">
      <c r="A324" s="95"/>
    </row>
    <row r="325" spans="1:1" s="100" customFormat="1" x14ac:dyDescent="0.2">
      <c r="A325" s="95"/>
    </row>
    <row r="326" spans="1:1" s="100" customFormat="1" x14ac:dyDescent="0.2">
      <c r="A326" s="95"/>
    </row>
    <row r="327" spans="1:1" s="100" customFormat="1" x14ac:dyDescent="0.2">
      <c r="A327" s="95"/>
    </row>
    <row r="328" spans="1:1" s="100" customFormat="1" x14ac:dyDescent="0.2">
      <c r="A328" s="95"/>
    </row>
    <row r="329" spans="1:1" s="100" customFormat="1" x14ac:dyDescent="0.2">
      <c r="A329" s="95"/>
    </row>
    <row r="330" spans="1:1" s="100" customFormat="1" x14ac:dyDescent="0.2">
      <c r="A330" s="95"/>
    </row>
    <row r="331" spans="1:1" s="100" customFormat="1" x14ac:dyDescent="0.2">
      <c r="A331" s="95"/>
    </row>
    <row r="332" spans="1:1" s="100" customFormat="1" x14ac:dyDescent="0.2">
      <c r="A332" s="95"/>
    </row>
    <row r="333" spans="1:1" s="100" customFormat="1" x14ac:dyDescent="0.2">
      <c r="A333" s="95"/>
    </row>
    <row r="334" spans="1:1" s="100" customFormat="1" x14ac:dyDescent="0.2">
      <c r="A334" s="95"/>
    </row>
    <row r="335" spans="1:1" s="100" customFormat="1" x14ac:dyDescent="0.2">
      <c r="A335" s="95"/>
    </row>
    <row r="336" spans="1:1" s="100" customFormat="1" x14ac:dyDescent="0.2">
      <c r="A336" s="95"/>
    </row>
    <row r="337" spans="1:1" s="100" customFormat="1" x14ac:dyDescent="0.2">
      <c r="A337" s="95"/>
    </row>
    <row r="338" spans="1:1" s="100" customFormat="1" x14ac:dyDescent="0.2">
      <c r="A338" s="95"/>
    </row>
    <row r="339" spans="1:1" s="100" customFormat="1" x14ac:dyDescent="0.2">
      <c r="A339" s="95"/>
    </row>
    <row r="340" spans="1:1" s="100" customFormat="1" x14ac:dyDescent="0.2">
      <c r="A340" s="95"/>
    </row>
    <row r="341" spans="1:1" s="100" customFormat="1" x14ac:dyDescent="0.2">
      <c r="A341" s="95"/>
    </row>
    <row r="342" spans="1:1" s="100" customFormat="1" x14ac:dyDescent="0.2">
      <c r="A342" s="95"/>
    </row>
    <row r="343" spans="1:1" s="100" customFormat="1" x14ac:dyDescent="0.2">
      <c r="A343" s="95"/>
    </row>
    <row r="344" spans="1:1" s="100" customFormat="1" x14ac:dyDescent="0.2">
      <c r="A344" s="95"/>
    </row>
    <row r="345" spans="1:1" s="100" customFormat="1" x14ac:dyDescent="0.2">
      <c r="A345" s="95"/>
    </row>
    <row r="346" spans="1:1" s="100" customFormat="1" x14ac:dyDescent="0.2">
      <c r="A346" s="95"/>
    </row>
    <row r="347" spans="1:1" s="100" customFormat="1" x14ac:dyDescent="0.2">
      <c r="A347" s="95"/>
    </row>
    <row r="348" spans="1:1" s="100" customFormat="1" x14ac:dyDescent="0.2">
      <c r="A348" s="95"/>
    </row>
    <row r="349" spans="1:1" s="100" customFormat="1" x14ac:dyDescent="0.2">
      <c r="A349" s="95"/>
    </row>
    <row r="350" spans="1:1" s="100" customFormat="1" x14ac:dyDescent="0.2">
      <c r="A350" s="95"/>
    </row>
    <row r="351" spans="1:1" s="100" customFormat="1" x14ac:dyDescent="0.2">
      <c r="A351" s="95"/>
    </row>
    <row r="352" spans="1:1" s="100" customFormat="1" x14ac:dyDescent="0.2">
      <c r="A352" s="95"/>
    </row>
    <row r="353" spans="1:1" s="100" customFormat="1" x14ac:dyDescent="0.2">
      <c r="A353" s="95"/>
    </row>
    <row r="354" spans="1:1" s="100" customFormat="1" x14ac:dyDescent="0.2">
      <c r="A354" s="95"/>
    </row>
    <row r="355" spans="1:1" s="100" customFormat="1" x14ac:dyDescent="0.2">
      <c r="A355" s="95"/>
    </row>
    <row r="356" spans="1:1" s="100" customFormat="1" x14ac:dyDescent="0.2">
      <c r="A356" s="95"/>
    </row>
    <row r="357" spans="1:1" s="100" customFormat="1" x14ac:dyDescent="0.2">
      <c r="A357" s="95"/>
    </row>
    <row r="358" spans="1:1" s="100" customFormat="1" x14ac:dyDescent="0.2">
      <c r="A358" s="95"/>
    </row>
    <row r="359" spans="1:1" s="100" customFormat="1" x14ac:dyDescent="0.2">
      <c r="A359" s="95"/>
    </row>
    <row r="360" spans="1:1" s="100" customFormat="1" x14ac:dyDescent="0.2">
      <c r="A360" s="95"/>
    </row>
    <row r="361" spans="1:1" s="100" customFormat="1" x14ac:dyDescent="0.2">
      <c r="A361" s="95"/>
    </row>
    <row r="362" spans="1:1" s="100" customFormat="1" x14ac:dyDescent="0.2">
      <c r="A362" s="95"/>
    </row>
    <row r="363" spans="1:1" s="100" customFormat="1" x14ac:dyDescent="0.2">
      <c r="A363" s="95"/>
    </row>
    <row r="364" spans="1:1" s="100" customFormat="1" x14ac:dyDescent="0.2">
      <c r="A364" s="95"/>
    </row>
    <row r="365" spans="1:1" s="100" customFormat="1" x14ac:dyDescent="0.2">
      <c r="A365" s="95"/>
    </row>
    <row r="366" spans="1:1" s="100" customFormat="1" x14ac:dyDescent="0.2">
      <c r="A366" s="95"/>
    </row>
    <row r="367" spans="1:1" s="100" customFormat="1" x14ac:dyDescent="0.2">
      <c r="A367" s="95"/>
    </row>
    <row r="368" spans="1:1" s="100" customFormat="1" x14ac:dyDescent="0.2">
      <c r="A368" s="95"/>
    </row>
    <row r="369" spans="1:1" s="100" customFormat="1" x14ac:dyDescent="0.2">
      <c r="A369" s="95"/>
    </row>
    <row r="370" spans="1:1" s="100" customFormat="1" x14ac:dyDescent="0.2">
      <c r="A370" s="95"/>
    </row>
    <row r="371" spans="1:1" s="100" customFormat="1" x14ac:dyDescent="0.2">
      <c r="A371" s="95"/>
    </row>
    <row r="372" spans="1:1" s="100" customFormat="1" x14ac:dyDescent="0.2">
      <c r="A372" s="95"/>
    </row>
    <row r="373" spans="1:1" s="100" customFormat="1" x14ac:dyDescent="0.2">
      <c r="A373" s="95"/>
    </row>
    <row r="374" spans="1:1" s="100" customFormat="1" x14ac:dyDescent="0.2">
      <c r="A374" s="95"/>
    </row>
    <row r="375" spans="1:1" s="100" customFormat="1" x14ac:dyDescent="0.2">
      <c r="A375" s="95"/>
    </row>
    <row r="376" spans="1:1" s="100" customFormat="1" x14ac:dyDescent="0.2">
      <c r="A376" s="95"/>
    </row>
    <row r="377" spans="1:1" s="100" customFormat="1" x14ac:dyDescent="0.2">
      <c r="A377" s="95"/>
    </row>
    <row r="378" spans="1:1" s="100" customFormat="1" x14ac:dyDescent="0.2">
      <c r="A378" s="95"/>
    </row>
    <row r="379" spans="1:1" s="100" customFormat="1" x14ac:dyDescent="0.2">
      <c r="A379" s="95"/>
    </row>
    <row r="380" spans="1:1" s="100" customFormat="1" x14ac:dyDescent="0.2">
      <c r="A380" s="95"/>
    </row>
    <row r="381" spans="1:1" s="100" customFormat="1" x14ac:dyDescent="0.2">
      <c r="A381" s="95"/>
    </row>
    <row r="382" spans="1:1" s="100" customFormat="1" x14ac:dyDescent="0.2">
      <c r="A382" s="95"/>
    </row>
    <row r="383" spans="1:1" s="100" customFormat="1" x14ac:dyDescent="0.2">
      <c r="A383" s="95"/>
    </row>
    <row r="384" spans="1:1" s="100" customFormat="1" x14ac:dyDescent="0.2">
      <c r="A384" s="95"/>
    </row>
    <row r="385" spans="1:1" s="100" customFormat="1" x14ac:dyDescent="0.2">
      <c r="A385" s="95"/>
    </row>
    <row r="386" spans="1:1" s="100" customFormat="1" x14ac:dyDescent="0.2">
      <c r="A386" s="95"/>
    </row>
    <row r="387" spans="1:1" s="100" customFormat="1" x14ac:dyDescent="0.2">
      <c r="A387" s="95"/>
    </row>
    <row r="388" spans="1:1" s="100" customFormat="1" x14ac:dyDescent="0.2">
      <c r="A388" s="95"/>
    </row>
    <row r="389" spans="1:1" s="100" customFormat="1" x14ac:dyDescent="0.2">
      <c r="A389" s="95"/>
    </row>
    <row r="390" spans="1:1" s="100" customFormat="1" x14ac:dyDescent="0.2">
      <c r="A390" s="95"/>
    </row>
    <row r="391" spans="1:1" s="100" customFormat="1" x14ac:dyDescent="0.2">
      <c r="A391" s="95"/>
    </row>
    <row r="392" spans="1:1" s="100" customFormat="1" x14ac:dyDescent="0.2">
      <c r="A392" s="95"/>
    </row>
    <row r="393" spans="1:1" s="100" customFormat="1" x14ac:dyDescent="0.2">
      <c r="A393" s="95"/>
    </row>
    <row r="394" spans="1:1" s="100" customFormat="1" x14ac:dyDescent="0.2">
      <c r="A394" s="95"/>
    </row>
    <row r="395" spans="1:1" s="100" customFormat="1" x14ac:dyDescent="0.2">
      <c r="A395" s="95"/>
    </row>
    <row r="396" spans="1:1" s="100" customFormat="1" x14ac:dyDescent="0.2">
      <c r="A396" s="95"/>
    </row>
    <row r="397" spans="1:1" s="100" customFormat="1" x14ac:dyDescent="0.2">
      <c r="A397" s="95"/>
    </row>
    <row r="398" spans="1:1" s="100" customFormat="1" x14ac:dyDescent="0.2">
      <c r="A398" s="95"/>
    </row>
    <row r="399" spans="1:1" s="100" customFormat="1" x14ac:dyDescent="0.2">
      <c r="A399" s="95"/>
    </row>
    <row r="400" spans="1:1" s="100" customFormat="1" x14ac:dyDescent="0.2">
      <c r="A400" s="95"/>
    </row>
    <row r="401" spans="1:1" s="100" customFormat="1" x14ac:dyDescent="0.2">
      <c r="A401" s="95"/>
    </row>
    <row r="402" spans="1:1" s="100" customFormat="1" x14ac:dyDescent="0.2">
      <c r="A402" s="95"/>
    </row>
    <row r="403" spans="1:1" s="100" customFormat="1" x14ac:dyDescent="0.2">
      <c r="A403" s="95"/>
    </row>
    <row r="404" spans="1:1" s="100" customFormat="1" x14ac:dyDescent="0.2">
      <c r="A404" s="95"/>
    </row>
    <row r="405" spans="1:1" s="100" customFormat="1" x14ac:dyDescent="0.2">
      <c r="A405" s="95"/>
    </row>
    <row r="406" spans="1:1" s="100" customFormat="1" x14ac:dyDescent="0.2">
      <c r="A406" s="95"/>
    </row>
    <row r="407" spans="1:1" s="100" customFormat="1" x14ac:dyDescent="0.2">
      <c r="A407" s="95"/>
    </row>
    <row r="408" spans="1:1" s="100" customFormat="1" x14ac:dyDescent="0.2">
      <c r="A408" s="95"/>
    </row>
    <row r="409" spans="1:1" s="100" customFormat="1" x14ac:dyDescent="0.2">
      <c r="A409" s="95"/>
    </row>
    <row r="410" spans="1:1" s="100" customFormat="1" x14ac:dyDescent="0.2">
      <c r="A410" s="95"/>
    </row>
    <row r="411" spans="1:1" s="100" customFormat="1" x14ac:dyDescent="0.2">
      <c r="A411" s="95"/>
    </row>
    <row r="412" spans="1:1" s="100" customFormat="1" x14ac:dyDescent="0.2">
      <c r="A412" s="95"/>
    </row>
    <row r="413" spans="1:1" s="100" customFormat="1" x14ac:dyDescent="0.2">
      <c r="A413" s="95"/>
    </row>
    <row r="414" spans="1:1" s="100" customFormat="1" x14ac:dyDescent="0.2">
      <c r="A414" s="95"/>
    </row>
    <row r="415" spans="1:1" s="100" customFormat="1" x14ac:dyDescent="0.2">
      <c r="A415" s="95"/>
    </row>
    <row r="416" spans="1:1" s="100" customFormat="1" x14ac:dyDescent="0.2">
      <c r="A416" s="95"/>
    </row>
    <row r="417" spans="1:1" s="100" customFormat="1" x14ac:dyDescent="0.2">
      <c r="A417" s="95"/>
    </row>
    <row r="418" spans="1:1" s="100" customFormat="1" x14ac:dyDescent="0.2">
      <c r="A418" s="95"/>
    </row>
    <row r="419" spans="1:1" s="100" customFormat="1" x14ac:dyDescent="0.2">
      <c r="A419" s="95"/>
    </row>
    <row r="420" spans="1:1" s="100" customFormat="1" x14ac:dyDescent="0.2">
      <c r="A420" s="95"/>
    </row>
    <row r="421" spans="1:1" s="100" customFormat="1" x14ac:dyDescent="0.2">
      <c r="A421" s="95"/>
    </row>
    <row r="422" spans="1:1" s="100" customFormat="1" x14ac:dyDescent="0.2">
      <c r="A422" s="95"/>
    </row>
    <row r="423" spans="1:1" s="100" customFormat="1" x14ac:dyDescent="0.2">
      <c r="A423" s="95"/>
    </row>
    <row r="424" spans="1:1" s="100" customFormat="1" x14ac:dyDescent="0.2">
      <c r="A424" s="95"/>
    </row>
    <row r="425" spans="1:1" s="100" customFormat="1" x14ac:dyDescent="0.2">
      <c r="A425" s="95"/>
    </row>
    <row r="426" spans="1:1" s="100" customFormat="1" x14ac:dyDescent="0.2">
      <c r="A426" s="95"/>
    </row>
    <row r="427" spans="1:1" s="100" customFormat="1" x14ac:dyDescent="0.2">
      <c r="A427" s="95"/>
    </row>
    <row r="428" spans="1:1" s="100" customFormat="1" x14ac:dyDescent="0.2">
      <c r="A428" s="95"/>
    </row>
    <row r="429" spans="1:1" s="100" customFormat="1" x14ac:dyDescent="0.2">
      <c r="A429" s="95"/>
    </row>
    <row r="430" spans="1:1" s="100" customFormat="1" x14ac:dyDescent="0.2">
      <c r="A430" s="95"/>
    </row>
    <row r="431" spans="1:1" s="100" customFormat="1" x14ac:dyDescent="0.2">
      <c r="A431" s="95"/>
    </row>
    <row r="432" spans="1:1" s="100" customFormat="1" x14ac:dyDescent="0.2">
      <c r="A432" s="95"/>
    </row>
    <row r="433" spans="1:1" s="100" customFormat="1" x14ac:dyDescent="0.2">
      <c r="A433" s="95"/>
    </row>
    <row r="434" spans="1:1" s="100" customFormat="1" x14ac:dyDescent="0.2">
      <c r="A434" s="95"/>
    </row>
    <row r="435" spans="1:1" s="100" customFormat="1" x14ac:dyDescent="0.2">
      <c r="A435" s="95"/>
    </row>
    <row r="436" spans="1:1" s="100" customFormat="1" x14ac:dyDescent="0.2">
      <c r="A436" s="95"/>
    </row>
    <row r="437" spans="1:1" s="100" customFormat="1" x14ac:dyDescent="0.2">
      <c r="A437" s="95"/>
    </row>
    <row r="438" spans="1:1" s="100" customFormat="1" x14ac:dyDescent="0.2">
      <c r="A438" s="95"/>
    </row>
    <row r="439" spans="1:1" s="100" customFormat="1" x14ac:dyDescent="0.2">
      <c r="A439" s="95"/>
    </row>
    <row r="440" spans="1:1" s="100" customFormat="1" x14ac:dyDescent="0.2">
      <c r="A440" s="95"/>
    </row>
    <row r="441" spans="1:1" s="100" customFormat="1" x14ac:dyDescent="0.2">
      <c r="A441" s="95"/>
    </row>
    <row r="442" spans="1:1" s="100" customFormat="1" x14ac:dyDescent="0.2">
      <c r="A442" s="95"/>
    </row>
    <row r="443" spans="1:1" s="100" customFormat="1" x14ac:dyDescent="0.2">
      <c r="A443" s="95"/>
    </row>
    <row r="444" spans="1:1" s="100" customFormat="1" x14ac:dyDescent="0.2">
      <c r="A444" s="95"/>
    </row>
    <row r="445" spans="1:1" s="100" customFormat="1" x14ac:dyDescent="0.2">
      <c r="A445" s="95"/>
    </row>
    <row r="446" spans="1:1" s="100" customFormat="1" x14ac:dyDescent="0.2">
      <c r="A446" s="95"/>
    </row>
    <row r="447" spans="1:1" s="100" customFormat="1" x14ac:dyDescent="0.2">
      <c r="A447" s="95"/>
    </row>
  </sheetData>
  <sheetProtection sheet="1" objects="1" scenarios="1"/>
  <mergeCells count="415">
    <mergeCell ref="B4:K4"/>
    <mergeCell ref="L4:Y4"/>
    <mergeCell ref="D40:E40"/>
    <mergeCell ref="D42:E42"/>
    <mergeCell ref="V33:W33"/>
    <mergeCell ref="J33:K33"/>
    <mergeCell ref="F6:G6"/>
    <mergeCell ref="D6:E6"/>
    <mergeCell ref="B6:C6"/>
    <mergeCell ref="D5:E5"/>
    <mergeCell ref="B5:C5"/>
    <mergeCell ref="F5:G5"/>
    <mergeCell ref="V35:W35"/>
    <mergeCell ref="D23:E23"/>
    <mergeCell ref="D24:E24"/>
    <mergeCell ref="D25:E25"/>
    <mergeCell ref="D26:E26"/>
    <mergeCell ref="D33:E33"/>
    <mergeCell ref="D13:E13"/>
    <mergeCell ref="J30:K30"/>
    <mergeCell ref="J28:K28"/>
    <mergeCell ref="H28:I28"/>
    <mergeCell ref="F28:G28"/>
    <mergeCell ref="F29:G29"/>
    <mergeCell ref="J35:K35"/>
    <mergeCell ref="A47:AB47"/>
    <mergeCell ref="B25:C25"/>
    <mergeCell ref="B15:C15"/>
    <mergeCell ref="B17:C17"/>
    <mergeCell ref="B18:C18"/>
    <mergeCell ref="B19:C19"/>
    <mergeCell ref="B20:C20"/>
    <mergeCell ref="D36:E36"/>
    <mergeCell ref="D37:E37"/>
    <mergeCell ref="D38:E38"/>
    <mergeCell ref="D30:E30"/>
    <mergeCell ref="D31:E31"/>
    <mergeCell ref="D34:E34"/>
    <mergeCell ref="D27:E27"/>
    <mergeCell ref="D28:E28"/>
    <mergeCell ref="D29:E29"/>
    <mergeCell ref="D20:E20"/>
    <mergeCell ref="D35:E35"/>
    <mergeCell ref="V34:W34"/>
    <mergeCell ref="F34:G34"/>
    <mergeCell ref="F35:G35"/>
    <mergeCell ref="F36:G36"/>
    <mergeCell ref="H35:I35"/>
    <mergeCell ref="H36:I36"/>
    <mergeCell ref="N5:O5"/>
    <mergeCell ref="L5:M5"/>
    <mergeCell ref="R5:S5"/>
    <mergeCell ref="X5:Y5"/>
    <mergeCell ref="H5:I5"/>
    <mergeCell ref="R6:S6"/>
    <mergeCell ref="T5:U5"/>
    <mergeCell ref="T6:U6"/>
    <mergeCell ref="X6:Y6"/>
    <mergeCell ref="P5:Q5"/>
    <mergeCell ref="L6:M6"/>
    <mergeCell ref="N6:O6"/>
    <mergeCell ref="P6:Q6"/>
    <mergeCell ref="V5:W5"/>
    <mergeCell ref="V6:W6"/>
    <mergeCell ref="J5:K5"/>
    <mergeCell ref="J6:K6"/>
    <mergeCell ref="H6:I6"/>
    <mergeCell ref="V36:W36"/>
    <mergeCell ref="L29:M29"/>
    <mergeCell ref="H15:I15"/>
    <mergeCell ref="J15:K15"/>
    <mergeCell ref="J18:K18"/>
    <mergeCell ref="B9:C9"/>
    <mergeCell ref="B11:C11"/>
    <mergeCell ref="B12:C12"/>
    <mergeCell ref="B35:C35"/>
    <mergeCell ref="B36:C36"/>
    <mergeCell ref="B26:C26"/>
    <mergeCell ref="B27:C27"/>
    <mergeCell ref="B28:C28"/>
    <mergeCell ref="B29:C29"/>
    <mergeCell ref="B30:C30"/>
    <mergeCell ref="B23:C23"/>
    <mergeCell ref="B24:C24"/>
    <mergeCell ref="B14:C14"/>
    <mergeCell ref="B33:C33"/>
    <mergeCell ref="B10:C10"/>
    <mergeCell ref="B13:C13"/>
    <mergeCell ref="B31:C31"/>
    <mergeCell ref="B21:C21"/>
    <mergeCell ref="B22:C22"/>
    <mergeCell ref="B34:C34"/>
    <mergeCell ref="D12:E12"/>
    <mergeCell ref="D14:E14"/>
    <mergeCell ref="J36:K36"/>
    <mergeCell ref="D15:E15"/>
    <mergeCell ref="D17:E17"/>
    <mergeCell ref="D18:E18"/>
    <mergeCell ref="D19:E19"/>
    <mergeCell ref="D21:E21"/>
    <mergeCell ref="D22:E22"/>
    <mergeCell ref="H33:I33"/>
    <mergeCell ref="F33:G33"/>
    <mergeCell ref="J34:K34"/>
    <mergeCell ref="H34:I34"/>
    <mergeCell ref="H24:I24"/>
    <mergeCell ref="F24:G24"/>
    <mergeCell ref="F21:G21"/>
    <mergeCell ref="F22:G22"/>
    <mergeCell ref="F23:G23"/>
    <mergeCell ref="H21:I21"/>
    <mergeCell ref="H22:I22"/>
    <mergeCell ref="H23:I23"/>
    <mergeCell ref="J22:K22"/>
    <mergeCell ref="J23:K23"/>
    <mergeCell ref="J24:K24"/>
    <mergeCell ref="R12:S12"/>
    <mergeCell ref="P12:Q12"/>
    <mergeCell ref="J19:K19"/>
    <mergeCell ref="H19:I19"/>
    <mergeCell ref="F19:G19"/>
    <mergeCell ref="V12:W12"/>
    <mergeCell ref="J12:K12"/>
    <mergeCell ref="H12:I12"/>
    <mergeCell ref="F12:G12"/>
    <mergeCell ref="F13:G13"/>
    <mergeCell ref="H13:I13"/>
    <mergeCell ref="J13:K13"/>
    <mergeCell ref="V13:W13"/>
    <mergeCell ref="V14:W14"/>
    <mergeCell ref="J14:K14"/>
    <mergeCell ref="H14:I14"/>
    <mergeCell ref="F14:G14"/>
    <mergeCell ref="J17:K17"/>
    <mergeCell ref="H17:I17"/>
    <mergeCell ref="F17:G17"/>
    <mergeCell ref="F18:G18"/>
    <mergeCell ref="H18:I18"/>
    <mergeCell ref="F15:G15"/>
    <mergeCell ref="N19:O19"/>
    <mergeCell ref="F31:G31"/>
    <mergeCell ref="H31:I31"/>
    <mergeCell ref="J31:K31"/>
    <mergeCell ref="J29:K29"/>
    <mergeCell ref="J26:K26"/>
    <mergeCell ref="H26:I26"/>
    <mergeCell ref="F26:G26"/>
    <mergeCell ref="F27:G27"/>
    <mergeCell ref="H27:I27"/>
    <mergeCell ref="J27:K27"/>
    <mergeCell ref="H30:I30"/>
    <mergeCell ref="H29:I29"/>
    <mergeCell ref="J21:K21"/>
    <mergeCell ref="J20:K20"/>
    <mergeCell ref="F20:G20"/>
    <mergeCell ref="H20:I20"/>
    <mergeCell ref="F30:G30"/>
    <mergeCell ref="F25:G25"/>
    <mergeCell ref="H25:I25"/>
    <mergeCell ref="J25:K25"/>
    <mergeCell ref="V22:W22"/>
    <mergeCell ref="V23:W23"/>
    <mergeCell ref="P22:Q22"/>
    <mergeCell ref="P26:Q26"/>
    <mergeCell ref="N26:O26"/>
    <mergeCell ref="N28:O28"/>
    <mergeCell ref="P24:Q24"/>
    <mergeCell ref="P25:Q25"/>
    <mergeCell ref="N24:O24"/>
    <mergeCell ref="N25:O25"/>
    <mergeCell ref="P28:Q28"/>
    <mergeCell ref="R24:S24"/>
    <mergeCell ref="R25:S25"/>
    <mergeCell ref="R23:S23"/>
    <mergeCell ref="T20:U20"/>
    <mergeCell ref="R20:S20"/>
    <mergeCell ref="V31:W31"/>
    <mergeCell ref="V29:W29"/>
    <mergeCell ref="V30:W30"/>
    <mergeCell ref="L31:M31"/>
    <mergeCell ref="R22:S22"/>
    <mergeCell ref="V28:W28"/>
    <mergeCell ref="L28:M28"/>
    <mergeCell ref="L24:M24"/>
    <mergeCell ref="L25:M25"/>
    <mergeCell ref="V24:W24"/>
    <mergeCell ref="N27:O27"/>
    <mergeCell ref="L22:M22"/>
    <mergeCell ref="L23:M23"/>
    <mergeCell ref="R26:S26"/>
    <mergeCell ref="V27:W27"/>
    <mergeCell ref="P27:Q27"/>
    <mergeCell ref="N30:O30"/>
    <mergeCell ref="P30:Q30"/>
    <mergeCell ref="P31:Q31"/>
    <mergeCell ref="N22:O22"/>
    <mergeCell ref="L12:M12"/>
    <mergeCell ref="L13:M13"/>
    <mergeCell ref="P20:Q20"/>
    <mergeCell ref="N20:O20"/>
    <mergeCell ref="N21:O21"/>
    <mergeCell ref="L14:M14"/>
    <mergeCell ref="L15:M15"/>
    <mergeCell ref="L17:M17"/>
    <mergeCell ref="L33:M33"/>
    <mergeCell ref="L30:M30"/>
    <mergeCell ref="L35:M35"/>
    <mergeCell ref="L26:M26"/>
    <mergeCell ref="L27:M27"/>
    <mergeCell ref="N23:O23"/>
    <mergeCell ref="P23:Q23"/>
    <mergeCell ref="L21:M21"/>
    <mergeCell ref="N29:O29"/>
    <mergeCell ref="P29:Q29"/>
    <mergeCell ref="P35:Q35"/>
    <mergeCell ref="N35:O35"/>
    <mergeCell ref="N31:O31"/>
    <mergeCell ref="L34:M34"/>
    <mergeCell ref="N34:O34"/>
    <mergeCell ref="P34:Q34"/>
    <mergeCell ref="P33:Q33"/>
    <mergeCell ref="N33:O33"/>
    <mergeCell ref="P21:Q21"/>
    <mergeCell ref="R17:S17"/>
    <mergeCell ref="R14:S14"/>
    <mergeCell ref="R19:S19"/>
    <mergeCell ref="T19:U19"/>
    <mergeCell ref="F9:G9"/>
    <mergeCell ref="H9:I9"/>
    <mergeCell ref="J9:K9"/>
    <mergeCell ref="R18:S18"/>
    <mergeCell ref="R21:S21"/>
    <mergeCell ref="T21:U21"/>
    <mergeCell ref="L18:M18"/>
    <mergeCell ref="L19:M19"/>
    <mergeCell ref="P19:Q19"/>
    <mergeCell ref="L20:M20"/>
    <mergeCell ref="P18:Q18"/>
    <mergeCell ref="N18:O18"/>
    <mergeCell ref="P11:Q11"/>
    <mergeCell ref="N13:O13"/>
    <mergeCell ref="P13:Q13"/>
    <mergeCell ref="P14:Q14"/>
    <mergeCell ref="N14:O14"/>
    <mergeCell ref="N15:O15"/>
    <mergeCell ref="P15:Q15"/>
    <mergeCell ref="N12:O12"/>
    <mergeCell ref="V9:W9"/>
    <mergeCell ref="H11:I11"/>
    <mergeCell ref="D9:E9"/>
    <mergeCell ref="D11:E11"/>
    <mergeCell ref="J10:K10"/>
    <mergeCell ref="H10:I10"/>
    <mergeCell ref="F10:G10"/>
    <mergeCell ref="D10:E10"/>
    <mergeCell ref="F11:G11"/>
    <mergeCell ref="R9:S9"/>
    <mergeCell ref="T9:U9"/>
    <mergeCell ref="P9:Q9"/>
    <mergeCell ref="N9:O9"/>
    <mergeCell ref="L9:M9"/>
    <mergeCell ref="P10:Q10"/>
    <mergeCell ref="J11:K11"/>
    <mergeCell ref="V11:W11"/>
    <mergeCell ref="L11:M11"/>
    <mergeCell ref="R11:S11"/>
    <mergeCell ref="T11:U11"/>
    <mergeCell ref="N11:O11"/>
    <mergeCell ref="X10:Y10"/>
    <mergeCell ref="T10:U10"/>
    <mergeCell ref="R10:S10"/>
    <mergeCell ref="L10:M10"/>
    <mergeCell ref="N10:O10"/>
    <mergeCell ref="X11:Y11"/>
    <mergeCell ref="X9:Y9"/>
    <mergeCell ref="X23:Y23"/>
    <mergeCell ref="X24:Y24"/>
    <mergeCell ref="T24:U24"/>
    <mergeCell ref="P17:Q17"/>
    <mergeCell ref="N17:O17"/>
    <mergeCell ref="R13:S13"/>
    <mergeCell ref="X13:Y13"/>
    <mergeCell ref="X21:Y21"/>
    <mergeCell ref="X22:Y22"/>
    <mergeCell ref="X15:Y15"/>
    <mergeCell ref="X17:Y17"/>
    <mergeCell ref="X20:Y20"/>
    <mergeCell ref="V19:W19"/>
    <mergeCell ref="V16:W16"/>
    <mergeCell ref="R16:S16"/>
    <mergeCell ref="R15:S15"/>
    <mergeCell ref="T15:U15"/>
    <mergeCell ref="X26:Y26"/>
    <mergeCell ref="T26:U26"/>
    <mergeCell ref="T23:U23"/>
    <mergeCell ref="X12:Y12"/>
    <mergeCell ref="T18:U18"/>
    <mergeCell ref="X18:Y18"/>
    <mergeCell ref="X19:Y19"/>
    <mergeCell ref="X14:Y14"/>
    <mergeCell ref="T13:U13"/>
    <mergeCell ref="T12:U12"/>
    <mergeCell ref="T14:U14"/>
    <mergeCell ref="V25:W25"/>
    <mergeCell ref="X25:Y25"/>
    <mergeCell ref="T25:U25"/>
    <mergeCell ref="V26:W26"/>
    <mergeCell ref="V15:W15"/>
    <mergeCell ref="T22:U22"/>
    <mergeCell ref="V17:W17"/>
    <mergeCell ref="V18:W18"/>
    <mergeCell ref="V20:W20"/>
    <mergeCell ref="V21:W21"/>
    <mergeCell ref="T16:U16"/>
    <mergeCell ref="T17:U17"/>
    <mergeCell ref="X35:Y35"/>
    <mergeCell ref="T35:U35"/>
    <mergeCell ref="R35:S35"/>
    <mergeCell ref="X34:Y34"/>
    <mergeCell ref="X33:Y33"/>
    <mergeCell ref="T33:U33"/>
    <mergeCell ref="R33:S33"/>
    <mergeCell ref="X27:Y27"/>
    <mergeCell ref="T27:U27"/>
    <mergeCell ref="T28:U28"/>
    <mergeCell ref="T29:U29"/>
    <mergeCell ref="R27:S27"/>
    <mergeCell ref="R28:S28"/>
    <mergeCell ref="R29:S29"/>
    <mergeCell ref="R34:S34"/>
    <mergeCell ref="R30:S30"/>
    <mergeCell ref="R31:S31"/>
    <mergeCell ref="T30:U30"/>
    <mergeCell ref="T34:U34"/>
    <mergeCell ref="X30:Y30"/>
    <mergeCell ref="X31:Y31"/>
    <mergeCell ref="X29:Y29"/>
    <mergeCell ref="X28:Y28"/>
    <mergeCell ref="T31:U31"/>
    <mergeCell ref="D41:E41"/>
    <mergeCell ref="L40:M40"/>
    <mergeCell ref="J41:K41"/>
    <mergeCell ref="F37:G37"/>
    <mergeCell ref="F38:G38"/>
    <mergeCell ref="H37:I37"/>
    <mergeCell ref="H38:I38"/>
    <mergeCell ref="D39:E39"/>
    <mergeCell ref="X42:Y42"/>
    <mergeCell ref="T42:U42"/>
    <mergeCell ref="N41:O41"/>
    <mergeCell ref="P40:Q40"/>
    <mergeCell ref="P41:Q41"/>
    <mergeCell ref="R40:S40"/>
    <mergeCell ref="R41:S41"/>
    <mergeCell ref="R42:S42"/>
    <mergeCell ref="P42:Q42"/>
    <mergeCell ref="T40:U40"/>
    <mergeCell ref="T41:U41"/>
    <mergeCell ref="X40:Y40"/>
    <mergeCell ref="X41:Y41"/>
    <mergeCell ref="V42:W42"/>
    <mergeCell ref="V41:W41"/>
    <mergeCell ref="V40:W40"/>
    <mergeCell ref="J39:K39"/>
    <mergeCell ref="F39:G39"/>
    <mergeCell ref="F40:G40"/>
    <mergeCell ref="H40:I40"/>
    <mergeCell ref="L39:M39"/>
    <mergeCell ref="J38:K38"/>
    <mergeCell ref="J40:K40"/>
    <mergeCell ref="B37:C37"/>
    <mergeCell ref="B38:C38"/>
    <mergeCell ref="B40:C40"/>
    <mergeCell ref="X36:Y36"/>
    <mergeCell ref="P36:Q36"/>
    <mergeCell ref="P37:Q37"/>
    <mergeCell ref="P38:Q38"/>
    <mergeCell ref="P39:Q39"/>
    <mergeCell ref="R39:S39"/>
    <mergeCell ref="R38:S38"/>
    <mergeCell ref="R37:S37"/>
    <mergeCell ref="R36:S36"/>
    <mergeCell ref="T36:U36"/>
    <mergeCell ref="T37:U37"/>
    <mergeCell ref="T38:U38"/>
    <mergeCell ref="T39:U39"/>
    <mergeCell ref="X39:Y39"/>
    <mergeCell ref="X38:Y38"/>
    <mergeCell ref="X37:Y37"/>
    <mergeCell ref="V37:W37"/>
    <mergeCell ref="V38:W38"/>
    <mergeCell ref="H42:I42"/>
    <mergeCell ref="F42:G42"/>
    <mergeCell ref="D16:E16"/>
    <mergeCell ref="F16:G16"/>
    <mergeCell ref="H16:I16"/>
    <mergeCell ref="C46:E46"/>
    <mergeCell ref="N16:O16"/>
    <mergeCell ref="P16:Q16"/>
    <mergeCell ref="N36:O36"/>
    <mergeCell ref="N37:O37"/>
    <mergeCell ref="N38:O38"/>
    <mergeCell ref="N39:O39"/>
    <mergeCell ref="N40:O40"/>
    <mergeCell ref="N42:O42"/>
    <mergeCell ref="L42:M42"/>
    <mergeCell ref="H41:I41"/>
    <mergeCell ref="F41:G41"/>
    <mergeCell ref="L36:M36"/>
    <mergeCell ref="L37:M37"/>
    <mergeCell ref="L38:M38"/>
    <mergeCell ref="L41:M41"/>
    <mergeCell ref="J37:K37"/>
    <mergeCell ref="H39:I39"/>
    <mergeCell ref="B41:C41"/>
  </mergeCells>
  <phoneticPr fontId="2" type="noConversion"/>
  <conditionalFormatting sqref="B41 B31 D31 D41 F31 F41 H31 J31 V31 L31 L41 J41 H41 N31 N41 P31 R31 T31 X31 P41 R41 T41 X41">
    <cfRule type="cellIs" dxfId="8" priority="4" stopIfTrue="1" operator="lessThan">
      <formula>0</formula>
    </cfRule>
  </conditionalFormatting>
  <conditionalFormatting sqref="V41:W41">
    <cfRule type="cellIs" dxfId="7" priority="1" operator="lessThan">
      <formula>0</formula>
    </cfRule>
    <cfRule type="cellIs" dxfId="6" priority="2" operator="lessThan">
      <formula>0</formula>
    </cfRule>
    <cfRule type="colorScale" priority="3">
      <colorScale>
        <cfvo type="formula" val="&quot;&lt;0&quot;"/>
        <cfvo type="formula" val="&quot;&gt;0&quot;"/>
        <color rgb="FFFF0000"/>
        <color theme="1"/>
      </colorScale>
    </cfRule>
  </conditionalFormatting>
  <printOptions horizontalCentered="1" verticalCentered="1"/>
  <pageMargins left="0.5" right="0.5" top="0.5" bottom="0.5" header="0.25" footer="0.25"/>
  <pageSetup scale="92" orientation="landscape"/>
  <headerFooter>
    <oddFooter>&amp;L&amp;G</oddFooter>
  </headerFooter>
  <ignoredErrors>
    <ignoredError sqref="D9 N9 D43:D44 N43:N44" formula="1"/>
    <ignoredError sqref="N32 D32" formula="1" unlockedFormula="1"/>
    <ignoredError sqref="L8 D33 X12 D12 N33 H17:H18 X17:X18 X21 D27 F17:F18 D30:D31 N30:N31 P21 X8 F12 H12 J12 L21 N21 P8 P17:P18 P12 R8 R17:R18 R12 T8 T21 T17:T18 T12 Y34 C34 M34 K34 Q34 O34 S34 U34" unlockedFormula="1"/>
  </ignoredErrors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"/>
  <sheetViews>
    <sheetView topLeftCell="A61" workbookViewId="0">
      <selection activeCell="A62" sqref="A62"/>
    </sheetView>
  </sheetViews>
  <sheetFormatPr defaultColWidth="8.85546875" defaultRowHeight="12.75" x14ac:dyDescent="0.2"/>
  <cols>
    <col min="1" max="1" width="11.7109375" bestFit="1" customWidth="1"/>
    <col min="2" max="4" width="7.7109375" style="3" bestFit="1" customWidth="1"/>
    <col min="5" max="5" width="8.7109375" style="3" bestFit="1" customWidth="1"/>
    <col min="6" max="6" width="2.42578125" style="2" customWidth="1"/>
    <col min="7" max="9" width="7.7109375" bestFit="1" customWidth="1"/>
    <col min="10" max="10" width="8.28515625" bestFit="1" customWidth="1"/>
    <col min="11" max="11" width="1.7109375" style="2" customWidth="1"/>
    <col min="12" max="14" width="7.7109375" bestFit="1" customWidth="1"/>
    <col min="15" max="15" width="8.28515625" bestFit="1" customWidth="1"/>
    <col min="16" max="16" width="1.85546875" style="2" customWidth="1"/>
    <col min="17" max="19" width="7.7109375" bestFit="1" customWidth="1"/>
    <col min="20" max="20" width="8.28515625" bestFit="1" customWidth="1"/>
  </cols>
  <sheetData>
    <row r="1" spans="1:20" x14ac:dyDescent="0.2">
      <c r="A1" s="391" t="s">
        <v>85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391"/>
      <c r="R1" s="391"/>
      <c r="S1" s="391"/>
      <c r="T1" s="391"/>
    </row>
    <row r="2" spans="1:20" x14ac:dyDescent="0.2">
      <c r="B2" s="3" t="s">
        <v>2</v>
      </c>
      <c r="C2" s="3" t="s">
        <v>68</v>
      </c>
      <c r="D2" s="3" t="s">
        <v>4</v>
      </c>
      <c r="E2" s="3" t="s">
        <v>69</v>
      </c>
    </row>
    <row r="3" spans="1:20" x14ac:dyDescent="0.2">
      <c r="A3" s="1" t="s">
        <v>70</v>
      </c>
      <c r="B3" s="4">
        <f>Conventional!$B$30</f>
        <v>537.13299908333329</v>
      </c>
      <c r="C3" s="4">
        <f>Conventional!$D$30</f>
        <v>616.90632500000004</v>
      </c>
      <c r="D3" s="4">
        <f>Conventional!$F$30</f>
        <v>586.25909999999999</v>
      </c>
      <c r="E3" s="4">
        <f>Conventional!$H$30</f>
        <v>268.29929629999998</v>
      </c>
    </row>
    <row r="4" spans="1:20" x14ac:dyDescent="0.2">
      <c r="A4" s="1" t="s">
        <v>71</v>
      </c>
      <c r="B4" s="5">
        <f>Conventional!$B$7</f>
        <v>1200</v>
      </c>
      <c r="C4" s="5">
        <f>Conventional!$D$7</f>
        <v>4700</v>
      </c>
      <c r="D4" s="5">
        <f>Conventional!$F$7</f>
        <v>200</v>
      </c>
      <c r="E4" s="5">
        <f>Conventional!$H$7</f>
        <v>60</v>
      </c>
    </row>
    <row r="5" spans="1:20" s="6" customFormat="1" x14ac:dyDescent="0.2">
      <c r="B5" s="392" t="s">
        <v>74</v>
      </c>
      <c r="C5" s="392"/>
      <c r="D5" s="392"/>
      <c r="E5" s="392"/>
      <c r="F5" s="29"/>
      <c r="G5" s="393" t="s">
        <v>75</v>
      </c>
      <c r="H5" s="393"/>
      <c r="I5" s="393"/>
      <c r="J5" s="393"/>
      <c r="K5" s="29"/>
      <c r="L5" s="394" t="s">
        <v>76</v>
      </c>
      <c r="M5" s="394"/>
      <c r="N5" s="394"/>
      <c r="O5" s="394"/>
      <c r="P5" s="29"/>
      <c r="Q5" s="395" t="s">
        <v>77</v>
      </c>
      <c r="R5" s="395"/>
      <c r="S5" s="395"/>
      <c r="T5" s="395"/>
    </row>
    <row r="6" spans="1:20" s="8" customFormat="1" ht="25.5" x14ac:dyDescent="0.2">
      <c r="A6" s="7"/>
      <c r="B6" s="25" t="s">
        <v>50</v>
      </c>
      <c r="C6" s="35" t="s">
        <v>78</v>
      </c>
      <c r="D6" s="35" t="s">
        <v>47</v>
      </c>
      <c r="E6" s="35" t="s">
        <v>79</v>
      </c>
      <c r="F6" s="31"/>
      <c r="G6" s="34" t="s">
        <v>50</v>
      </c>
      <c r="H6" s="26" t="s">
        <v>78</v>
      </c>
      <c r="I6" s="34" t="s">
        <v>47</v>
      </c>
      <c r="J6" s="34" t="s">
        <v>79</v>
      </c>
      <c r="K6" s="31"/>
      <c r="L6" s="33" t="s">
        <v>50</v>
      </c>
      <c r="M6" s="33" t="s">
        <v>78</v>
      </c>
      <c r="N6" s="27" t="s">
        <v>47</v>
      </c>
      <c r="O6" s="33" t="s">
        <v>79</v>
      </c>
      <c r="P6" s="31"/>
      <c r="Q6" s="32" t="s">
        <v>50</v>
      </c>
      <c r="R6" s="32" t="s">
        <v>78</v>
      </c>
      <c r="S6" s="28" t="s">
        <v>47</v>
      </c>
      <c r="T6" s="32" t="s">
        <v>79</v>
      </c>
    </row>
    <row r="7" spans="1:20" x14ac:dyDescent="0.2">
      <c r="B7" s="18">
        <f t="shared" ref="B7:B12" si="0">B8-0.025</f>
        <v>0.5249999999999998</v>
      </c>
      <c r="C7" s="19">
        <f t="shared" ref="C7:C21" si="1">(((B7*$B$4)-$B$3+$C$3)/$C$4)*2000</f>
        <v>302.03120251773043</v>
      </c>
      <c r="D7" s="18">
        <f t="shared" ref="D7:D21" si="2">(((B7*$B$4)-$B$3+$D$3)/$D$4)</f>
        <v>3.3956305045833322</v>
      </c>
      <c r="E7" s="18">
        <f>(((B7*$B$4)-$B$3+$E$3)/$E$4)</f>
        <v>6.0194382869444407</v>
      </c>
      <c r="G7" s="20">
        <f>(((H7*$C$4/2000)-$C$3+$B$3)/$B$4)</f>
        <v>0.52081389506944442</v>
      </c>
      <c r="H7" s="21">
        <f t="shared" ref="H7:H12" si="3">H8-10</f>
        <v>299.89361702127661</v>
      </c>
      <c r="I7" s="20">
        <f>(((H7*$C$4/2000)-$C$3+$D$3)/$D$4)</f>
        <v>3.3705138749999999</v>
      </c>
      <c r="J7" s="20">
        <f>(((H7*$C$4/2000)-$C$3+$E$3)/$E$4)</f>
        <v>5.9357161883333323</v>
      </c>
      <c r="L7" s="13">
        <f>(((N7*$D$4)-$D$3+$B$3)/$B$4)</f>
        <v>0.49239491590277773</v>
      </c>
      <c r="M7" s="14">
        <f>(((N7*$D$4)-$D$3+$C$3)/$C$4)*2000</f>
        <v>285.38179787234048</v>
      </c>
      <c r="N7" s="13">
        <f t="shared" ref="N7:N12" si="4">N8-0.15</f>
        <v>3.2</v>
      </c>
      <c r="O7" s="13">
        <f>(((N7*$D$4)-$D$3+$E$3)/$E$4)</f>
        <v>5.3673366050000002</v>
      </c>
      <c r="Q7" s="9">
        <f>(((T7*$E$4)-$E$3+$B$3)/$B$4)</f>
        <v>0.53152808565277776</v>
      </c>
      <c r="R7" s="10">
        <f>(((T7*$E$4)-$E$3+$C$3)/$C$4)*2000</f>
        <v>305.36469306382992</v>
      </c>
      <c r="S7" s="9">
        <f>(((T7*$E$4)-$E$3+$D$3)/$D$4)</f>
        <v>3.4347990185000001</v>
      </c>
      <c r="T7" s="9">
        <f t="shared" ref="T7:T12" si="5">T8-0.35</f>
        <v>6.1500000000000021</v>
      </c>
    </row>
    <row r="8" spans="1:20" x14ac:dyDescent="0.2">
      <c r="B8" s="18">
        <f t="shared" si="0"/>
        <v>0.54999999999999982</v>
      </c>
      <c r="C8" s="19">
        <f t="shared" si="1"/>
        <v>314.79715996453893</v>
      </c>
      <c r="D8" s="18">
        <f t="shared" si="2"/>
        <v>3.5456305045833325</v>
      </c>
      <c r="E8" s="18">
        <f>(((B8*$B$4)-$B$3+$E$3)/$E$4)</f>
        <v>6.5194382869444407</v>
      </c>
      <c r="G8" s="20">
        <f t="shared" ref="G8:G21" si="6">(((H8*$C$4/2000)-$C$3+$B$3)/$B$4)</f>
        <v>0.54039722840277771</v>
      </c>
      <c r="H8" s="21">
        <f t="shared" si="3"/>
        <v>309.89361702127661</v>
      </c>
      <c r="I8" s="20">
        <f t="shared" ref="I8:I21" si="7">(((H8*$C$4/2000)-$C$3+$D$3)/$D$4)</f>
        <v>3.4880138749999996</v>
      </c>
      <c r="J8" s="20">
        <f t="shared" ref="J8:J21" si="8">(((H8*$C$4/2000)-$C$3+$E$3)/$E$4)</f>
        <v>6.3273828549999989</v>
      </c>
      <c r="L8" s="13">
        <f t="shared" ref="L8:L21" si="9">(((N8*$D$4)-$D$3+$B$3)/$B$4)</f>
        <v>0.51739491590277775</v>
      </c>
      <c r="M8" s="14">
        <f t="shared" ref="M8:M21" si="10">(((N8*$D$4)-$D$3+$C$3)/$C$4)*2000</f>
        <v>298.14775531914893</v>
      </c>
      <c r="N8" s="13">
        <f t="shared" si="4"/>
        <v>3.35</v>
      </c>
      <c r="O8" s="13">
        <f t="shared" ref="O8:O21" si="11">(((N8*$D$4)-$D$3+$E$3)/$E$4)</f>
        <v>5.8673366050000002</v>
      </c>
      <c r="Q8" s="9">
        <f t="shared" ref="Q8:Q21" si="12">(((T8*$E$4)-$E$3+$B$3)/$B$4)</f>
        <v>0.54902808565277783</v>
      </c>
      <c r="R8" s="10">
        <f t="shared" ref="R8:R21" si="13">(((T8*$E$4)-$E$3+$C$3)/$C$4)*2000</f>
        <v>314.30086327659586</v>
      </c>
      <c r="S8" s="9">
        <f t="shared" ref="S8:S21" si="14">(((T8*$E$4)-$E$3+$D$3)/$D$4)</f>
        <v>3.5397990185000001</v>
      </c>
      <c r="T8" s="9">
        <f t="shared" si="5"/>
        <v>6.5000000000000018</v>
      </c>
    </row>
    <row r="9" spans="1:20" x14ac:dyDescent="0.2">
      <c r="B9" s="18">
        <f t="shared" si="0"/>
        <v>0.57499999999999984</v>
      </c>
      <c r="C9" s="19">
        <f t="shared" si="1"/>
        <v>327.56311741134749</v>
      </c>
      <c r="D9" s="18">
        <f t="shared" si="2"/>
        <v>3.6956305045833324</v>
      </c>
      <c r="E9" s="18">
        <f t="shared" ref="E9:E21" si="15">(((B9*$B$4)-$B$3+$E$3)/$E$4)</f>
        <v>7.0194382869444407</v>
      </c>
      <c r="G9" s="20">
        <f t="shared" si="6"/>
        <v>0.55998056173611099</v>
      </c>
      <c r="H9" s="21">
        <f t="shared" si="3"/>
        <v>319.89361702127661</v>
      </c>
      <c r="I9" s="20">
        <f t="shared" si="7"/>
        <v>3.6055138749999998</v>
      </c>
      <c r="J9" s="20">
        <f t="shared" si="8"/>
        <v>6.7190495216666655</v>
      </c>
      <c r="L9" s="13">
        <f t="shared" si="9"/>
        <v>0.54239491590277777</v>
      </c>
      <c r="M9" s="14">
        <f t="shared" si="10"/>
        <v>310.91371276595748</v>
      </c>
      <c r="N9" s="13">
        <f t="shared" si="4"/>
        <v>3.5</v>
      </c>
      <c r="O9" s="13">
        <f t="shared" si="11"/>
        <v>6.3673366050000002</v>
      </c>
      <c r="Q9" s="9">
        <f t="shared" si="12"/>
        <v>0.56652808565277779</v>
      </c>
      <c r="R9" s="10">
        <f t="shared" si="13"/>
        <v>323.23703348936181</v>
      </c>
      <c r="S9" s="9">
        <f t="shared" si="14"/>
        <v>3.6447990185000005</v>
      </c>
      <c r="T9" s="9">
        <f t="shared" si="5"/>
        <v>6.8500000000000014</v>
      </c>
    </row>
    <row r="10" spans="1:20" x14ac:dyDescent="0.2">
      <c r="B10" s="18">
        <f t="shared" si="0"/>
        <v>0.59999999999999987</v>
      </c>
      <c r="C10" s="19">
        <f t="shared" si="1"/>
        <v>340.32907485815599</v>
      </c>
      <c r="D10" s="18">
        <f t="shared" si="2"/>
        <v>3.8456305045833328</v>
      </c>
      <c r="E10" s="18">
        <f t="shared" si="15"/>
        <v>7.5194382869444434</v>
      </c>
      <c r="G10" s="20">
        <f t="shared" si="6"/>
        <v>0.57956389506944439</v>
      </c>
      <c r="H10" s="21">
        <f t="shared" si="3"/>
        <v>329.89361702127661</v>
      </c>
      <c r="I10" s="20">
        <f t="shared" si="7"/>
        <v>3.7230138749999999</v>
      </c>
      <c r="J10" s="20">
        <f t="shared" si="8"/>
        <v>7.1107161883333321</v>
      </c>
      <c r="L10" s="13">
        <f t="shared" si="9"/>
        <v>0.5673949159027778</v>
      </c>
      <c r="M10" s="14">
        <f t="shared" si="10"/>
        <v>323.67967021276598</v>
      </c>
      <c r="N10" s="13">
        <f t="shared" si="4"/>
        <v>3.65</v>
      </c>
      <c r="O10" s="13">
        <f t="shared" si="11"/>
        <v>6.8673366050000002</v>
      </c>
      <c r="Q10" s="9">
        <f t="shared" si="12"/>
        <v>0.58402808565277775</v>
      </c>
      <c r="R10" s="10">
        <f t="shared" si="13"/>
        <v>332.17320370212769</v>
      </c>
      <c r="S10" s="9">
        <f t="shared" si="14"/>
        <v>3.7497990185000005</v>
      </c>
      <c r="T10" s="9">
        <f t="shared" si="5"/>
        <v>7.2000000000000011</v>
      </c>
    </row>
    <row r="11" spans="1:20" x14ac:dyDescent="0.2">
      <c r="B11" s="18">
        <f t="shared" si="0"/>
        <v>0.62499999999999989</v>
      </c>
      <c r="C11" s="19">
        <f t="shared" si="1"/>
        <v>353.09503230496455</v>
      </c>
      <c r="D11" s="18">
        <f t="shared" si="2"/>
        <v>3.9956305045833331</v>
      </c>
      <c r="E11" s="18">
        <f t="shared" si="15"/>
        <v>8.0194382869444425</v>
      </c>
      <c r="G11" s="20">
        <f t="shared" si="6"/>
        <v>0.59914722840277768</v>
      </c>
      <c r="H11" s="21">
        <f t="shared" si="3"/>
        <v>339.89361702127661</v>
      </c>
      <c r="I11" s="20">
        <f t="shared" si="7"/>
        <v>3.8405138749999996</v>
      </c>
      <c r="J11" s="20">
        <f t="shared" si="8"/>
        <v>7.5023828549999987</v>
      </c>
      <c r="L11" s="13">
        <f t="shared" si="9"/>
        <v>0.59239491590277771</v>
      </c>
      <c r="M11" s="14">
        <f t="shared" si="10"/>
        <v>336.44562765957448</v>
      </c>
      <c r="N11" s="13">
        <f t="shared" si="4"/>
        <v>3.8</v>
      </c>
      <c r="O11" s="13">
        <f t="shared" si="11"/>
        <v>7.3673366050000002</v>
      </c>
      <c r="Q11" s="9">
        <f t="shared" si="12"/>
        <v>0.60152808565277782</v>
      </c>
      <c r="R11" s="10">
        <f t="shared" si="13"/>
        <v>341.10937391489364</v>
      </c>
      <c r="S11" s="9">
        <f t="shared" si="14"/>
        <v>3.8547990185000005</v>
      </c>
      <c r="T11" s="9">
        <f t="shared" si="5"/>
        <v>7.5500000000000007</v>
      </c>
    </row>
    <row r="12" spans="1:20" x14ac:dyDescent="0.2">
      <c r="B12" s="18">
        <f t="shared" si="0"/>
        <v>0.64999999999999991</v>
      </c>
      <c r="C12" s="19">
        <f t="shared" si="1"/>
        <v>365.86098975177305</v>
      </c>
      <c r="D12" s="18">
        <f t="shared" si="2"/>
        <v>4.145630504583333</v>
      </c>
      <c r="E12" s="18">
        <f t="shared" si="15"/>
        <v>8.5194382869444425</v>
      </c>
      <c r="G12" s="20">
        <f t="shared" si="6"/>
        <v>0.61873056173611107</v>
      </c>
      <c r="H12" s="21">
        <f t="shared" si="3"/>
        <v>349.89361702127661</v>
      </c>
      <c r="I12" s="20">
        <f t="shared" si="7"/>
        <v>3.9580138749999998</v>
      </c>
      <c r="J12" s="20">
        <f t="shared" si="8"/>
        <v>7.8940495216666653</v>
      </c>
      <c r="L12" s="13">
        <f t="shared" si="9"/>
        <v>0.61739491590277773</v>
      </c>
      <c r="M12" s="14">
        <f t="shared" si="10"/>
        <v>349.21158510638298</v>
      </c>
      <c r="N12" s="13">
        <f t="shared" si="4"/>
        <v>3.9499999999999997</v>
      </c>
      <c r="O12" s="13">
        <f t="shared" si="11"/>
        <v>7.8673366050000002</v>
      </c>
      <c r="Q12" s="9">
        <f t="shared" si="12"/>
        <v>0.61902808565277778</v>
      </c>
      <c r="R12" s="10">
        <f t="shared" si="13"/>
        <v>350.04554412765958</v>
      </c>
      <c r="S12" s="9">
        <f t="shared" si="14"/>
        <v>3.9597990185000005</v>
      </c>
      <c r="T12" s="9">
        <f t="shared" si="5"/>
        <v>7.9</v>
      </c>
    </row>
    <row r="13" spans="1:20" ht="13.5" thickBot="1" x14ac:dyDescent="0.25">
      <c r="B13" s="18">
        <f>B14-0.025</f>
        <v>0.67499999999999993</v>
      </c>
      <c r="C13" s="19">
        <f t="shared" si="1"/>
        <v>378.62694719858155</v>
      </c>
      <c r="D13" s="18">
        <f t="shared" si="2"/>
        <v>4.2956305045833325</v>
      </c>
      <c r="E13" s="18">
        <f t="shared" si="15"/>
        <v>9.0194382869444443</v>
      </c>
      <c r="G13" s="20">
        <f t="shared" si="6"/>
        <v>0.63831389506944436</v>
      </c>
      <c r="H13" s="21">
        <f>H14-10</f>
        <v>359.89361702127661</v>
      </c>
      <c r="I13" s="20">
        <f t="shared" si="7"/>
        <v>4.0755138749999995</v>
      </c>
      <c r="J13" s="20">
        <f t="shared" si="8"/>
        <v>8.2857161883333319</v>
      </c>
      <c r="L13" s="13">
        <f t="shared" si="9"/>
        <v>0.64239491590277764</v>
      </c>
      <c r="M13" s="14">
        <f t="shared" si="10"/>
        <v>361.97754255319148</v>
      </c>
      <c r="N13" s="13">
        <f>N14-0.15</f>
        <v>4.0999999999999996</v>
      </c>
      <c r="O13" s="13">
        <f t="shared" si="11"/>
        <v>8.3673366049999984</v>
      </c>
      <c r="Q13" s="9">
        <f t="shared" si="12"/>
        <v>0.63652808565277785</v>
      </c>
      <c r="R13" s="10">
        <f t="shared" si="13"/>
        <v>358.98171434042553</v>
      </c>
      <c r="S13" s="9">
        <f t="shared" si="14"/>
        <v>4.0647990185000005</v>
      </c>
      <c r="T13" s="9">
        <f>T14-0.35</f>
        <v>8.25</v>
      </c>
    </row>
    <row r="14" spans="1:20" ht="13.5" thickBot="1" x14ac:dyDescent="0.25">
      <c r="B14" s="24">
        <f>Conventional!$B$8</f>
        <v>0.7</v>
      </c>
      <c r="C14" s="19">
        <f t="shared" si="1"/>
        <v>391.3929046453901</v>
      </c>
      <c r="D14" s="18">
        <f t="shared" si="2"/>
        <v>4.4456305045833338</v>
      </c>
      <c r="E14" s="18">
        <f t="shared" si="15"/>
        <v>9.5194382869444443</v>
      </c>
      <c r="G14" s="20">
        <f t="shared" si="6"/>
        <v>0.65789722840277776</v>
      </c>
      <c r="H14" s="22">
        <f>Conventional!$D$8</f>
        <v>369.89361702127661</v>
      </c>
      <c r="I14" s="20">
        <f t="shared" si="7"/>
        <v>4.1930138750000001</v>
      </c>
      <c r="J14" s="20">
        <f t="shared" si="8"/>
        <v>8.6773828549999994</v>
      </c>
      <c r="L14" s="13">
        <f t="shared" si="9"/>
        <v>0.66739491590277777</v>
      </c>
      <c r="M14" s="14">
        <f t="shared" si="10"/>
        <v>374.74349999999998</v>
      </c>
      <c r="N14" s="15">
        <f>Conventional!$F$8</f>
        <v>4.25</v>
      </c>
      <c r="O14" s="13">
        <f t="shared" si="11"/>
        <v>8.8673366049999984</v>
      </c>
      <c r="Q14" s="9">
        <f t="shared" si="12"/>
        <v>0.65402808565277781</v>
      </c>
      <c r="R14" s="10">
        <f t="shared" si="13"/>
        <v>367.91788455319147</v>
      </c>
      <c r="S14" s="9">
        <f t="shared" si="14"/>
        <v>4.1697990185</v>
      </c>
      <c r="T14" s="11">
        <f>Conventional!$H$8</f>
        <v>8.6</v>
      </c>
    </row>
    <row r="15" spans="1:20" x14ac:dyDescent="0.2">
      <c r="B15" s="18">
        <f>B14+0.025</f>
        <v>0.72499999999999998</v>
      </c>
      <c r="C15" s="19">
        <f t="shared" si="1"/>
        <v>404.1588620921986</v>
      </c>
      <c r="D15" s="18">
        <f t="shared" si="2"/>
        <v>4.5956305045833332</v>
      </c>
      <c r="E15" s="18">
        <f t="shared" si="15"/>
        <v>10.019438286944444</v>
      </c>
      <c r="G15" s="20">
        <f t="shared" si="6"/>
        <v>0.67748056173611104</v>
      </c>
      <c r="H15" s="21">
        <f>H14+10</f>
        <v>379.89361702127661</v>
      </c>
      <c r="I15" s="20">
        <f t="shared" si="7"/>
        <v>4.3105138749999998</v>
      </c>
      <c r="J15" s="20">
        <f t="shared" si="8"/>
        <v>9.0690495216666669</v>
      </c>
      <c r="L15" s="13">
        <f t="shared" si="9"/>
        <v>0.6923949159027778</v>
      </c>
      <c r="M15" s="14">
        <f t="shared" si="10"/>
        <v>387.5094574468086</v>
      </c>
      <c r="N15" s="13">
        <f>N14+0.15</f>
        <v>4.4000000000000004</v>
      </c>
      <c r="O15" s="13">
        <f t="shared" si="11"/>
        <v>9.367336605000002</v>
      </c>
      <c r="Q15" s="9">
        <f t="shared" si="12"/>
        <v>0.67152808565277777</v>
      </c>
      <c r="R15" s="10">
        <f t="shared" si="13"/>
        <v>376.85405476595747</v>
      </c>
      <c r="S15" s="9">
        <f t="shared" si="14"/>
        <v>4.2747990185000004</v>
      </c>
      <c r="T15" s="9">
        <f>T14+0.35</f>
        <v>8.9499999999999993</v>
      </c>
    </row>
    <row r="16" spans="1:20" x14ac:dyDescent="0.2">
      <c r="B16" s="18">
        <f t="shared" ref="B16:B21" si="16">B15+0.025</f>
        <v>0.75</v>
      </c>
      <c r="C16" s="19">
        <f t="shared" si="1"/>
        <v>416.9248195390071</v>
      </c>
      <c r="D16" s="18">
        <f t="shared" si="2"/>
        <v>4.7456305045833336</v>
      </c>
      <c r="E16" s="18">
        <f t="shared" si="15"/>
        <v>10.519438286944444</v>
      </c>
      <c r="G16" s="20">
        <f t="shared" si="6"/>
        <v>0.69706389506944433</v>
      </c>
      <c r="H16" s="21">
        <f t="shared" ref="H16:H21" si="17">H15+10</f>
        <v>389.89361702127661</v>
      </c>
      <c r="I16" s="20">
        <f t="shared" si="7"/>
        <v>4.4280138749999995</v>
      </c>
      <c r="J16" s="20">
        <f t="shared" si="8"/>
        <v>9.4607161883333326</v>
      </c>
      <c r="L16" s="13">
        <f t="shared" si="9"/>
        <v>0.71739491590277782</v>
      </c>
      <c r="M16" s="14">
        <f t="shared" si="10"/>
        <v>400.27541489361704</v>
      </c>
      <c r="N16" s="13">
        <f t="shared" ref="N16:N21" si="18">N15+0.15</f>
        <v>4.5500000000000007</v>
      </c>
      <c r="O16" s="13">
        <f t="shared" si="11"/>
        <v>9.867336605000002</v>
      </c>
      <c r="Q16" s="9">
        <f t="shared" si="12"/>
        <v>0.68902808565277762</v>
      </c>
      <c r="R16" s="10">
        <f t="shared" si="13"/>
        <v>385.79022497872342</v>
      </c>
      <c r="S16" s="9">
        <f t="shared" si="14"/>
        <v>4.3797990184999991</v>
      </c>
      <c r="T16" s="9">
        <f t="shared" ref="T16:T21" si="19">T15+0.35</f>
        <v>9.2999999999999989</v>
      </c>
    </row>
    <row r="17" spans="1:20" x14ac:dyDescent="0.2">
      <c r="B17" s="18">
        <f t="shared" si="16"/>
        <v>0.77500000000000002</v>
      </c>
      <c r="C17" s="19">
        <f t="shared" si="1"/>
        <v>429.69077698581566</v>
      </c>
      <c r="D17" s="18">
        <f t="shared" si="2"/>
        <v>4.8956305045833339</v>
      </c>
      <c r="E17" s="18">
        <f t="shared" si="15"/>
        <v>11.019438286944444</v>
      </c>
      <c r="G17" s="20">
        <f t="shared" si="6"/>
        <v>0.71664722840277773</v>
      </c>
      <c r="H17" s="21">
        <f t="shared" si="17"/>
        <v>399.89361702127661</v>
      </c>
      <c r="I17" s="20">
        <f t="shared" si="7"/>
        <v>4.5455138750000001</v>
      </c>
      <c r="J17" s="20">
        <f t="shared" si="8"/>
        <v>9.8523828550000001</v>
      </c>
      <c r="L17" s="13">
        <f t="shared" si="9"/>
        <v>0.74239491590277795</v>
      </c>
      <c r="M17" s="14">
        <f t="shared" si="10"/>
        <v>413.04137234042565</v>
      </c>
      <c r="N17" s="13">
        <f t="shared" si="18"/>
        <v>4.7000000000000011</v>
      </c>
      <c r="O17" s="13">
        <f t="shared" si="11"/>
        <v>10.367336605000002</v>
      </c>
      <c r="Q17" s="9">
        <f t="shared" si="12"/>
        <v>0.70652808565277758</v>
      </c>
      <c r="R17" s="10">
        <f t="shared" si="13"/>
        <v>394.72639519148936</v>
      </c>
      <c r="S17" s="9">
        <f t="shared" si="14"/>
        <v>4.4847990184999995</v>
      </c>
      <c r="T17" s="9">
        <f t="shared" si="19"/>
        <v>9.6499999999999986</v>
      </c>
    </row>
    <row r="18" spans="1:20" x14ac:dyDescent="0.2">
      <c r="B18" s="18">
        <f t="shared" si="16"/>
        <v>0.8</v>
      </c>
      <c r="C18" s="19">
        <f t="shared" si="1"/>
        <v>442.4567344326241</v>
      </c>
      <c r="D18" s="18">
        <f t="shared" si="2"/>
        <v>5.0456305045833334</v>
      </c>
      <c r="E18" s="18">
        <f t="shared" si="15"/>
        <v>11.519438286944444</v>
      </c>
      <c r="G18" s="20">
        <f t="shared" si="6"/>
        <v>0.73623056173611101</v>
      </c>
      <c r="H18" s="21">
        <f t="shared" si="17"/>
        <v>409.89361702127661</v>
      </c>
      <c r="I18" s="20">
        <f t="shared" si="7"/>
        <v>4.6630138749999999</v>
      </c>
      <c r="J18" s="20">
        <f t="shared" si="8"/>
        <v>10.244049521666666</v>
      </c>
      <c r="L18" s="13">
        <f t="shared" si="9"/>
        <v>0.76739491590277797</v>
      </c>
      <c r="M18" s="14">
        <f t="shared" si="10"/>
        <v>425.80732978723415</v>
      </c>
      <c r="N18" s="13">
        <f t="shared" si="18"/>
        <v>4.8500000000000014</v>
      </c>
      <c r="O18" s="13">
        <f t="shared" si="11"/>
        <v>10.867336605000002</v>
      </c>
      <c r="Q18" s="9">
        <f t="shared" si="12"/>
        <v>0.72402808565277765</v>
      </c>
      <c r="R18" s="10">
        <f t="shared" si="13"/>
        <v>403.6625654042553</v>
      </c>
      <c r="S18" s="9">
        <f t="shared" si="14"/>
        <v>4.5897990184999991</v>
      </c>
      <c r="T18" s="9">
        <f t="shared" si="19"/>
        <v>9.9999999999999982</v>
      </c>
    </row>
    <row r="19" spans="1:20" x14ac:dyDescent="0.2">
      <c r="B19" s="18">
        <f t="shared" si="16"/>
        <v>0.82500000000000007</v>
      </c>
      <c r="C19" s="19">
        <f t="shared" si="1"/>
        <v>455.22269187943272</v>
      </c>
      <c r="D19" s="18">
        <f t="shared" si="2"/>
        <v>5.1956305045833346</v>
      </c>
      <c r="E19" s="18">
        <f t="shared" si="15"/>
        <v>12.019438286944448</v>
      </c>
      <c r="G19" s="20">
        <f t="shared" si="6"/>
        <v>0.75581389506944441</v>
      </c>
      <c r="H19" s="21">
        <f t="shared" si="17"/>
        <v>419.89361702127661</v>
      </c>
      <c r="I19" s="20">
        <f t="shared" si="7"/>
        <v>4.7805138749999996</v>
      </c>
      <c r="J19" s="20">
        <f t="shared" si="8"/>
        <v>10.635716188333333</v>
      </c>
      <c r="L19" s="13">
        <f t="shared" si="9"/>
        <v>0.792394915902778</v>
      </c>
      <c r="M19" s="14">
        <f t="shared" si="10"/>
        <v>438.57328723404271</v>
      </c>
      <c r="N19" s="13">
        <f t="shared" si="18"/>
        <v>5.0000000000000018</v>
      </c>
      <c r="O19" s="13">
        <f t="shared" si="11"/>
        <v>11.367336605000007</v>
      </c>
      <c r="Q19" s="9">
        <f t="shared" si="12"/>
        <v>0.74152808565277761</v>
      </c>
      <c r="R19" s="10">
        <f t="shared" si="13"/>
        <v>412.59873561702125</v>
      </c>
      <c r="S19" s="9">
        <f t="shared" si="14"/>
        <v>4.6947990184999995</v>
      </c>
      <c r="T19" s="9">
        <f t="shared" si="19"/>
        <v>10.349999999999998</v>
      </c>
    </row>
    <row r="20" spans="1:20" x14ac:dyDescent="0.2">
      <c r="B20" s="18">
        <f t="shared" si="16"/>
        <v>0.85000000000000009</v>
      </c>
      <c r="C20" s="19">
        <f t="shared" si="1"/>
        <v>467.98864932624122</v>
      </c>
      <c r="D20" s="18">
        <f t="shared" si="2"/>
        <v>5.345630504583335</v>
      </c>
      <c r="E20" s="18">
        <f t="shared" si="15"/>
        <v>12.519438286944448</v>
      </c>
      <c r="G20" s="20">
        <f t="shared" si="6"/>
        <v>0.77539722840277769</v>
      </c>
      <c r="H20" s="21">
        <f t="shared" si="17"/>
        <v>429.89361702127661</v>
      </c>
      <c r="I20" s="20">
        <f t="shared" si="7"/>
        <v>4.8980138750000002</v>
      </c>
      <c r="J20" s="20">
        <f t="shared" si="8"/>
        <v>11.027382855000001</v>
      </c>
      <c r="L20" s="13">
        <f t="shared" si="9"/>
        <v>0.81739491590277813</v>
      </c>
      <c r="M20" s="14">
        <f t="shared" si="10"/>
        <v>451.33924468085132</v>
      </c>
      <c r="N20" s="13">
        <f t="shared" si="18"/>
        <v>5.1500000000000021</v>
      </c>
      <c r="O20" s="13">
        <f t="shared" si="11"/>
        <v>11.867336605000007</v>
      </c>
      <c r="Q20" s="9">
        <f t="shared" si="12"/>
        <v>0.75902808565277757</v>
      </c>
      <c r="R20" s="10">
        <f t="shared" si="13"/>
        <v>421.53490582978725</v>
      </c>
      <c r="S20" s="9">
        <f t="shared" si="14"/>
        <v>4.799799018499999</v>
      </c>
      <c r="T20" s="9">
        <f t="shared" si="19"/>
        <v>10.699999999999998</v>
      </c>
    </row>
    <row r="21" spans="1:20" x14ac:dyDescent="0.2">
      <c r="B21" s="18">
        <f t="shared" si="16"/>
        <v>0.87500000000000011</v>
      </c>
      <c r="C21" s="19">
        <f t="shared" si="1"/>
        <v>480.75460677304983</v>
      </c>
      <c r="D21" s="18">
        <f t="shared" si="2"/>
        <v>5.4956305045833345</v>
      </c>
      <c r="E21" s="18">
        <f t="shared" si="15"/>
        <v>13.019438286944448</v>
      </c>
      <c r="G21" s="20">
        <f t="shared" si="6"/>
        <v>0.79498056173611109</v>
      </c>
      <c r="H21" s="21">
        <f t="shared" si="17"/>
        <v>439.89361702127661</v>
      </c>
      <c r="I21" s="20">
        <f t="shared" si="7"/>
        <v>5.0155138749999999</v>
      </c>
      <c r="J21" s="20">
        <f t="shared" si="8"/>
        <v>11.419049521666667</v>
      </c>
      <c r="L21" s="13">
        <f t="shared" si="9"/>
        <v>0.84239491590277815</v>
      </c>
      <c r="M21" s="14">
        <f t="shared" si="10"/>
        <v>464.10520212765982</v>
      </c>
      <c r="N21" s="13">
        <f t="shared" si="18"/>
        <v>5.3000000000000025</v>
      </c>
      <c r="O21" s="13">
        <f t="shared" si="11"/>
        <v>12.367336605000007</v>
      </c>
      <c r="Q21" s="9">
        <f t="shared" si="12"/>
        <v>0.77652808565277764</v>
      </c>
      <c r="R21" s="10">
        <f t="shared" si="13"/>
        <v>430.47107604255308</v>
      </c>
      <c r="S21" s="9">
        <f t="shared" si="14"/>
        <v>4.9047990184999994</v>
      </c>
      <c r="T21" s="9">
        <f t="shared" si="19"/>
        <v>11.049999999999997</v>
      </c>
    </row>
    <row r="22" spans="1:20" x14ac:dyDescent="0.2">
      <c r="B22" s="18"/>
      <c r="C22" s="19"/>
      <c r="D22" s="18"/>
      <c r="E22" s="18"/>
      <c r="G22" s="23"/>
      <c r="H22" s="23"/>
      <c r="I22" s="23"/>
      <c r="J22" s="23"/>
      <c r="L22" s="16"/>
      <c r="M22" s="16"/>
      <c r="N22" s="16"/>
      <c r="O22" s="16"/>
      <c r="Q22" s="12"/>
      <c r="R22" s="12"/>
      <c r="S22" s="12"/>
      <c r="T22" s="12"/>
    </row>
    <row r="23" spans="1:20" x14ac:dyDescent="0.2">
      <c r="B23" s="56" t="s">
        <v>2</v>
      </c>
      <c r="C23" s="56" t="s">
        <v>68</v>
      </c>
      <c r="D23" s="56" t="s">
        <v>4</v>
      </c>
      <c r="E23" s="56" t="s">
        <v>69</v>
      </c>
      <c r="G23" s="23"/>
      <c r="H23" s="23"/>
      <c r="I23" s="23"/>
      <c r="J23" s="23"/>
      <c r="L23" s="16"/>
      <c r="M23" s="16"/>
      <c r="N23" s="16"/>
      <c r="O23" s="16"/>
      <c r="Q23" s="12"/>
      <c r="R23" s="12"/>
      <c r="S23" s="12"/>
      <c r="T23" s="12"/>
    </row>
    <row r="24" spans="1:20" x14ac:dyDescent="0.2">
      <c r="A24" s="1" t="s">
        <v>72</v>
      </c>
      <c r="B24" s="57">
        <f>Conventional!$L$30</f>
        <v>424.48837320454538</v>
      </c>
      <c r="C24" s="57">
        <f>Conventional!$N$30</f>
        <v>537.15375000000006</v>
      </c>
      <c r="D24" s="57">
        <f>Conventional!$P$30</f>
        <v>293.48862585000001</v>
      </c>
      <c r="E24" s="57">
        <f>Conventional!$R$30</f>
        <v>195.55541740000001</v>
      </c>
      <c r="G24" s="23"/>
      <c r="H24" s="23"/>
      <c r="I24" s="23"/>
      <c r="J24" s="23"/>
      <c r="L24" s="16"/>
      <c r="M24" s="16"/>
      <c r="N24" s="16"/>
      <c r="O24" s="16"/>
      <c r="Q24" s="12"/>
      <c r="R24" s="12"/>
      <c r="S24" s="12"/>
      <c r="T24" s="12"/>
    </row>
    <row r="25" spans="1:20" x14ac:dyDescent="0.2">
      <c r="A25" s="1" t="s">
        <v>73</v>
      </c>
      <c r="B25" s="58">
        <f>Conventional!$L$7</f>
        <v>750</v>
      </c>
      <c r="C25" s="58">
        <f>Conventional!$N$7</f>
        <v>3400</v>
      </c>
      <c r="D25" s="58">
        <f>Conventional!$P$7</f>
        <v>85</v>
      </c>
      <c r="E25" s="58">
        <f>Conventional!$R$7</f>
        <v>30</v>
      </c>
      <c r="G25" s="23"/>
      <c r="H25" s="23"/>
      <c r="I25" s="23"/>
      <c r="J25" s="23"/>
      <c r="L25" s="16"/>
      <c r="M25" s="16"/>
      <c r="N25" s="16"/>
      <c r="O25" s="16"/>
      <c r="Q25" s="12"/>
      <c r="R25" s="12"/>
      <c r="S25" s="12"/>
      <c r="T25" s="12"/>
    </row>
    <row r="26" spans="1:20" s="6" customFormat="1" x14ac:dyDescent="0.2">
      <c r="B26" s="392" t="s">
        <v>74</v>
      </c>
      <c r="C26" s="392"/>
      <c r="D26" s="392"/>
      <c r="E26" s="392"/>
      <c r="F26" s="29"/>
      <c r="G26" s="393" t="s">
        <v>75</v>
      </c>
      <c r="H26" s="393"/>
      <c r="I26" s="393"/>
      <c r="J26" s="393"/>
      <c r="K26" s="29"/>
      <c r="L26" s="394" t="s">
        <v>76</v>
      </c>
      <c r="M26" s="394"/>
      <c r="N26" s="394"/>
      <c r="O26" s="394"/>
      <c r="P26" s="29"/>
      <c r="Q26" s="395" t="s">
        <v>77</v>
      </c>
      <c r="R26" s="395"/>
      <c r="S26" s="395"/>
      <c r="T26" s="395"/>
    </row>
    <row r="27" spans="1:20" s="8" customFormat="1" ht="38.25" x14ac:dyDescent="0.2">
      <c r="B27" s="25" t="s">
        <v>83</v>
      </c>
      <c r="C27" s="25" t="s">
        <v>80</v>
      </c>
      <c r="D27" s="25" t="s">
        <v>81</v>
      </c>
      <c r="E27" s="25" t="s">
        <v>82</v>
      </c>
      <c r="F27" s="30"/>
      <c r="G27" s="26" t="s">
        <v>83</v>
      </c>
      <c r="H27" s="26" t="s">
        <v>80</v>
      </c>
      <c r="I27" s="26" t="s">
        <v>81</v>
      </c>
      <c r="J27" s="26" t="s">
        <v>82</v>
      </c>
      <c r="K27" s="30"/>
      <c r="L27" s="27" t="s">
        <v>83</v>
      </c>
      <c r="M27" s="27" t="s">
        <v>80</v>
      </c>
      <c r="N27" s="27" t="s">
        <v>81</v>
      </c>
      <c r="O27" s="27" t="s">
        <v>82</v>
      </c>
      <c r="P27" s="30"/>
      <c r="Q27" s="28" t="s">
        <v>83</v>
      </c>
      <c r="R27" s="28" t="s">
        <v>80</v>
      </c>
      <c r="S27" s="28" t="s">
        <v>81</v>
      </c>
      <c r="T27" s="28" t="s">
        <v>82</v>
      </c>
    </row>
    <row r="28" spans="1:20" x14ac:dyDescent="0.2">
      <c r="B28" s="18">
        <f t="shared" ref="B28:B33" si="20">B29-0.025</f>
        <v>0.5249999999999998</v>
      </c>
      <c r="C28" s="19">
        <f t="shared" ref="C28:C42" si="21">(((B28*$B$25)-$B$24+$C$24)/$C$25)*2000</f>
        <v>297.89139811497324</v>
      </c>
      <c r="D28" s="18">
        <f t="shared" ref="D28:D42" si="22">(((B28*$B$25)-$B$24+$D$24)/$D$25)</f>
        <v>3.0911794428876993</v>
      </c>
      <c r="E28" s="18">
        <f t="shared" ref="E28:E42" si="23">(((B28*$B$25)-$B$24+$E$24)/$E$25)</f>
        <v>5.4939014731818157</v>
      </c>
      <c r="G28" s="20">
        <f>(((H28*$C$25/2000)-$C$24+$B$24)/$B$25)</f>
        <v>0.52953836285428735</v>
      </c>
      <c r="H28" s="21">
        <f t="shared" ref="H28:H33" si="24">H29-10</f>
        <v>299.89361702127661</v>
      </c>
      <c r="I28" s="20">
        <f>(((H28*$C$25/2000)-$C$24+$D$24)/$D$25)</f>
        <v>3.1312238210137666</v>
      </c>
      <c r="J28" s="20">
        <f>(((H28*$C$25/2000)-$C$24+$E$24)/$E$25)</f>
        <v>5.6073605445390058</v>
      </c>
      <c r="L28" s="17">
        <f>(((N28*$D$25)-$D$24+$B$24)/$B$25)</f>
        <v>0.53733299647272714</v>
      </c>
      <c r="M28" s="14">
        <f>(((N28*$D$25)-$D$24+$C$24)/$C$25)*2000</f>
        <v>303.3324259705883</v>
      </c>
      <c r="N28" s="13">
        <f t="shared" ref="N28:N33" si="25">N29-0.15</f>
        <v>3.2</v>
      </c>
      <c r="O28" s="13">
        <f>(((N28*$D$25)-$D$24+$E$24)/$E$25)</f>
        <v>5.802226385</v>
      </c>
      <c r="Q28" s="9">
        <f>(((T28*$E$25)-$E$24+$B$24)/$B$25)</f>
        <v>0.55124394107272723</v>
      </c>
      <c r="R28" s="10">
        <f>(((T28*$E$25)-$E$24+$C$24)/$C$25)*2000</f>
        <v>309.46960741176474</v>
      </c>
      <c r="S28" s="9">
        <f>(((T28*$E$25)-$E$24+$D$24)/$D$25)</f>
        <v>3.3227436288235301</v>
      </c>
      <c r="T28" s="9">
        <f t="shared" ref="T28:T33" si="26">T29-0.35</f>
        <v>6.1500000000000021</v>
      </c>
    </row>
    <row r="29" spans="1:20" x14ac:dyDescent="0.2">
      <c r="B29" s="18">
        <f t="shared" si="20"/>
        <v>0.54999999999999982</v>
      </c>
      <c r="C29" s="19">
        <f t="shared" si="21"/>
        <v>308.92080987967915</v>
      </c>
      <c r="D29" s="18">
        <f t="shared" si="22"/>
        <v>3.3117676781818179</v>
      </c>
      <c r="E29" s="18">
        <f t="shared" si="23"/>
        <v>6.1189014731818174</v>
      </c>
      <c r="G29" s="20">
        <f t="shared" ref="G29:G42" si="27">(((H29*$C$25/2000)-$C$24+$B$24)/$B$25)</f>
        <v>0.55220502952095407</v>
      </c>
      <c r="H29" s="21">
        <f t="shared" si="24"/>
        <v>309.89361702127661</v>
      </c>
      <c r="I29" s="20">
        <f t="shared" ref="I29:I42" si="28">(((H29*$C$25/2000)-$C$24+$D$24)/$D$25)</f>
        <v>3.3312238210137668</v>
      </c>
      <c r="J29" s="20">
        <f t="shared" ref="J29:J42" si="29">(((H29*$C$25/2000)-$C$24+$E$24)/$E$25)</f>
        <v>6.1740272112056722</v>
      </c>
      <c r="L29" s="17">
        <f t="shared" ref="L29:L42" si="30">(((N29*$D$25)-$D$24+$B$24)/$B$25)</f>
        <v>0.55433299647272716</v>
      </c>
      <c r="M29" s="14">
        <f t="shared" ref="M29:M42" si="31">(((N29*$D$25)-$D$24+$C$24)/$C$25)*2000</f>
        <v>310.8324259705883</v>
      </c>
      <c r="N29" s="13">
        <f t="shared" si="25"/>
        <v>3.35</v>
      </c>
      <c r="O29" s="13">
        <f t="shared" ref="O29:O42" si="32">(((N29*$D$25)-$D$24+$E$24)/$E$25)</f>
        <v>6.2272263849999998</v>
      </c>
      <c r="Q29" s="9">
        <f t="shared" ref="Q29:Q42" si="33">(((T29*$E$25)-$E$24+$B$24)/$B$25)</f>
        <v>0.56524394107272724</v>
      </c>
      <c r="R29" s="10">
        <f t="shared" ref="R29:R42" si="34">(((T29*$E$25)-$E$24+$C$24)/$C$25)*2000</f>
        <v>315.64607800000005</v>
      </c>
      <c r="S29" s="9">
        <f t="shared" ref="S29:S42" si="35">(((T29*$E$25)-$E$24+$D$24)/$D$25)</f>
        <v>3.446273040588236</v>
      </c>
      <c r="T29" s="9">
        <f t="shared" si="26"/>
        <v>6.5000000000000018</v>
      </c>
    </row>
    <row r="30" spans="1:20" x14ac:dyDescent="0.2">
      <c r="B30" s="18">
        <f t="shared" si="20"/>
        <v>0.57499999999999984</v>
      </c>
      <c r="C30" s="19">
        <f t="shared" si="21"/>
        <v>319.95022164438501</v>
      </c>
      <c r="D30" s="18">
        <f t="shared" si="22"/>
        <v>3.5323559134759352</v>
      </c>
      <c r="E30" s="18">
        <f t="shared" si="23"/>
        <v>6.7439014731818174</v>
      </c>
      <c r="G30" s="20">
        <f t="shared" si="27"/>
        <v>0.57487169618762068</v>
      </c>
      <c r="H30" s="21">
        <f t="shared" si="24"/>
        <v>319.89361702127661</v>
      </c>
      <c r="I30" s="20">
        <f t="shared" si="28"/>
        <v>3.5312238210137665</v>
      </c>
      <c r="J30" s="20">
        <f t="shared" si="29"/>
        <v>6.7406938778723395</v>
      </c>
      <c r="L30" s="17">
        <f t="shared" si="30"/>
        <v>0.57133299647272717</v>
      </c>
      <c r="M30" s="14">
        <f t="shared" si="31"/>
        <v>318.3324259705883</v>
      </c>
      <c r="N30" s="13">
        <f t="shared" si="25"/>
        <v>3.5</v>
      </c>
      <c r="O30" s="13">
        <f t="shared" si="32"/>
        <v>6.6522263850000005</v>
      </c>
      <c r="Q30" s="9">
        <f t="shared" si="33"/>
        <v>0.57924394107272725</v>
      </c>
      <c r="R30" s="10">
        <f t="shared" si="34"/>
        <v>321.82254858823535</v>
      </c>
      <c r="S30" s="9">
        <f t="shared" si="35"/>
        <v>3.5698024523529419</v>
      </c>
      <c r="T30" s="9">
        <f t="shared" si="26"/>
        <v>6.8500000000000014</v>
      </c>
    </row>
    <row r="31" spans="1:20" x14ac:dyDescent="0.2">
      <c r="B31" s="18">
        <f t="shared" si="20"/>
        <v>0.59999999999999987</v>
      </c>
      <c r="C31" s="19">
        <f t="shared" si="21"/>
        <v>330.97963340909092</v>
      </c>
      <c r="D31" s="18">
        <f t="shared" si="22"/>
        <v>3.752944148770053</v>
      </c>
      <c r="E31" s="18">
        <f t="shared" si="23"/>
        <v>7.3689014731818174</v>
      </c>
      <c r="G31" s="20">
        <f t="shared" si="27"/>
        <v>0.59753836285428741</v>
      </c>
      <c r="H31" s="21">
        <f t="shared" si="24"/>
        <v>329.89361702127661</v>
      </c>
      <c r="I31" s="20">
        <f t="shared" si="28"/>
        <v>3.7312238210137667</v>
      </c>
      <c r="J31" s="20">
        <f t="shared" si="29"/>
        <v>7.307360544539006</v>
      </c>
      <c r="L31" s="17">
        <f t="shared" si="30"/>
        <v>0.58833299647272719</v>
      </c>
      <c r="M31" s="14">
        <f t="shared" si="31"/>
        <v>325.8324259705883</v>
      </c>
      <c r="N31" s="13">
        <f t="shared" si="25"/>
        <v>3.65</v>
      </c>
      <c r="O31" s="13">
        <f t="shared" si="32"/>
        <v>7.0772263850000003</v>
      </c>
      <c r="Q31" s="9">
        <f t="shared" si="33"/>
        <v>0.59324394107272715</v>
      </c>
      <c r="R31" s="10">
        <f t="shared" si="34"/>
        <v>327.9990191764706</v>
      </c>
      <c r="S31" s="9">
        <f t="shared" si="35"/>
        <v>3.6933318641176478</v>
      </c>
      <c r="T31" s="9">
        <f t="shared" si="26"/>
        <v>7.2000000000000011</v>
      </c>
    </row>
    <row r="32" spans="1:20" x14ac:dyDescent="0.2">
      <c r="B32" s="18">
        <f t="shared" si="20"/>
        <v>0.62499999999999989</v>
      </c>
      <c r="C32" s="19">
        <f t="shared" si="21"/>
        <v>342.00904517379689</v>
      </c>
      <c r="D32" s="18">
        <f t="shared" si="22"/>
        <v>3.9735323840641712</v>
      </c>
      <c r="E32" s="18">
        <f t="shared" si="23"/>
        <v>7.9939014731818192</v>
      </c>
      <c r="G32" s="20">
        <f t="shared" si="27"/>
        <v>0.62020502952095402</v>
      </c>
      <c r="H32" s="21">
        <f t="shared" si="24"/>
        <v>339.89361702127661</v>
      </c>
      <c r="I32" s="20">
        <f t="shared" si="28"/>
        <v>3.9312238210137669</v>
      </c>
      <c r="J32" s="20">
        <f t="shared" si="29"/>
        <v>7.8740272112056724</v>
      </c>
      <c r="L32" s="17">
        <f t="shared" si="30"/>
        <v>0.6053329964727272</v>
      </c>
      <c r="M32" s="14">
        <f t="shared" si="31"/>
        <v>333.3324259705883</v>
      </c>
      <c r="N32" s="13">
        <f t="shared" si="25"/>
        <v>3.8</v>
      </c>
      <c r="O32" s="13">
        <f t="shared" si="32"/>
        <v>7.5022263850000002</v>
      </c>
      <c r="Q32" s="9">
        <f t="shared" si="33"/>
        <v>0.60724394107272717</v>
      </c>
      <c r="R32" s="10">
        <f t="shared" si="34"/>
        <v>334.1754897647059</v>
      </c>
      <c r="S32" s="9">
        <f t="shared" si="35"/>
        <v>3.8168612758823537</v>
      </c>
      <c r="T32" s="9">
        <f t="shared" si="26"/>
        <v>7.5500000000000007</v>
      </c>
    </row>
    <row r="33" spans="1:20" x14ac:dyDescent="0.2">
      <c r="B33" s="18">
        <f t="shared" si="20"/>
        <v>0.64999999999999991</v>
      </c>
      <c r="C33" s="19">
        <f t="shared" si="21"/>
        <v>353.0384569385028</v>
      </c>
      <c r="D33" s="18">
        <f t="shared" si="22"/>
        <v>4.1941206193582889</v>
      </c>
      <c r="E33" s="18">
        <f t="shared" si="23"/>
        <v>8.6189014731818183</v>
      </c>
      <c r="G33" s="20">
        <f t="shared" si="27"/>
        <v>0.64287169618762074</v>
      </c>
      <c r="H33" s="21">
        <f t="shared" si="24"/>
        <v>349.89361702127661</v>
      </c>
      <c r="I33" s="20">
        <f t="shared" si="28"/>
        <v>4.1312238210137666</v>
      </c>
      <c r="J33" s="20">
        <f t="shared" si="29"/>
        <v>8.4406938778723397</v>
      </c>
      <c r="L33" s="17">
        <f t="shared" si="30"/>
        <v>0.62233299647272722</v>
      </c>
      <c r="M33" s="14">
        <f t="shared" si="31"/>
        <v>340.8324259705883</v>
      </c>
      <c r="N33" s="13">
        <f t="shared" si="25"/>
        <v>3.9499999999999997</v>
      </c>
      <c r="O33" s="13">
        <f t="shared" si="32"/>
        <v>7.927226385</v>
      </c>
      <c r="Q33" s="9">
        <f t="shared" si="33"/>
        <v>0.62124394107272718</v>
      </c>
      <c r="R33" s="10">
        <f t="shared" si="34"/>
        <v>340.35196035294121</v>
      </c>
      <c r="S33" s="9">
        <f t="shared" si="35"/>
        <v>3.9403906876470587</v>
      </c>
      <c r="T33" s="9">
        <f t="shared" si="26"/>
        <v>7.9</v>
      </c>
    </row>
    <row r="34" spans="1:20" ht="13.5" thickBot="1" x14ac:dyDescent="0.25">
      <c r="B34" s="18">
        <f>B35-0.025</f>
        <v>0.67499999999999993</v>
      </c>
      <c r="C34" s="19">
        <f t="shared" si="21"/>
        <v>364.0678687032086</v>
      </c>
      <c r="D34" s="18">
        <f t="shared" si="22"/>
        <v>4.4147088546524067</v>
      </c>
      <c r="E34" s="18">
        <f t="shared" si="23"/>
        <v>9.2439014731818183</v>
      </c>
      <c r="G34" s="20">
        <f t="shared" si="27"/>
        <v>0.66553836285428736</v>
      </c>
      <c r="H34" s="21">
        <f>H35-10</f>
        <v>359.89361702127661</v>
      </c>
      <c r="I34" s="20">
        <f t="shared" si="28"/>
        <v>4.3312238210137668</v>
      </c>
      <c r="J34" s="20">
        <f t="shared" si="29"/>
        <v>9.0073605445390061</v>
      </c>
      <c r="L34" s="17">
        <f t="shared" si="30"/>
        <v>0.63933299647272712</v>
      </c>
      <c r="M34" s="14">
        <f t="shared" si="31"/>
        <v>348.33242597058825</v>
      </c>
      <c r="N34" s="13">
        <f>N35-0.15</f>
        <v>4.0999999999999996</v>
      </c>
      <c r="O34" s="13">
        <f t="shared" si="32"/>
        <v>8.352226384999998</v>
      </c>
      <c r="Q34" s="9">
        <f t="shared" si="33"/>
        <v>0.63524394107272719</v>
      </c>
      <c r="R34" s="10">
        <f t="shared" si="34"/>
        <v>346.52843094117651</v>
      </c>
      <c r="S34" s="9">
        <f t="shared" si="35"/>
        <v>4.0639200994117646</v>
      </c>
      <c r="T34" s="9">
        <f>T35-0.35</f>
        <v>8.25</v>
      </c>
    </row>
    <row r="35" spans="1:20" ht="13.5" thickBot="1" x14ac:dyDescent="0.25">
      <c r="B35" s="24">
        <f>Conventional!$B$8</f>
        <v>0.7</v>
      </c>
      <c r="C35" s="19">
        <f t="shared" si="21"/>
        <v>375.09728046791452</v>
      </c>
      <c r="D35" s="18">
        <f t="shared" si="22"/>
        <v>4.6352970899465253</v>
      </c>
      <c r="E35" s="18">
        <f t="shared" si="23"/>
        <v>9.8689014731818201</v>
      </c>
      <c r="G35" s="20">
        <f t="shared" si="27"/>
        <v>0.68820502952095408</v>
      </c>
      <c r="H35" s="22">
        <f>Conventional!$D$8</f>
        <v>369.89361702127661</v>
      </c>
      <c r="I35" s="20">
        <f t="shared" si="28"/>
        <v>4.531223821013767</v>
      </c>
      <c r="J35" s="20">
        <f t="shared" si="29"/>
        <v>9.5740272112056726</v>
      </c>
      <c r="L35" s="17">
        <f t="shared" si="30"/>
        <v>0.65633299647272714</v>
      </c>
      <c r="M35" s="14">
        <f t="shared" si="31"/>
        <v>355.8324259705883</v>
      </c>
      <c r="N35" s="15">
        <f>Conventional!$F$8</f>
        <v>4.25</v>
      </c>
      <c r="O35" s="13">
        <f t="shared" si="32"/>
        <v>8.7772263850000005</v>
      </c>
      <c r="Q35" s="9">
        <f t="shared" si="33"/>
        <v>0.6492439410727272</v>
      </c>
      <c r="R35" s="10">
        <f t="shared" si="34"/>
        <v>352.70490152941181</v>
      </c>
      <c r="S35" s="9">
        <f t="shared" si="35"/>
        <v>4.1874495111764709</v>
      </c>
      <c r="T35" s="11">
        <f>Conventional!$H$8</f>
        <v>8.6</v>
      </c>
    </row>
    <row r="36" spans="1:20" x14ac:dyDescent="0.2">
      <c r="B36" s="18">
        <f>B35+0.025</f>
        <v>0.72499999999999998</v>
      </c>
      <c r="C36" s="19">
        <f t="shared" si="21"/>
        <v>386.12669223262043</v>
      </c>
      <c r="D36" s="18">
        <f t="shared" si="22"/>
        <v>4.8558853252406422</v>
      </c>
      <c r="E36" s="18">
        <f t="shared" si="23"/>
        <v>10.49390147318182</v>
      </c>
      <c r="G36" s="20">
        <f t="shared" si="27"/>
        <v>0.71087169618762069</v>
      </c>
      <c r="H36" s="21">
        <f>H35+10</f>
        <v>379.89361702127661</v>
      </c>
      <c r="I36" s="20">
        <f t="shared" si="28"/>
        <v>4.7312238210137663</v>
      </c>
      <c r="J36" s="20">
        <f t="shared" si="29"/>
        <v>10.140693877872339</v>
      </c>
      <c r="L36" s="17">
        <f t="shared" si="30"/>
        <v>0.67333299647272726</v>
      </c>
      <c r="M36" s="14">
        <f t="shared" si="31"/>
        <v>363.3324259705883</v>
      </c>
      <c r="N36" s="13">
        <f>N35+0.15</f>
        <v>4.4000000000000004</v>
      </c>
      <c r="O36" s="13">
        <f t="shared" si="32"/>
        <v>9.2022263850000012</v>
      </c>
      <c r="Q36" s="9">
        <f t="shared" si="33"/>
        <v>0.66324394107272722</v>
      </c>
      <c r="R36" s="10">
        <f t="shared" si="34"/>
        <v>358.88137211764712</v>
      </c>
      <c r="S36" s="9">
        <f t="shared" si="35"/>
        <v>4.3109789229411764</v>
      </c>
      <c r="T36" s="9">
        <f>T35+0.35</f>
        <v>8.9499999999999993</v>
      </c>
    </row>
    <row r="37" spans="1:20" x14ac:dyDescent="0.2">
      <c r="B37" s="18">
        <f t="shared" ref="B37:B42" si="36">B36+0.025</f>
        <v>0.75</v>
      </c>
      <c r="C37" s="19">
        <f t="shared" si="21"/>
        <v>397.15610399732628</v>
      </c>
      <c r="D37" s="18">
        <f t="shared" si="22"/>
        <v>5.07647356053476</v>
      </c>
      <c r="E37" s="18">
        <f t="shared" si="23"/>
        <v>11.11890147318182</v>
      </c>
      <c r="G37" s="20">
        <f t="shared" si="27"/>
        <v>0.73353836285428742</v>
      </c>
      <c r="H37" s="21">
        <f t="shared" ref="H37:H42" si="37">H36+10</f>
        <v>389.89361702127661</v>
      </c>
      <c r="I37" s="20">
        <f t="shared" si="28"/>
        <v>4.9312238210137664</v>
      </c>
      <c r="J37" s="20">
        <f t="shared" si="29"/>
        <v>10.707360544539005</v>
      </c>
      <c r="L37" s="17">
        <f t="shared" si="30"/>
        <v>0.69033299647272728</v>
      </c>
      <c r="M37" s="14">
        <f t="shared" si="31"/>
        <v>370.8324259705883</v>
      </c>
      <c r="N37" s="13">
        <f t="shared" ref="N37:N42" si="38">N36+0.15</f>
        <v>4.5500000000000007</v>
      </c>
      <c r="O37" s="13">
        <f t="shared" si="32"/>
        <v>9.6272263850000019</v>
      </c>
      <c r="Q37" s="9">
        <f t="shared" si="33"/>
        <v>0.67724394107272712</v>
      </c>
      <c r="R37" s="10">
        <f t="shared" si="34"/>
        <v>365.05784270588236</v>
      </c>
      <c r="S37" s="9">
        <f t="shared" si="35"/>
        <v>4.4345083347058818</v>
      </c>
      <c r="T37" s="9">
        <f t="shared" ref="T37:T42" si="39">T36+0.35</f>
        <v>9.2999999999999989</v>
      </c>
    </row>
    <row r="38" spans="1:20" x14ac:dyDescent="0.2">
      <c r="B38" s="18">
        <f t="shared" si="36"/>
        <v>0.77500000000000002</v>
      </c>
      <c r="C38" s="19">
        <f t="shared" si="21"/>
        <v>408.18551576203214</v>
      </c>
      <c r="D38" s="18">
        <f t="shared" si="22"/>
        <v>5.2970617958288777</v>
      </c>
      <c r="E38" s="18">
        <f t="shared" si="23"/>
        <v>11.74390147318182</v>
      </c>
      <c r="G38" s="20">
        <f t="shared" si="27"/>
        <v>0.75620502952095403</v>
      </c>
      <c r="H38" s="21">
        <f t="shared" si="37"/>
        <v>399.89361702127661</v>
      </c>
      <c r="I38" s="20">
        <f t="shared" si="28"/>
        <v>5.1312238210137666</v>
      </c>
      <c r="J38" s="20">
        <f t="shared" si="29"/>
        <v>11.274027211205672</v>
      </c>
      <c r="L38" s="17">
        <f t="shared" si="30"/>
        <v>0.70733299647272729</v>
      </c>
      <c r="M38" s="14">
        <f t="shared" si="31"/>
        <v>378.3324259705883</v>
      </c>
      <c r="N38" s="13">
        <f t="shared" si="38"/>
        <v>4.7000000000000011</v>
      </c>
      <c r="O38" s="13">
        <f t="shared" si="32"/>
        <v>10.052226385000004</v>
      </c>
      <c r="Q38" s="9">
        <f t="shared" si="33"/>
        <v>0.69124394107272713</v>
      </c>
      <c r="R38" s="10">
        <f t="shared" si="34"/>
        <v>371.23431329411767</v>
      </c>
      <c r="S38" s="9">
        <f t="shared" si="35"/>
        <v>4.5580377464705872</v>
      </c>
      <c r="T38" s="9">
        <f t="shared" si="39"/>
        <v>9.6499999999999986</v>
      </c>
    </row>
    <row r="39" spans="1:20" x14ac:dyDescent="0.2">
      <c r="B39" s="18">
        <f t="shared" si="36"/>
        <v>0.8</v>
      </c>
      <c r="C39" s="19">
        <f t="shared" si="21"/>
        <v>419.21492752673805</v>
      </c>
      <c r="D39" s="18">
        <f t="shared" si="22"/>
        <v>5.5176500311229955</v>
      </c>
      <c r="E39" s="18">
        <f t="shared" si="23"/>
        <v>12.36890147318182</v>
      </c>
      <c r="G39" s="20">
        <f t="shared" si="27"/>
        <v>0.77887169618762075</v>
      </c>
      <c r="H39" s="21">
        <f t="shared" si="37"/>
        <v>409.89361702127661</v>
      </c>
      <c r="I39" s="20">
        <f t="shared" si="28"/>
        <v>5.3312238210137668</v>
      </c>
      <c r="J39" s="20">
        <f t="shared" si="29"/>
        <v>11.840693877872338</v>
      </c>
      <c r="L39" s="17">
        <f t="shared" si="30"/>
        <v>0.7243329964727272</v>
      </c>
      <c r="M39" s="14">
        <f t="shared" si="31"/>
        <v>385.8324259705883</v>
      </c>
      <c r="N39" s="13">
        <f t="shared" si="38"/>
        <v>4.8500000000000014</v>
      </c>
      <c r="O39" s="13">
        <f t="shared" si="32"/>
        <v>10.477226385000003</v>
      </c>
      <c r="Q39" s="9">
        <f t="shared" si="33"/>
        <v>0.70524394107272714</v>
      </c>
      <c r="R39" s="10">
        <f t="shared" si="34"/>
        <v>377.41078388235297</v>
      </c>
      <c r="S39" s="9">
        <f t="shared" si="35"/>
        <v>4.6815671582352936</v>
      </c>
      <c r="T39" s="9">
        <f t="shared" si="39"/>
        <v>9.9999999999999982</v>
      </c>
    </row>
    <row r="40" spans="1:20" x14ac:dyDescent="0.2">
      <c r="B40" s="18">
        <f t="shared" si="36"/>
        <v>0.82500000000000007</v>
      </c>
      <c r="C40" s="19">
        <f t="shared" si="21"/>
        <v>430.24433929144391</v>
      </c>
      <c r="D40" s="18">
        <f t="shared" si="22"/>
        <v>5.7382382664171132</v>
      </c>
      <c r="E40" s="18">
        <f t="shared" si="23"/>
        <v>12.99390147318182</v>
      </c>
      <c r="G40" s="20">
        <f t="shared" si="27"/>
        <v>0.80153836285428737</v>
      </c>
      <c r="H40" s="21">
        <f t="shared" si="37"/>
        <v>419.89361702127661</v>
      </c>
      <c r="I40" s="20">
        <f t="shared" si="28"/>
        <v>5.531223821013767</v>
      </c>
      <c r="J40" s="20">
        <f t="shared" si="29"/>
        <v>12.407360544539006</v>
      </c>
      <c r="L40" s="17">
        <f t="shared" si="30"/>
        <v>0.74133299647272743</v>
      </c>
      <c r="M40" s="14">
        <f t="shared" si="31"/>
        <v>393.33242597058836</v>
      </c>
      <c r="N40" s="13">
        <f t="shared" si="38"/>
        <v>5.0000000000000018</v>
      </c>
      <c r="O40" s="13">
        <f t="shared" si="32"/>
        <v>10.902226385000006</v>
      </c>
      <c r="Q40" s="9">
        <f t="shared" si="33"/>
        <v>0.71924394107272716</v>
      </c>
      <c r="R40" s="10">
        <f t="shared" si="34"/>
        <v>383.58725447058828</v>
      </c>
      <c r="S40" s="9">
        <f t="shared" si="35"/>
        <v>4.805096569999999</v>
      </c>
      <c r="T40" s="9">
        <f t="shared" si="39"/>
        <v>10.349999999999998</v>
      </c>
    </row>
    <row r="41" spans="1:20" x14ac:dyDescent="0.2">
      <c r="A41" s="2"/>
      <c r="B41" s="37">
        <f t="shared" si="36"/>
        <v>0.85000000000000009</v>
      </c>
      <c r="C41" s="38">
        <f t="shared" si="21"/>
        <v>441.27375105614988</v>
      </c>
      <c r="D41" s="37">
        <f t="shared" si="22"/>
        <v>5.9588265017112318</v>
      </c>
      <c r="E41" s="37">
        <f t="shared" si="23"/>
        <v>13.618901473181825</v>
      </c>
      <c r="G41" s="39">
        <f t="shared" si="27"/>
        <v>0.82420502952095409</v>
      </c>
      <c r="H41" s="40">
        <f t="shared" si="37"/>
        <v>429.89361702127661</v>
      </c>
      <c r="I41" s="39">
        <f t="shared" si="28"/>
        <v>5.7312238210137663</v>
      </c>
      <c r="J41" s="39">
        <f t="shared" si="29"/>
        <v>12.974027211205673</v>
      </c>
      <c r="L41" s="41">
        <f t="shared" si="30"/>
        <v>0.75833299647272745</v>
      </c>
      <c r="M41" s="42">
        <f t="shared" si="31"/>
        <v>400.83242597058836</v>
      </c>
      <c r="N41" s="43">
        <f t="shared" si="38"/>
        <v>5.1500000000000021</v>
      </c>
      <c r="O41" s="43">
        <f t="shared" si="32"/>
        <v>11.327226385000007</v>
      </c>
      <c r="Q41" s="44">
        <f t="shared" si="33"/>
        <v>0.73324394107272717</v>
      </c>
      <c r="R41" s="45">
        <f t="shared" si="34"/>
        <v>389.76372505882358</v>
      </c>
      <c r="S41" s="44">
        <f t="shared" si="35"/>
        <v>4.9286259817647053</v>
      </c>
      <c r="T41" s="44">
        <f t="shared" si="39"/>
        <v>10.699999999999998</v>
      </c>
    </row>
    <row r="42" spans="1:20" x14ac:dyDescent="0.2">
      <c r="A42" s="46"/>
      <c r="B42" s="47">
        <f t="shared" si="36"/>
        <v>0.87500000000000011</v>
      </c>
      <c r="C42" s="48">
        <f t="shared" si="21"/>
        <v>452.30316282085573</v>
      </c>
      <c r="D42" s="47">
        <f t="shared" si="22"/>
        <v>6.1794147370053505</v>
      </c>
      <c r="E42" s="47">
        <f t="shared" si="23"/>
        <v>14.243901473181825</v>
      </c>
      <c r="F42" s="46"/>
      <c r="G42" s="49">
        <f t="shared" si="27"/>
        <v>0.8468716961876207</v>
      </c>
      <c r="H42" s="50">
        <f t="shared" si="37"/>
        <v>439.89361702127661</v>
      </c>
      <c r="I42" s="49">
        <f t="shared" si="28"/>
        <v>5.9312238210137664</v>
      </c>
      <c r="J42" s="49">
        <f t="shared" si="29"/>
        <v>13.540693877872339</v>
      </c>
      <c r="K42" s="46"/>
      <c r="L42" s="51">
        <f t="shared" si="30"/>
        <v>0.77533299647272758</v>
      </c>
      <c r="M42" s="52">
        <f t="shared" si="31"/>
        <v>408.33242597058842</v>
      </c>
      <c r="N42" s="53">
        <f t="shared" si="38"/>
        <v>5.3000000000000025</v>
      </c>
      <c r="O42" s="53">
        <f t="shared" si="32"/>
        <v>11.752226385000007</v>
      </c>
      <c r="P42" s="46"/>
      <c r="Q42" s="54">
        <f t="shared" si="33"/>
        <v>0.74724394107272696</v>
      </c>
      <c r="R42" s="55">
        <f t="shared" si="34"/>
        <v>395.94019564705877</v>
      </c>
      <c r="S42" s="54">
        <f t="shared" si="35"/>
        <v>5.0521553935294108</v>
      </c>
      <c r="T42" s="54">
        <f t="shared" si="39"/>
        <v>11.049999999999997</v>
      </c>
    </row>
    <row r="43" spans="1:20" x14ac:dyDescent="0.2">
      <c r="A43" s="391" t="s">
        <v>84</v>
      </c>
      <c r="B43" s="391"/>
      <c r="C43" s="391"/>
      <c r="D43" s="391"/>
      <c r="E43" s="391"/>
      <c r="F43" s="391"/>
      <c r="G43" s="391"/>
      <c r="H43" s="391"/>
      <c r="I43" s="391"/>
      <c r="J43" s="391"/>
      <c r="K43" s="391"/>
      <c r="L43" s="391"/>
      <c r="M43" s="391"/>
      <c r="N43" s="391"/>
      <c r="O43" s="391"/>
      <c r="P43" s="391"/>
      <c r="Q43" s="391"/>
      <c r="R43" s="391"/>
      <c r="S43" s="391"/>
      <c r="T43" s="391"/>
    </row>
    <row r="44" spans="1:20" x14ac:dyDescent="0.2">
      <c r="B44" s="3" t="s">
        <v>2</v>
      </c>
      <c r="C44" s="3" t="s">
        <v>68</v>
      </c>
      <c r="D44" s="3" t="s">
        <v>4</v>
      </c>
      <c r="E44" s="3" t="s">
        <v>69</v>
      </c>
    </row>
    <row r="45" spans="1:20" x14ac:dyDescent="0.2">
      <c r="A45" s="1" t="s">
        <v>70</v>
      </c>
      <c r="B45" s="4">
        <f>'Strip-Till'!B$31</f>
        <v>550.88269833333334</v>
      </c>
      <c r="C45" s="4">
        <f>'Strip-Till'!D$31</f>
        <v>597.23720000000003</v>
      </c>
      <c r="D45" s="4">
        <f>'Strip-Till'!F$31</f>
        <v>600.39402500000006</v>
      </c>
      <c r="E45" s="4">
        <f>'Strip-Till'!H$31</f>
        <v>272.83093880000001</v>
      </c>
    </row>
    <row r="46" spans="1:20" x14ac:dyDescent="0.2">
      <c r="A46" s="1" t="s">
        <v>71</v>
      </c>
      <c r="B46" s="5">
        <f>'Strip-Till'!B$7</f>
        <v>1200</v>
      </c>
      <c r="C46" s="5">
        <f>'Strip-Till'!D$7</f>
        <v>4700</v>
      </c>
      <c r="D46" s="5">
        <f>'Strip-Till'!F$7</f>
        <v>200</v>
      </c>
      <c r="E46" s="5">
        <f>'Strip-Till'!H$7</f>
        <v>60</v>
      </c>
    </row>
    <row r="47" spans="1:20" x14ac:dyDescent="0.2">
      <c r="A47" s="6"/>
      <c r="B47" s="392" t="s">
        <v>74</v>
      </c>
      <c r="C47" s="392"/>
      <c r="D47" s="392"/>
      <c r="E47" s="392"/>
      <c r="F47" s="29"/>
      <c r="G47" s="393" t="s">
        <v>75</v>
      </c>
      <c r="H47" s="393"/>
      <c r="I47" s="393"/>
      <c r="J47" s="393"/>
      <c r="K47" s="29"/>
      <c r="L47" s="394" t="s">
        <v>76</v>
      </c>
      <c r="M47" s="394"/>
      <c r="N47" s="394"/>
      <c r="O47" s="394"/>
      <c r="P47" s="29"/>
      <c r="Q47" s="395" t="s">
        <v>77</v>
      </c>
      <c r="R47" s="395"/>
      <c r="S47" s="395"/>
      <c r="T47" s="395"/>
    </row>
    <row r="48" spans="1:20" ht="25.5" x14ac:dyDescent="0.2">
      <c r="A48" s="7"/>
      <c r="B48" s="25" t="s">
        <v>50</v>
      </c>
      <c r="C48" s="35" t="s">
        <v>78</v>
      </c>
      <c r="D48" s="35" t="s">
        <v>47</v>
      </c>
      <c r="E48" s="35" t="s">
        <v>79</v>
      </c>
      <c r="F48" s="31"/>
      <c r="G48" s="34" t="s">
        <v>50</v>
      </c>
      <c r="H48" s="26" t="s">
        <v>78</v>
      </c>
      <c r="I48" s="34" t="s">
        <v>47</v>
      </c>
      <c r="J48" s="34" t="s">
        <v>79</v>
      </c>
      <c r="K48" s="31"/>
      <c r="L48" s="33" t="s">
        <v>50</v>
      </c>
      <c r="M48" s="33" t="s">
        <v>78</v>
      </c>
      <c r="N48" s="27" t="s">
        <v>47</v>
      </c>
      <c r="O48" s="33" t="s">
        <v>79</v>
      </c>
      <c r="P48" s="31"/>
      <c r="Q48" s="32" t="s">
        <v>50</v>
      </c>
      <c r="R48" s="32" t="s">
        <v>78</v>
      </c>
      <c r="S48" s="28" t="s">
        <v>47</v>
      </c>
      <c r="T48" s="32" t="s">
        <v>79</v>
      </c>
    </row>
    <row r="49" spans="2:20" x14ac:dyDescent="0.2">
      <c r="B49" s="18">
        <f t="shared" ref="B49:B54" si="40">B50-0.025</f>
        <v>0.5249999999999998</v>
      </c>
      <c r="C49" s="19">
        <f>(((B49*$B$46)-$B$45+$C$45)/$C$46)*2000</f>
        <v>287.81042624113468</v>
      </c>
      <c r="D49" s="18">
        <f>(((B49*$B$46)-$B$45+$D$45)/$D$46)</f>
        <v>3.3975566333333322</v>
      </c>
      <c r="E49" s="18">
        <f>(((B49*$B$46)-$B$45+$E$45)/$E$46)</f>
        <v>5.8658040077777738</v>
      </c>
      <c r="G49" s="20">
        <f>(((H49*$C$46/2000)-$C$45+$B$45)/$B$46)</f>
        <v>0.54866291527777777</v>
      </c>
      <c r="H49" s="21">
        <f t="shared" ref="H49:H54" si="41">H50-10</f>
        <v>299.89361702127661</v>
      </c>
      <c r="I49" s="20">
        <f>(((H49*$C$46/2000)-$C$45+$D$45)/$D$46)</f>
        <v>3.5395341250000003</v>
      </c>
      <c r="J49" s="20">
        <f>(((H49*$C$46/2000)-$C$45+$E$45)/$E$46)</f>
        <v>6.3390623133333328</v>
      </c>
      <c r="L49" s="17">
        <f>(((N49*$D$46)-$D$45+$B$45)/$B$46)</f>
        <v>0.49207389444444438</v>
      </c>
      <c r="M49" s="14">
        <f>(((N49*$D$46)-$D$45+$C$45)/$C$46)*2000</f>
        <v>270.99709574468085</v>
      </c>
      <c r="N49" s="13">
        <f t="shared" ref="N49:N54" si="42">N50-0.15</f>
        <v>3.2</v>
      </c>
      <c r="O49" s="13">
        <f>(((N49*$D$46)-$D$45+$E$45)/$E$46)</f>
        <v>5.2072818966666663</v>
      </c>
      <c r="Q49" s="36">
        <f>(((T49*$E$46)-$E$45+$B$45)/$B$46)</f>
        <v>0.53920979961111115</v>
      </c>
      <c r="R49" s="10">
        <f>(((T49*$E$46)-$E$45+$C$45)/$C$46)*2000</f>
        <v>295.06649412765961</v>
      </c>
      <c r="S49" s="9">
        <f>(((T49*$E$46)-$E$45+$D$45)/$D$46)</f>
        <v>3.4828154310000006</v>
      </c>
      <c r="T49" s="9">
        <f t="shared" ref="T49:T54" si="43">T50-0.35</f>
        <v>6.1500000000000021</v>
      </c>
    </row>
    <row r="50" spans="2:20" x14ac:dyDescent="0.2">
      <c r="B50" s="18">
        <f t="shared" si="40"/>
        <v>0.54999999999999982</v>
      </c>
      <c r="C50" s="19">
        <f t="shared" ref="C50:C63" si="44">(((B50*$B$46)-$B$45+$C$45)/$C$46)*2000</f>
        <v>300.57638368794312</v>
      </c>
      <c r="D50" s="18">
        <f t="shared" ref="D50:D63" si="45">(((B50*$B$46)-$B$45+$D$45)/$D$46)</f>
        <v>3.5475566333333326</v>
      </c>
      <c r="E50" s="18">
        <f t="shared" ref="E50:E63" si="46">(((B50*$B$46)-$B$45+$E$45)/$E$46)</f>
        <v>6.3658040077777738</v>
      </c>
      <c r="G50" s="20">
        <f t="shared" ref="G50:G63" si="47">(((H50*$C$46/2000)-$C$45+$B$45)/$B$46)</f>
        <v>0.56824624861111106</v>
      </c>
      <c r="H50" s="21">
        <f t="shared" si="41"/>
        <v>309.89361702127661</v>
      </c>
      <c r="I50" s="20">
        <f t="shared" ref="I50:I63" si="48">(((H50*$C$46/2000)-$C$45+$D$45)/$D$46)</f>
        <v>3.657034125</v>
      </c>
      <c r="J50" s="20">
        <f t="shared" ref="J50:J63" si="49">(((H50*$C$46/2000)-$C$45+$E$45)/$E$46)</f>
        <v>6.7307289799999994</v>
      </c>
      <c r="L50" s="17">
        <f t="shared" ref="L50:L63" si="50">(((N50*$D$46)-$D$45+$B$45)/$B$46)</f>
        <v>0.5170738944444444</v>
      </c>
      <c r="M50" s="14">
        <f t="shared" ref="M50:M63" si="51">(((N50*$D$46)-$D$45+$C$45)/$C$46)*2000</f>
        <v>283.76305319148935</v>
      </c>
      <c r="N50" s="13">
        <f t="shared" si="42"/>
        <v>3.35</v>
      </c>
      <c r="O50" s="13">
        <f t="shared" ref="O50:O63" si="52">(((N50*$D$46)-$D$45+$E$45)/$E$46)</f>
        <v>5.7072818966666663</v>
      </c>
      <c r="Q50" s="36">
        <f t="shared" ref="Q50:Q63" si="53">(((T50*$E$46)-$E$45+$B$45)/$B$46)</f>
        <v>0.55670979961111122</v>
      </c>
      <c r="R50" s="10">
        <f t="shared" ref="R50:R63" si="54">(((T50*$E$46)-$E$45+$C$45)/$C$46)*2000</f>
        <v>304.00266434042561</v>
      </c>
      <c r="S50" s="9">
        <f t="shared" ref="S50:S63" si="55">(((T50*$E$46)-$E$45+$D$45)/$D$46)</f>
        <v>3.587815431000001</v>
      </c>
      <c r="T50" s="9">
        <f t="shared" si="43"/>
        <v>6.5000000000000018</v>
      </c>
    </row>
    <row r="51" spans="2:20" x14ac:dyDescent="0.2">
      <c r="B51" s="18">
        <f t="shared" si="40"/>
        <v>0.57499999999999984</v>
      </c>
      <c r="C51" s="19">
        <f t="shared" si="44"/>
        <v>313.34234113475168</v>
      </c>
      <c r="D51" s="18">
        <f t="shared" si="45"/>
        <v>3.6975566333333325</v>
      </c>
      <c r="E51" s="18">
        <f t="shared" si="46"/>
        <v>6.8658040077777738</v>
      </c>
      <c r="G51" s="20">
        <f t="shared" si="47"/>
        <v>0.58782958194444446</v>
      </c>
      <c r="H51" s="21">
        <f t="shared" si="41"/>
        <v>319.89361702127661</v>
      </c>
      <c r="I51" s="20">
        <f t="shared" si="48"/>
        <v>3.7745341250000002</v>
      </c>
      <c r="J51" s="20">
        <f t="shared" si="49"/>
        <v>7.122395646666666</v>
      </c>
      <c r="L51" s="17">
        <f t="shared" si="50"/>
        <v>0.54207389444444443</v>
      </c>
      <c r="M51" s="14">
        <f t="shared" si="51"/>
        <v>296.52901063829785</v>
      </c>
      <c r="N51" s="13">
        <f t="shared" si="42"/>
        <v>3.5</v>
      </c>
      <c r="O51" s="13">
        <f t="shared" si="52"/>
        <v>6.2072818966666663</v>
      </c>
      <c r="Q51" s="36">
        <f t="shared" si="53"/>
        <v>0.57420979961111118</v>
      </c>
      <c r="R51" s="10">
        <f t="shared" si="54"/>
        <v>312.93883455319155</v>
      </c>
      <c r="S51" s="9">
        <f t="shared" si="55"/>
        <v>3.692815431000001</v>
      </c>
      <c r="T51" s="9">
        <f t="shared" si="43"/>
        <v>6.8500000000000014</v>
      </c>
    </row>
    <row r="52" spans="2:20" x14ac:dyDescent="0.2">
      <c r="B52" s="18">
        <f t="shared" si="40"/>
        <v>0.59999999999999987</v>
      </c>
      <c r="C52" s="19">
        <f t="shared" si="44"/>
        <v>326.10829858156029</v>
      </c>
      <c r="D52" s="18">
        <f t="shared" si="45"/>
        <v>3.8475566333333329</v>
      </c>
      <c r="E52" s="18">
        <f t="shared" si="46"/>
        <v>7.3658040077777764</v>
      </c>
      <c r="G52" s="20">
        <f t="shared" si="47"/>
        <v>0.60741291527777774</v>
      </c>
      <c r="H52" s="21">
        <f t="shared" si="41"/>
        <v>329.89361702127661</v>
      </c>
      <c r="I52" s="20">
        <f t="shared" si="48"/>
        <v>3.8920341250000003</v>
      </c>
      <c r="J52" s="20">
        <f t="shared" si="49"/>
        <v>7.5140623133333326</v>
      </c>
      <c r="L52" s="17">
        <f t="shared" si="50"/>
        <v>0.56707389444444445</v>
      </c>
      <c r="M52" s="14">
        <f t="shared" si="51"/>
        <v>309.29496808510635</v>
      </c>
      <c r="N52" s="13">
        <f t="shared" si="42"/>
        <v>3.65</v>
      </c>
      <c r="O52" s="13">
        <f t="shared" si="52"/>
        <v>6.7072818966666663</v>
      </c>
      <c r="Q52" s="36">
        <f t="shared" si="53"/>
        <v>0.59170979961111114</v>
      </c>
      <c r="R52" s="10">
        <f t="shared" si="54"/>
        <v>321.87500476595744</v>
      </c>
      <c r="S52" s="9">
        <f t="shared" si="55"/>
        <v>3.7978154310000001</v>
      </c>
      <c r="T52" s="9">
        <f t="shared" si="43"/>
        <v>7.2000000000000011</v>
      </c>
    </row>
    <row r="53" spans="2:20" x14ac:dyDescent="0.2">
      <c r="B53" s="18">
        <f t="shared" si="40"/>
        <v>0.62499999999999989</v>
      </c>
      <c r="C53" s="19">
        <f t="shared" si="44"/>
        <v>338.87425602836873</v>
      </c>
      <c r="D53" s="18">
        <f t="shared" si="45"/>
        <v>3.9975566333333332</v>
      </c>
      <c r="E53" s="18">
        <f t="shared" si="46"/>
        <v>7.8658040077777764</v>
      </c>
      <c r="G53" s="20">
        <f t="shared" si="47"/>
        <v>0.62699624861111114</v>
      </c>
      <c r="H53" s="21">
        <f t="shared" si="41"/>
        <v>339.89361702127661</v>
      </c>
      <c r="I53" s="20">
        <f t="shared" si="48"/>
        <v>4.0095341250000001</v>
      </c>
      <c r="J53" s="20">
        <f t="shared" si="49"/>
        <v>7.9057289800000001</v>
      </c>
      <c r="L53" s="17">
        <f t="shared" si="50"/>
        <v>0.59207389444444436</v>
      </c>
      <c r="M53" s="14">
        <f t="shared" si="51"/>
        <v>322.0609255319149</v>
      </c>
      <c r="N53" s="13">
        <f t="shared" si="42"/>
        <v>3.8</v>
      </c>
      <c r="O53" s="13">
        <f t="shared" si="52"/>
        <v>7.2072818966666663</v>
      </c>
      <c r="Q53" s="36">
        <f t="shared" si="53"/>
        <v>0.6092097996111111</v>
      </c>
      <c r="R53" s="10">
        <f t="shared" si="54"/>
        <v>330.81117497872344</v>
      </c>
      <c r="S53" s="9">
        <f t="shared" si="55"/>
        <v>3.9028154310000001</v>
      </c>
      <c r="T53" s="9">
        <f t="shared" si="43"/>
        <v>7.5500000000000007</v>
      </c>
    </row>
    <row r="54" spans="2:20" x14ac:dyDescent="0.2">
      <c r="B54" s="18">
        <f t="shared" si="40"/>
        <v>0.64999999999999991</v>
      </c>
      <c r="C54" s="19">
        <f t="shared" si="44"/>
        <v>351.64021347517729</v>
      </c>
      <c r="D54" s="18">
        <f t="shared" si="45"/>
        <v>4.1475566333333331</v>
      </c>
      <c r="E54" s="18">
        <f t="shared" si="46"/>
        <v>8.3658040077777756</v>
      </c>
      <c r="G54" s="20">
        <f t="shared" si="47"/>
        <v>0.64657958194444443</v>
      </c>
      <c r="H54" s="21">
        <f t="shared" si="41"/>
        <v>349.89361702127661</v>
      </c>
      <c r="I54" s="20">
        <f t="shared" si="48"/>
        <v>4.1270341249999998</v>
      </c>
      <c r="J54" s="20">
        <f t="shared" si="49"/>
        <v>8.2973956466666667</v>
      </c>
      <c r="L54" s="17">
        <f t="shared" si="50"/>
        <v>0.61707389444444438</v>
      </c>
      <c r="M54" s="14">
        <f t="shared" si="51"/>
        <v>334.82688297872335</v>
      </c>
      <c r="N54" s="13">
        <f t="shared" si="42"/>
        <v>3.9499999999999997</v>
      </c>
      <c r="O54" s="13">
        <f t="shared" si="52"/>
        <v>7.7072818966666663</v>
      </c>
      <c r="Q54" s="36">
        <f t="shared" si="53"/>
        <v>0.62670979961111106</v>
      </c>
      <c r="R54" s="10">
        <f t="shared" si="54"/>
        <v>339.74734519148933</v>
      </c>
      <c r="S54" s="9">
        <f t="shared" si="55"/>
        <v>4.007815431</v>
      </c>
      <c r="T54" s="9">
        <f t="shared" si="43"/>
        <v>7.9</v>
      </c>
    </row>
    <row r="55" spans="2:20" ht="13.5" thickBot="1" x14ac:dyDescent="0.25">
      <c r="B55" s="18">
        <f>B56-0.025</f>
        <v>0.67499999999999993</v>
      </c>
      <c r="C55" s="19">
        <f t="shared" si="44"/>
        <v>364.40617092198579</v>
      </c>
      <c r="D55" s="18">
        <f t="shared" si="45"/>
        <v>4.2975566333333326</v>
      </c>
      <c r="E55" s="18">
        <f t="shared" si="46"/>
        <v>8.8658040077777756</v>
      </c>
      <c r="G55" s="20">
        <f t="shared" si="47"/>
        <v>0.66616291527777771</v>
      </c>
      <c r="H55" s="21">
        <f>H56-10</f>
        <v>359.89361702127661</v>
      </c>
      <c r="I55" s="20">
        <f t="shared" si="48"/>
        <v>4.2445341250000004</v>
      </c>
      <c r="J55" s="20">
        <f t="shared" si="49"/>
        <v>8.6890623133333325</v>
      </c>
      <c r="L55" s="17">
        <f t="shared" si="50"/>
        <v>0.64207389444444429</v>
      </c>
      <c r="M55" s="14">
        <f t="shared" si="51"/>
        <v>347.59284042553185</v>
      </c>
      <c r="N55" s="13">
        <f>N56-0.15</f>
        <v>4.0999999999999996</v>
      </c>
      <c r="O55" s="13">
        <f t="shared" si="52"/>
        <v>8.2072818966666645</v>
      </c>
      <c r="Q55" s="36">
        <f t="shared" si="53"/>
        <v>0.64420979961111113</v>
      </c>
      <c r="R55" s="10">
        <f t="shared" si="54"/>
        <v>348.68351540425533</v>
      </c>
      <c r="S55" s="9">
        <f t="shared" si="55"/>
        <v>4.1128154310000005</v>
      </c>
      <c r="T55" s="9">
        <f>T56-0.35</f>
        <v>8.25</v>
      </c>
    </row>
    <row r="56" spans="2:20" ht="13.5" thickBot="1" x14ac:dyDescent="0.25">
      <c r="B56" s="24">
        <f>Conventional!$B$8</f>
        <v>0.7</v>
      </c>
      <c r="C56" s="19">
        <f t="shared" si="44"/>
        <v>377.17212836879435</v>
      </c>
      <c r="D56" s="18">
        <f t="shared" si="45"/>
        <v>4.4475566333333338</v>
      </c>
      <c r="E56" s="18">
        <f t="shared" si="46"/>
        <v>9.3658040077777773</v>
      </c>
      <c r="G56" s="20">
        <f t="shared" si="47"/>
        <v>0.68574624861111111</v>
      </c>
      <c r="H56" s="22">
        <f>Conventional!$D$8</f>
        <v>369.89361702127661</v>
      </c>
      <c r="I56" s="20">
        <f t="shared" si="48"/>
        <v>4.3620341250000001</v>
      </c>
      <c r="J56" s="20">
        <f t="shared" si="49"/>
        <v>9.08072898</v>
      </c>
      <c r="L56" s="17">
        <f t="shared" si="50"/>
        <v>0.66707389444444443</v>
      </c>
      <c r="M56" s="14">
        <f t="shared" si="51"/>
        <v>360.3587978723404</v>
      </c>
      <c r="N56" s="15">
        <f>Conventional!$F$8</f>
        <v>4.25</v>
      </c>
      <c r="O56" s="13">
        <f t="shared" si="52"/>
        <v>8.7072818966666663</v>
      </c>
      <c r="Q56" s="36">
        <f t="shared" si="53"/>
        <v>0.66170979961111109</v>
      </c>
      <c r="R56" s="10">
        <f t="shared" si="54"/>
        <v>357.61968561702128</v>
      </c>
      <c r="S56" s="9">
        <f t="shared" si="55"/>
        <v>4.217815431</v>
      </c>
      <c r="T56" s="11">
        <f>Conventional!$H$8</f>
        <v>8.6</v>
      </c>
    </row>
    <row r="57" spans="2:20" x14ac:dyDescent="0.2">
      <c r="B57" s="18">
        <f>B56+0.025</f>
        <v>0.72499999999999998</v>
      </c>
      <c r="C57" s="19">
        <f t="shared" si="44"/>
        <v>389.93808581560285</v>
      </c>
      <c r="D57" s="18">
        <f t="shared" si="45"/>
        <v>4.5975566333333333</v>
      </c>
      <c r="E57" s="18">
        <f t="shared" si="46"/>
        <v>9.8658040077777773</v>
      </c>
      <c r="G57" s="20">
        <f t="shared" si="47"/>
        <v>0.70532958194444439</v>
      </c>
      <c r="H57" s="21">
        <f>H56+10</f>
        <v>379.89361702127661</v>
      </c>
      <c r="I57" s="20">
        <f t="shared" si="48"/>
        <v>4.4795341249999998</v>
      </c>
      <c r="J57" s="20">
        <f t="shared" si="49"/>
        <v>9.4723956466666657</v>
      </c>
      <c r="L57" s="17">
        <f t="shared" si="50"/>
        <v>0.69207389444444445</v>
      </c>
      <c r="M57" s="14">
        <f t="shared" si="51"/>
        <v>373.12475531914896</v>
      </c>
      <c r="N57" s="13">
        <f>N56+0.15</f>
        <v>4.4000000000000004</v>
      </c>
      <c r="O57" s="13">
        <f t="shared" si="52"/>
        <v>9.2072818966666681</v>
      </c>
      <c r="Q57" s="36">
        <f t="shared" si="53"/>
        <v>0.67920979961111105</v>
      </c>
      <c r="R57" s="10">
        <f t="shared" si="54"/>
        <v>366.55585582978722</v>
      </c>
      <c r="S57" s="9">
        <f t="shared" si="55"/>
        <v>4.3228154310000004</v>
      </c>
      <c r="T57" s="9">
        <f>T56+0.35</f>
        <v>8.9499999999999993</v>
      </c>
    </row>
    <row r="58" spans="2:20" x14ac:dyDescent="0.2">
      <c r="B58" s="18">
        <f t="shared" ref="B58:B63" si="56">B57+0.025</f>
        <v>0.75</v>
      </c>
      <c r="C58" s="19">
        <f t="shared" si="44"/>
        <v>402.7040432624114</v>
      </c>
      <c r="D58" s="18">
        <f t="shared" si="45"/>
        <v>4.7475566333333337</v>
      </c>
      <c r="E58" s="18">
        <f t="shared" si="46"/>
        <v>10.365804007777777</v>
      </c>
      <c r="G58" s="20">
        <f t="shared" si="47"/>
        <v>0.72491291527777779</v>
      </c>
      <c r="H58" s="21">
        <f t="shared" ref="H58:H63" si="57">H57+10</f>
        <v>389.89361702127661</v>
      </c>
      <c r="I58" s="20">
        <f t="shared" si="48"/>
        <v>4.5970341250000004</v>
      </c>
      <c r="J58" s="20">
        <f t="shared" si="49"/>
        <v>9.8640623133333332</v>
      </c>
      <c r="L58" s="17">
        <f t="shared" si="50"/>
        <v>0.71707389444444447</v>
      </c>
      <c r="M58" s="14">
        <f t="shared" si="51"/>
        <v>385.89071276595752</v>
      </c>
      <c r="N58" s="13">
        <f t="shared" ref="N58:N63" si="58">N57+0.15</f>
        <v>4.5500000000000007</v>
      </c>
      <c r="O58" s="13">
        <f t="shared" si="52"/>
        <v>9.7072818966666681</v>
      </c>
      <c r="Q58" s="36">
        <f t="shared" si="53"/>
        <v>0.69670979961111101</v>
      </c>
      <c r="R58" s="10">
        <f t="shared" si="54"/>
        <v>375.49202604255316</v>
      </c>
      <c r="S58" s="9">
        <f t="shared" si="55"/>
        <v>4.427815431</v>
      </c>
      <c r="T58" s="9">
        <f t="shared" ref="T58:T63" si="59">T57+0.35</f>
        <v>9.2999999999999989</v>
      </c>
    </row>
    <row r="59" spans="2:20" x14ac:dyDescent="0.2">
      <c r="B59" s="18">
        <f t="shared" si="56"/>
        <v>0.77500000000000002</v>
      </c>
      <c r="C59" s="19">
        <f t="shared" si="44"/>
        <v>415.47000070921985</v>
      </c>
      <c r="D59" s="18">
        <f t="shared" si="45"/>
        <v>4.897556633333334</v>
      </c>
      <c r="E59" s="18">
        <f t="shared" si="46"/>
        <v>10.865804007777777</v>
      </c>
      <c r="G59" s="20">
        <f t="shared" si="47"/>
        <v>0.74449624861111108</v>
      </c>
      <c r="H59" s="21">
        <f t="shared" si="57"/>
        <v>399.89361702127661</v>
      </c>
      <c r="I59" s="20">
        <f t="shared" si="48"/>
        <v>4.7145341250000001</v>
      </c>
      <c r="J59" s="20">
        <f t="shared" si="49"/>
        <v>10.255728979999999</v>
      </c>
      <c r="L59" s="17">
        <f t="shared" si="50"/>
        <v>0.7420738944444446</v>
      </c>
      <c r="M59" s="14">
        <f t="shared" si="51"/>
        <v>398.65667021276602</v>
      </c>
      <c r="N59" s="13">
        <f t="shared" si="58"/>
        <v>4.7000000000000011</v>
      </c>
      <c r="O59" s="13">
        <f t="shared" si="52"/>
        <v>10.20728189666667</v>
      </c>
      <c r="Q59" s="36">
        <f t="shared" si="53"/>
        <v>0.71420979961111097</v>
      </c>
      <c r="R59" s="10">
        <f t="shared" si="54"/>
        <v>384.42819625531911</v>
      </c>
      <c r="S59" s="9">
        <f t="shared" si="55"/>
        <v>4.5328154309999995</v>
      </c>
      <c r="T59" s="9">
        <f t="shared" si="59"/>
        <v>9.6499999999999986</v>
      </c>
    </row>
    <row r="60" spans="2:20" x14ac:dyDescent="0.2">
      <c r="B60" s="18">
        <f t="shared" si="56"/>
        <v>0.8</v>
      </c>
      <c r="C60" s="19">
        <f t="shared" si="44"/>
        <v>428.2359581560284</v>
      </c>
      <c r="D60" s="18">
        <f t="shared" si="45"/>
        <v>5.0475566333333335</v>
      </c>
      <c r="E60" s="18">
        <f t="shared" si="46"/>
        <v>11.365804007777777</v>
      </c>
      <c r="G60" s="20">
        <f t="shared" si="47"/>
        <v>0.76407958194444447</v>
      </c>
      <c r="H60" s="21">
        <f t="shared" si="57"/>
        <v>409.89361702127661</v>
      </c>
      <c r="I60" s="20">
        <f t="shared" si="48"/>
        <v>4.8320341249999998</v>
      </c>
      <c r="J60" s="20">
        <f t="shared" si="49"/>
        <v>10.647395646666666</v>
      </c>
      <c r="L60" s="17">
        <f t="shared" si="50"/>
        <v>0.76707389444444463</v>
      </c>
      <c r="M60" s="14">
        <f t="shared" si="51"/>
        <v>411.42262765957457</v>
      </c>
      <c r="N60" s="13">
        <f t="shared" si="58"/>
        <v>4.8500000000000014</v>
      </c>
      <c r="O60" s="13">
        <f t="shared" si="52"/>
        <v>10.70728189666667</v>
      </c>
      <c r="Q60" s="36">
        <f t="shared" si="53"/>
        <v>0.73170979961111104</v>
      </c>
      <c r="R60" s="10">
        <f t="shared" si="54"/>
        <v>393.36436646808511</v>
      </c>
      <c r="S60" s="9">
        <f t="shared" si="55"/>
        <v>4.6378154309999999</v>
      </c>
      <c r="T60" s="9">
        <f t="shared" si="59"/>
        <v>9.9999999999999982</v>
      </c>
    </row>
    <row r="61" spans="2:20" x14ac:dyDescent="0.2">
      <c r="B61" s="18">
        <f t="shared" si="56"/>
        <v>0.82500000000000007</v>
      </c>
      <c r="C61" s="19">
        <f t="shared" si="44"/>
        <v>441.0019156028369</v>
      </c>
      <c r="D61" s="18">
        <f t="shared" si="45"/>
        <v>5.1975566333333338</v>
      </c>
      <c r="E61" s="18">
        <f t="shared" si="46"/>
        <v>11.865804007777779</v>
      </c>
      <c r="G61" s="20">
        <f t="shared" si="47"/>
        <v>0.78366291527777776</v>
      </c>
      <c r="H61" s="21">
        <f t="shared" si="57"/>
        <v>419.89361702127661</v>
      </c>
      <c r="I61" s="20">
        <f t="shared" si="48"/>
        <v>4.9495341250000005</v>
      </c>
      <c r="J61" s="20">
        <f t="shared" si="49"/>
        <v>11.039062313333334</v>
      </c>
      <c r="L61" s="17">
        <f t="shared" si="50"/>
        <v>0.79207389444444465</v>
      </c>
      <c r="M61" s="14">
        <f t="shared" si="51"/>
        <v>424.18858510638313</v>
      </c>
      <c r="N61" s="13">
        <f t="shared" si="58"/>
        <v>5.0000000000000018</v>
      </c>
      <c r="O61" s="13">
        <f t="shared" si="52"/>
        <v>11.207281896666672</v>
      </c>
      <c r="Q61" s="36">
        <f t="shared" si="53"/>
        <v>0.749209799611111</v>
      </c>
      <c r="R61" s="10">
        <f t="shared" si="54"/>
        <v>402.30053668085105</v>
      </c>
      <c r="S61" s="9">
        <f t="shared" si="55"/>
        <v>4.7428154309999995</v>
      </c>
      <c r="T61" s="9">
        <f t="shared" si="59"/>
        <v>10.349999999999998</v>
      </c>
    </row>
    <row r="62" spans="2:20" x14ac:dyDescent="0.2">
      <c r="B62" s="18">
        <f t="shared" si="56"/>
        <v>0.85000000000000009</v>
      </c>
      <c r="C62" s="19">
        <f t="shared" si="44"/>
        <v>453.7678730496454</v>
      </c>
      <c r="D62" s="18">
        <f t="shared" si="45"/>
        <v>5.3475566333333333</v>
      </c>
      <c r="E62" s="18">
        <f t="shared" si="46"/>
        <v>12.365804007777779</v>
      </c>
      <c r="G62" s="20">
        <f t="shared" si="47"/>
        <v>0.80324624861111105</v>
      </c>
      <c r="H62" s="21">
        <f t="shared" si="57"/>
        <v>429.89361702127661</v>
      </c>
      <c r="I62" s="20">
        <f t="shared" si="48"/>
        <v>5.0670341250000002</v>
      </c>
      <c r="J62" s="20">
        <f t="shared" si="49"/>
        <v>11.43072898</v>
      </c>
      <c r="L62" s="17">
        <f t="shared" si="50"/>
        <v>0.81707389444444478</v>
      </c>
      <c r="M62" s="14">
        <f t="shared" si="51"/>
        <v>436.95454255319169</v>
      </c>
      <c r="N62" s="13">
        <f t="shared" si="58"/>
        <v>5.1500000000000021</v>
      </c>
      <c r="O62" s="13">
        <f t="shared" si="52"/>
        <v>11.707281896666673</v>
      </c>
      <c r="Q62" s="36">
        <f t="shared" si="53"/>
        <v>0.76670979961111096</v>
      </c>
      <c r="R62" s="10">
        <f t="shared" si="54"/>
        <v>411.23670689361694</v>
      </c>
      <c r="S62" s="9">
        <f t="shared" si="55"/>
        <v>4.8478154309999999</v>
      </c>
      <c r="T62" s="9">
        <f t="shared" si="59"/>
        <v>10.699999999999998</v>
      </c>
    </row>
    <row r="63" spans="2:20" x14ac:dyDescent="0.2">
      <c r="B63" s="18">
        <f t="shared" si="56"/>
        <v>0.87500000000000011</v>
      </c>
      <c r="C63" s="19">
        <f t="shared" si="44"/>
        <v>466.53383049645402</v>
      </c>
      <c r="D63" s="18">
        <f t="shared" si="45"/>
        <v>5.4975566333333346</v>
      </c>
      <c r="E63" s="18">
        <f t="shared" si="46"/>
        <v>12.865804007777781</v>
      </c>
      <c r="G63" s="20">
        <f t="shared" si="47"/>
        <v>0.82282958194444444</v>
      </c>
      <c r="H63" s="21">
        <f t="shared" si="57"/>
        <v>439.89361702127661</v>
      </c>
      <c r="I63" s="20">
        <f t="shared" si="48"/>
        <v>5.1845341249999999</v>
      </c>
      <c r="J63" s="20">
        <f t="shared" si="49"/>
        <v>11.822395646666667</v>
      </c>
      <c r="L63" s="17">
        <f t="shared" si="50"/>
        <v>0.8420738944444448</v>
      </c>
      <c r="M63" s="14">
        <f t="shared" si="51"/>
        <v>449.72050000000019</v>
      </c>
      <c r="N63" s="13">
        <f t="shared" si="58"/>
        <v>5.3000000000000025</v>
      </c>
      <c r="O63" s="13">
        <f t="shared" si="52"/>
        <v>12.207281896666673</v>
      </c>
      <c r="Q63" s="36">
        <f t="shared" si="53"/>
        <v>0.78420979961111092</v>
      </c>
      <c r="R63" s="10">
        <f t="shared" si="54"/>
        <v>420.17287710638288</v>
      </c>
      <c r="S63" s="9">
        <f t="shared" si="55"/>
        <v>4.9528154309999994</v>
      </c>
      <c r="T63" s="9">
        <f t="shared" si="59"/>
        <v>11.049999999999997</v>
      </c>
    </row>
    <row r="64" spans="2:20" x14ac:dyDescent="0.2">
      <c r="B64" s="18"/>
      <c r="C64" s="19"/>
      <c r="D64" s="18"/>
      <c r="E64" s="18"/>
      <c r="G64" s="23"/>
      <c r="H64" s="23"/>
      <c r="I64" s="23"/>
      <c r="J64" s="23"/>
      <c r="L64" s="16"/>
      <c r="M64" s="16"/>
      <c r="N64" s="16"/>
      <c r="O64" s="16"/>
      <c r="Q64" s="12"/>
      <c r="R64" s="12"/>
      <c r="S64" s="12"/>
      <c r="T64" s="12"/>
    </row>
    <row r="65" spans="1:20" x14ac:dyDescent="0.2">
      <c r="B65" s="56" t="s">
        <v>2</v>
      </c>
      <c r="C65" s="56" t="s">
        <v>68</v>
      </c>
      <c r="D65" s="56" t="s">
        <v>4</v>
      </c>
      <c r="E65" s="56" t="s">
        <v>69</v>
      </c>
      <c r="G65" s="23"/>
      <c r="H65" s="23"/>
      <c r="I65" s="23"/>
      <c r="J65" s="23"/>
      <c r="L65" s="16"/>
      <c r="M65" s="16"/>
      <c r="N65" s="16"/>
      <c r="O65" s="16"/>
      <c r="Q65" s="12"/>
      <c r="R65" s="12"/>
      <c r="S65" s="12"/>
      <c r="T65" s="12"/>
    </row>
    <row r="66" spans="1:20" x14ac:dyDescent="0.2">
      <c r="A66" s="1" t="s">
        <v>72</v>
      </c>
      <c r="B66" s="57">
        <f>'Strip-Till'!L$31</f>
        <v>444.85231845833334</v>
      </c>
      <c r="C66" s="57">
        <f>'Strip-Till'!N$31</f>
        <v>528.38782500000002</v>
      </c>
      <c r="D66" s="57">
        <f>'Strip-Till'!P$31</f>
        <v>297.88728235000002</v>
      </c>
      <c r="E66" s="57">
        <f>'Strip-Till'!R$31</f>
        <v>208.26554402500003</v>
      </c>
      <c r="G66" s="23"/>
      <c r="H66" s="23"/>
      <c r="I66" s="23"/>
      <c r="J66" s="23"/>
      <c r="L66" s="16"/>
      <c r="M66" s="16"/>
      <c r="N66" s="16"/>
      <c r="O66" s="16"/>
      <c r="Q66" s="12"/>
      <c r="R66" s="12"/>
      <c r="S66" s="12"/>
      <c r="T66" s="12"/>
    </row>
    <row r="67" spans="1:20" x14ac:dyDescent="0.2">
      <c r="A67" s="1" t="s">
        <v>73</v>
      </c>
      <c r="B67" s="58">
        <f>'Strip-Till'!L$7</f>
        <v>750</v>
      </c>
      <c r="C67" s="58">
        <f>'Strip-Till'!N$7</f>
        <v>3400</v>
      </c>
      <c r="D67" s="58">
        <f>'Strip-Till'!P$7</f>
        <v>85</v>
      </c>
      <c r="E67" s="58">
        <f>'Strip-Till'!R$7</f>
        <v>30</v>
      </c>
      <c r="G67" s="23"/>
      <c r="H67" s="23"/>
      <c r="I67" s="23"/>
      <c r="J67" s="23"/>
      <c r="L67" s="16"/>
      <c r="M67" s="16"/>
      <c r="N67" s="16"/>
      <c r="O67" s="16"/>
      <c r="Q67" s="12"/>
      <c r="R67" s="12"/>
      <c r="S67" s="12"/>
      <c r="T67" s="12"/>
    </row>
    <row r="68" spans="1:20" x14ac:dyDescent="0.2">
      <c r="A68" s="6"/>
      <c r="B68" s="392" t="s">
        <v>74</v>
      </c>
      <c r="C68" s="392"/>
      <c r="D68" s="392"/>
      <c r="E68" s="392"/>
      <c r="F68" s="29"/>
      <c r="G68" s="393" t="s">
        <v>75</v>
      </c>
      <c r="H68" s="393"/>
      <c r="I68" s="393"/>
      <c r="J68" s="393"/>
      <c r="K68" s="29"/>
      <c r="L68" s="394" t="s">
        <v>76</v>
      </c>
      <c r="M68" s="394"/>
      <c r="N68" s="394"/>
      <c r="O68" s="394"/>
      <c r="P68" s="29"/>
      <c r="Q68" s="395" t="s">
        <v>77</v>
      </c>
      <c r="R68" s="395"/>
      <c r="S68" s="395"/>
      <c r="T68" s="395"/>
    </row>
    <row r="69" spans="1:20" ht="38.25" x14ac:dyDescent="0.2">
      <c r="A69" s="8"/>
      <c r="B69" s="25" t="s">
        <v>83</v>
      </c>
      <c r="C69" s="25" t="s">
        <v>80</v>
      </c>
      <c r="D69" s="25" t="s">
        <v>81</v>
      </c>
      <c r="E69" s="25" t="s">
        <v>82</v>
      </c>
      <c r="F69" s="30"/>
      <c r="G69" s="26" t="s">
        <v>83</v>
      </c>
      <c r="H69" s="26" t="s">
        <v>80</v>
      </c>
      <c r="I69" s="26" t="s">
        <v>81</v>
      </c>
      <c r="J69" s="26" t="s">
        <v>82</v>
      </c>
      <c r="K69" s="30"/>
      <c r="L69" s="27" t="s">
        <v>83</v>
      </c>
      <c r="M69" s="27" t="s">
        <v>80</v>
      </c>
      <c r="N69" s="27" t="s">
        <v>81</v>
      </c>
      <c r="O69" s="27" t="s">
        <v>82</v>
      </c>
      <c r="P69" s="30"/>
      <c r="Q69" s="28" t="s">
        <v>83</v>
      </c>
      <c r="R69" s="28" t="s">
        <v>80</v>
      </c>
      <c r="S69" s="28" t="s">
        <v>81</v>
      </c>
      <c r="T69" s="28" t="s">
        <v>82</v>
      </c>
    </row>
    <row r="70" spans="1:20" x14ac:dyDescent="0.2">
      <c r="B70" s="18">
        <f t="shared" ref="B70:B75" si="60">B71-0.025</f>
        <v>0.5249999999999998</v>
      </c>
      <c r="C70" s="19">
        <f>(((B70*$B$67)-$B$66+$C$66)/$C$67)*2000</f>
        <v>280.75618031862734</v>
      </c>
      <c r="D70" s="18">
        <f>(((B70*$B$67)-$B$66+$D$66)/$D$67)</f>
        <v>2.9033525163725473</v>
      </c>
      <c r="E70" s="18">
        <f>(((B70*$B$67)-$B$66+$E$66)/$E$67)</f>
        <v>5.2387741855555507</v>
      </c>
      <c r="G70" s="20">
        <f>(((H70*$C$67/2000)-$C$66+$B$66)/$B$67)</f>
        <v>0.56837818985933808</v>
      </c>
      <c r="H70" s="21">
        <f t="shared" ref="H70:H75" si="61">H71-10</f>
        <v>299.89361702127661</v>
      </c>
      <c r="I70" s="20">
        <f>(((H70*$C$67/2000)-$C$66+$D$66)/$D$67)</f>
        <v>3.2861012504255322</v>
      </c>
      <c r="J70" s="20">
        <f>(((H70*$C$67/2000)-$C$66+$E$66)/$E$67)</f>
        <v>6.3232289320390072</v>
      </c>
      <c r="L70" s="17">
        <f>(((N70*$D$67)-$D$66+$B$66)/$B$67)</f>
        <v>0.55862004814444444</v>
      </c>
      <c r="M70" s="14">
        <f>(((N70*$D$67)-$D$66+$C$66)/$C$67)*2000</f>
        <v>295.58855449999999</v>
      </c>
      <c r="N70" s="13">
        <f t="shared" ref="N70:N75" si="62">N71-0.15</f>
        <v>3.2</v>
      </c>
      <c r="O70" s="13">
        <f>(((N70*$D$67)-$D$66+$E$66)/$E$67)</f>
        <v>6.0792753891666669</v>
      </c>
      <c r="Q70" s="9">
        <f>(((T70*$E$67)-$E$66+$B$66)/$B$67)</f>
        <v>0.5614490325777779</v>
      </c>
      <c r="R70" s="10">
        <f>(((T70*$E$67)-$E$66+$C$66)/$C$67)*2000</f>
        <v>296.83663586764709</v>
      </c>
      <c r="S70" s="9">
        <f>(((T70*$E$67)-$E$66+$D$66)/$D$67)</f>
        <v>3.2249616273529416</v>
      </c>
      <c r="T70" s="9">
        <f t="shared" ref="T70:T75" si="63">T71-0.35</f>
        <v>6.1500000000000021</v>
      </c>
    </row>
    <row r="71" spans="1:20" x14ac:dyDescent="0.2">
      <c r="B71" s="18">
        <f t="shared" si="60"/>
        <v>0.54999999999999982</v>
      </c>
      <c r="C71" s="19">
        <f t="shared" ref="C71:C84" si="64">(((B71*$B$67)-$B$66+$C$66)/$C$67)*2000</f>
        <v>291.78559208333326</v>
      </c>
      <c r="D71" s="18">
        <f t="shared" ref="D71:D84" si="65">(((B71*$B$67)-$B$66+$D$66)/$D$67)</f>
        <v>3.1239407516666655</v>
      </c>
      <c r="E71" s="18">
        <f t="shared" ref="E71:E84" si="66">(((B71*$B$67)-$B$66+$E$66)/$E$67)</f>
        <v>5.8637741855555525</v>
      </c>
      <c r="G71" s="20">
        <f t="shared" ref="G71:G84" si="67">(((H71*$C$67/2000)-$C$66+$B$66)/$B$67)</f>
        <v>0.59104485652600469</v>
      </c>
      <c r="H71" s="21">
        <f t="shared" si="61"/>
        <v>309.89361702127661</v>
      </c>
      <c r="I71" s="20">
        <f t="shared" ref="I71:I84" si="68">(((H71*$C$67/2000)-$C$66+$D$66)/$D$67)</f>
        <v>3.486101250425532</v>
      </c>
      <c r="J71" s="20">
        <f t="shared" ref="J71:J84" si="69">(((H71*$C$67/2000)-$C$66+$E$66)/$E$67)</f>
        <v>6.8898955987056745</v>
      </c>
      <c r="L71" s="17">
        <f t="shared" ref="L71:L84" si="70">(((N71*$D$67)-$D$66+$B$66)/$B$67)</f>
        <v>0.57562004814444445</v>
      </c>
      <c r="M71" s="14">
        <f t="shared" ref="M71:M84" si="71">(((N71*$D$67)-$D$66+$C$66)/$C$67)*2000</f>
        <v>303.08855449999993</v>
      </c>
      <c r="N71" s="13">
        <f t="shared" si="62"/>
        <v>3.35</v>
      </c>
      <c r="O71" s="13">
        <f t="shared" ref="O71:O84" si="72">(((N71*$D$67)-$D$66+$E$66)/$E$67)</f>
        <v>6.5042753891666667</v>
      </c>
      <c r="Q71" s="9">
        <f t="shared" ref="Q71:Q84" si="73">(((T71*$E$67)-$E$66+$B$66)/$B$67)</f>
        <v>0.57544903257777791</v>
      </c>
      <c r="R71" s="10">
        <f t="shared" ref="R71:R84" si="74">(((T71*$E$67)-$E$66+$C$66)/$C$67)*2000</f>
        <v>303.01310645588239</v>
      </c>
      <c r="S71" s="9">
        <f t="shared" ref="S71:S84" si="75">(((T71*$E$67)-$E$66+$D$66)/$D$67)</f>
        <v>3.3484910391176474</v>
      </c>
      <c r="T71" s="9">
        <f t="shared" si="63"/>
        <v>6.5000000000000018</v>
      </c>
    </row>
    <row r="72" spans="1:20" x14ac:dyDescent="0.2">
      <c r="B72" s="18">
        <f t="shared" si="60"/>
        <v>0.57499999999999984</v>
      </c>
      <c r="C72" s="19">
        <f t="shared" si="64"/>
        <v>302.81500384803917</v>
      </c>
      <c r="D72" s="18">
        <f t="shared" si="65"/>
        <v>3.3445289869607833</v>
      </c>
      <c r="E72" s="18">
        <f t="shared" si="66"/>
        <v>6.4887741855555525</v>
      </c>
      <c r="G72" s="20">
        <f t="shared" si="67"/>
        <v>0.61371152319267142</v>
      </c>
      <c r="H72" s="21">
        <f t="shared" si="61"/>
        <v>319.89361702127661</v>
      </c>
      <c r="I72" s="20">
        <f t="shared" si="68"/>
        <v>3.6861012504255322</v>
      </c>
      <c r="J72" s="20">
        <f t="shared" si="69"/>
        <v>7.4565622653723409</v>
      </c>
      <c r="L72" s="17">
        <f t="shared" si="70"/>
        <v>0.59262004814444447</v>
      </c>
      <c r="M72" s="14">
        <f t="shared" si="71"/>
        <v>310.58855449999993</v>
      </c>
      <c r="N72" s="13">
        <f t="shared" si="62"/>
        <v>3.5</v>
      </c>
      <c r="O72" s="13">
        <f t="shared" si="72"/>
        <v>6.9292753891666665</v>
      </c>
      <c r="Q72" s="9">
        <f t="shared" si="73"/>
        <v>0.58944903257777792</v>
      </c>
      <c r="R72" s="10">
        <f t="shared" si="74"/>
        <v>309.1895770441177</v>
      </c>
      <c r="S72" s="9">
        <f t="shared" si="75"/>
        <v>3.4720204508823533</v>
      </c>
      <c r="T72" s="9">
        <f t="shared" si="63"/>
        <v>6.8500000000000014</v>
      </c>
    </row>
    <row r="73" spans="1:20" x14ac:dyDescent="0.2">
      <c r="B73" s="18">
        <f t="shared" si="60"/>
        <v>0.59999999999999987</v>
      </c>
      <c r="C73" s="19">
        <f t="shared" si="64"/>
        <v>313.84441561274508</v>
      </c>
      <c r="D73" s="18">
        <f t="shared" si="65"/>
        <v>3.5651172222549006</v>
      </c>
      <c r="E73" s="18">
        <f t="shared" si="66"/>
        <v>7.1137741855555525</v>
      </c>
      <c r="G73" s="20">
        <f t="shared" si="67"/>
        <v>0.63637818985933803</v>
      </c>
      <c r="H73" s="21">
        <f t="shared" si="61"/>
        <v>329.89361702127661</v>
      </c>
      <c r="I73" s="20">
        <f t="shared" si="68"/>
        <v>3.8861012504255319</v>
      </c>
      <c r="J73" s="20">
        <f t="shared" si="69"/>
        <v>8.0232289320390073</v>
      </c>
      <c r="L73" s="17">
        <f t="shared" si="70"/>
        <v>0.60962004814444448</v>
      </c>
      <c r="M73" s="14">
        <f t="shared" si="71"/>
        <v>318.08855449999993</v>
      </c>
      <c r="N73" s="13">
        <f t="shared" si="62"/>
        <v>3.65</v>
      </c>
      <c r="O73" s="13">
        <f t="shared" si="72"/>
        <v>7.3542753891666672</v>
      </c>
      <c r="Q73" s="9">
        <f t="shared" si="73"/>
        <v>0.60344903257777782</v>
      </c>
      <c r="R73" s="10">
        <f t="shared" si="74"/>
        <v>315.36604763235295</v>
      </c>
      <c r="S73" s="9">
        <f t="shared" si="75"/>
        <v>3.5955498626470592</v>
      </c>
      <c r="T73" s="9">
        <f t="shared" si="63"/>
        <v>7.2000000000000011</v>
      </c>
    </row>
    <row r="74" spans="1:20" x14ac:dyDescent="0.2">
      <c r="B74" s="18">
        <f t="shared" si="60"/>
        <v>0.62499999999999989</v>
      </c>
      <c r="C74" s="19">
        <f t="shared" si="64"/>
        <v>324.87382737745088</v>
      </c>
      <c r="D74" s="18">
        <f t="shared" si="65"/>
        <v>3.7857054575490192</v>
      </c>
      <c r="E74" s="18">
        <f t="shared" si="66"/>
        <v>7.7387741855555543</v>
      </c>
      <c r="G74" s="20">
        <f t="shared" si="67"/>
        <v>0.65904485652600475</v>
      </c>
      <c r="H74" s="21">
        <f t="shared" si="61"/>
        <v>339.89361702127661</v>
      </c>
      <c r="I74" s="20">
        <f t="shared" si="68"/>
        <v>4.0861012504255321</v>
      </c>
      <c r="J74" s="20">
        <f t="shared" si="69"/>
        <v>8.5898955987056755</v>
      </c>
      <c r="L74" s="17">
        <f t="shared" si="70"/>
        <v>0.62662004814444439</v>
      </c>
      <c r="M74" s="14">
        <f t="shared" si="71"/>
        <v>325.58855449999999</v>
      </c>
      <c r="N74" s="13">
        <f t="shared" si="62"/>
        <v>3.8</v>
      </c>
      <c r="O74" s="13">
        <f t="shared" si="72"/>
        <v>7.7792753891666671</v>
      </c>
      <c r="Q74" s="9">
        <f t="shared" si="73"/>
        <v>0.61744903257777783</v>
      </c>
      <c r="R74" s="10">
        <f t="shared" si="74"/>
        <v>321.54251822058819</v>
      </c>
      <c r="S74" s="9">
        <f t="shared" si="75"/>
        <v>3.7190792744117651</v>
      </c>
      <c r="T74" s="9">
        <f t="shared" si="63"/>
        <v>7.5500000000000007</v>
      </c>
    </row>
    <row r="75" spans="1:20" x14ac:dyDescent="0.2">
      <c r="B75" s="18">
        <f t="shared" si="60"/>
        <v>0.64999999999999991</v>
      </c>
      <c r="C75" s="19">
        <f t="shared" si="64"/>
        <v>335.90323914215679</v>
      </c>
      <c r="D75" s="18">
        <f t="shared" si="65"/>
        <v>4.006293692843137</v>
      </c>
      <c r="E75" s="18">
        <f t="shared" si="66"/>
        <v>8.3637741855555543</v>
      </c>
      <c r="G75" s="20">
        <f t="shared" si="67"/>
        <v>0.68171152319267136</v>
      </c>
      <c r="H75" s="21">
        <f t="shared" si="61"/>
        <v>349.89361702127661</v>
      </c>
      <c r="I75" s="20">
        <f t="shared" si="68"/>
        <v>4.2861012504255322</v>
      </c>
      <c r="J75" s="20">
        <f t="shared" si="69"/>
        <v>9.156562265372342</v>
      </c>
      <c r="L75" s="17">
        <f t="shared" si="70"/>
        <v>0.6436200481444444</v>
      </c>
      <c r="M75" s="14">
        <f t="shared" si="71"/>
        <v>333.08855449999999</v>
      </c>
      <c r="N75" s="13">
        <f t="shared" si="62"/>
        <v>3.9499999999999997</v>
      </c>
      <c r="O75" s="13">
        <f t="shared" si="72"/>
        <v>8.204275389166666</v>
      </c>
      <c r="Q75" s="9">
        <f t="shared" si="73"/>
        <v>0.63144903257777774</v>
      </c>
      <c r="R75" s="10">
        <f t="shared" si="74"/>
        <v>327.7189888088235</v>
      </c>
      <c r="S75" s="9">
        <f t="shared" si="75"/>
        <v>3.842608686176471</v>
      </c>
      <c r="T75" s="9">
        <f t="shared" si="63"/>
        <v>7.9</v>
      </c>
    </row>
    <row r="76" spans="1:20" ht="13.5" thickBot="1" x14ac:dyDescent="0.25">
      <c r="B76" s="18">
        <f>B77-0.025</f>
        <v>0.67499999999999993</v>
      </c>
      <c r="C76" s="19">
        <f t="shared" si="64"/>
        <v>346.9326509068627</v>
      </c>
      <c r="D76" s="18">
        <f t="shared" si="65"/>
        <v>4.2268819281372547</v>
      </c>
      <c r="E76" s="18">
        <f t="shared" si="66"/>
        <v>8.9887741855555525</v>
      </c>
      <c r="G76" s="20">
        <f t="shared" si="67"/>
        <v>0.70437818985933809</v>
      </c>
      <c r="H76" s="21">
        <f>H77-10</f>
        <v>359.89361702127661</v>
      </c>
      <c r="I76" s="20">
        <f t="shared" si="68"/>
        <v>4.4861012504255324</v>
      </c>
      <c r="J76" s="20">
        <f t="shared" si="69"/>
        <v>9.7232289320390084</v>
      </c>
      <c r="L76" s="17">
        <f t="shared" si="70"/>
        <v>0.66062004814444431</v>
      </c>
      <c r="M76" s="14">
        <f t="shared" si="71"/>
        <v>340.58855449999999</v>
      </c>
      <c r="N76" s="13">
        <f>N77-0.15</f>
        <v>4.0999999999999996</v>
      </c>
      <c r="O76" s="13">
        <f t="shared" si="72"/>
        <v>8.6292753891666667</v>
      </c>
      <c r="Q76" s="9">
        <f t="shared" si="73"/>
        <v>0.64544903257777775</v>
      </c>
      <c r="R76" s="10">
        <f t="shared" si="74"/>
        <v>333.8954593970588</v>
      </c>
      <c r="S76" s="9">
        <f t="shared" si="75"/>
        <v>3.9661380979411769</v>
      </c>
      <c r="T76" s="9">
        <f>T77-0.35</f>
        <v>8.25</v>
      </c>
    </row>
    <row r="77" spans="1:20" ht="13.5" thickBot="1" x14ac:dyDescent="0.25">
      <c r="B77" s="24">
        <f>Conventional!$B$8</f>
        <v>0.7</v>
      </c>
      <c r="C77" s="19">
        <f t="shared" si="64"/>
        <v>357.96206267156867</v>
      </c>
      <c r="D77" s="18">
        <f t="shared" si="65"/>
        <v>4.4474701634313725</v>
      </c>
      <c r="E77" s="18">
        <f t="shared" si="66"/>
        <v>9.6137741855555578</v>
      </c>
      <c r="G77" s="20">
        <f t="shared" si="67"/>
        <v>0.7270448565260047</v>
      </c>
      <c r="H77" s="22">
        <f>Conventional!$D$8</f>
        <v>369.89361702127661</v>
      </c>
      <c r="I77" s="20">
        <f t="shared" si="68"/>
        <v>4.6861012504255317</v>
      </c>
      <c r="J77" s="20">
        <f t="shared" si="69"/>
        <v>10.289895598705675</v>
      </c>
      <c r="L77" s="17">
        <f t="shared" si="70"/>
        <v>0.67762004814444443</v>
      </c>
      <c r="M77" s="14">
        <f t="shared" si="71"/>
        <v>348.08855449999999</v>
      </c>
      <c r="N77" s="15">
        <f>Conventional!$F$8</f>
        <v>4.25</v>
      </c>
      <c r="O77" s="13">
        <f t="shared" si="72"/>
        <v>9.0542753891666656</v>
      </c>
      <c r="Q77" s="9">
        <f t="shared" si="73"/>
        <v>0.65944903257777776</v>
      </c>
      <c r="R77" s="10">
        <f t="shared" si="74"/>
        <v>340.0719299852941</v>
      </c>
      <c r="S77" s="9">
        <f t="shared" si="75"/>
        <v>4.0896675097058823</v>
      </c>
      <c r="T77" s="11">
        <f>Conventional!$H$8</f>
        <v>8.6</v>
      </c>
    </row>
    <row r="78" spans="1:20" x14ac:dyDescent="0.2">
      <c r="B78" s="18">
        <f>B77+0.025</f>
        <v>0.72499999999999998</v>
      </c>
      <c r="C78" s="19">
        <f t="shared" si="64"/>
        <v>368.99147443627453</v>
      </c>
      <c r="D78" s="18">
        <f t="shared" si="65"/>
        <v>4.6680583987254902</v>
      </c>
      <c r="E78" s="18">
        <f t="shared" si="66"/>
        <v>10.238774185555558</v>
      </c>
      <c r="G78" s="20">
        <f t="shared" si="67"/>
        <v>0.74971152319267143</v>
      </c>
      <c r="H78" s="21">
        <f>H77+10</f>
        <v>379.89361702127661</v>
      </c>
      <c r="I78" s="20">
        <f t="shared" si="68"/>
        <v>4.8861012504255319</v>
      </c>
      <c r="J78" s="20">
        <f t="shared" si="69"/>
        <v>10.856562265372341</v>
      </c>
      <c r="L78" s="17">
        <f t="shared" si="70"/>
        <v>0.69462004814444456</v>
      </c>
      <c r="M78" s="14">
        <f t="shared" si="71"/>
        <v>355.58855450000004</v>
      </c>
      <c r="N78" s="13">
        <f>N77+0.15</f>
        <v>4.4000000000000004</v>
      </c>
      <c r="O78" s="13">
        <f t="shared" si="72"/>
        <v>9.4792753891666699</v>
      </c>
      <c r="Q78" s="9">
        <f t="shared" si="73"/>
        <v>0.67344903257777777</v>
      </c>
      <c r="R78" s="10">
        <f t="shared" si="74"/>
        <v>346.24840057352941</v>
      </c>
      <c r="S78" s="9">
        <f t="shared" si="75"/>
        <v>4.2131969214705887</v>
      </c>
      <c r="T78" s="9">
        <f>T77+0.35</f>
        <v>8.9499999999999993</v>
      </c>
    </row>
    <row r="79" spans="1:20" x14ac:dyDescent="0.2">
      <c r="B79" s="18">
        <f t="shared" ref="B79:B84" si="76">B78+0.025</f>
        <v>0.75</v>
      </c>
      <c r="C79" s="19">
        <f t="shared" si="64"/>
        <v>380.02088620098039</v>
      </c>
      <c r="D79" s="18">
        <f t="shared" si="65"/>
        <v>4.888646634019608</v>
      </c>
      <c r="E79" s="18">
        <f t="shared" si="66"/>
        <v>10.863774185555558</v>
      </c>
      <c r="G79" s="20">
        <f t="shared" si="67"/>
        <v>0.77237818985933804</v>
      </c>
      <c r="H79" s="21">
        <f t="shared" ref="H79:H84" si="77">H78+10</f>
        <v>389.89361702127661</v>
      </c>
      <c r="I79" s="20">
        <f t="shared" si="68"/>
        <v>5.0861012504255321</v>
      </c>
      <c r="J79" s="20">
        <f t="shared" si="69"/>
        <v>11.423228932039008</v>
      </c>
      <c r="L79" s="17">
        <f t="shared" si="70"/>
        <v>0.71162004814444446</v>
      </c>
      <c r="M79" s="14">
        <f t="shared" si="71"/>
        <v>363.08855450000004</v>
      </c>
      <c r="N79" s="13">
        <f t="shared" ref="N79:N84" si="78">N78+0.15</f>
        <v>4.5500000000000007</v>
      </c>
      <c r="O79" s="13">
        <f t="shared" si="72"/>
        <v>9.9042753891666688</v>
      </c>
      <c r="Q79" s="9">
        <f t="shared" si="73"/>
        <v>0.68744903257777767</v>
      </c>
      <c r="R79" s="10">
        <f t="shared" si="74"/>
        <v>352.42487116176471</v>
      </c>
      <c r="S79" s="9">
        <f t="shared" si="75"/>
        <v>4.3367263332352932</v>
      </c>
      <c r="T79" s="9">
        <f t="shared" ref="T79:T84" si="79">T78+0.35</f>
        <v>9.2999999999999989</v>
      </c>
    </row>
    <row r="80" spans="1:20" x14ac:dyDescent="0.2">
      <c r="B80" s="18">
        <f t="shared" si="76"/>
        <v>0.77500000000000002</v>
      </c>
      <c r="C80" s="19">
        <f t="shared" si="64"/>
        <v>391.0502979656863</v>
      </c>
      <c r="D80" s="18">
        <f t="shared" si="65"/>
        <v>5.1092348693137257</v>
      </c>
      <c r="E80" s="18">
        <f t="shared" si="66"/>
        <v>11.488774185555558</v>
      </c>
      <c r="G80" s="20">
        <f t="shared" si="67"/>
        <v>0.79504485652600476</v>
      </c>
      <c r="H80" s="21">
        <f t="shared" si="77"/>
        <v>399.89361702127661</v>
      </c>
      <c r="I80" s="20">
        <f t="shared" si="68"/>
        <v>5.2861012504255322</v>
      </c>
      <c r="J80" s="20">
        <f t="shared" si="69"/>
        <v>11.989895598705676</v>
      </c>
      <c r="L80" s="17">
        <f t="shared" si="70"/>
        <v>0.72862004814444448</v>
      </c>
      <c r="M80" s="14">
        <f t="shared" si="71"/>
        <v>370.5885545000001</v>
      </c>
      <c r="N80" s="13">
        <f t="shared" si="78"/>
        <v>4.7000000000000011</v>
      </c>
      <c r="O80" s="13">
        <f t="shared" si="72"/>
        <v>10.32927538916667</v>
      </c>
      <c r="Q80" s="9">
        <f t="shared" si="73"/>
        <v>0.70144903257777769</v>
      </c>
      <c r="R80" s="10">
        <f t="shared" si="74"/>
        <v>358.60134174999996</v>
      </c>
      <c r="S80" s="9">
        <f t="shared" si="75"/>
        <v>4.4602557449999987</v>
      </c>
      <c r="T80" s="9">
        <f t="shared" si="79"/>
        <v>9.6499999999999986</v>
      </c>
    </row>
    <row r="81" spans="1:20" x14ac:dyDescent="0.2">
      <c r="B81" s="18">
        <f t="shared" si="76"/>
        <v>0.8</v>
      </c>
      <c r="C81" s="19">
        <f t="shared" si="64"/>
        <v>402.07970973039215</v>
      </c>
      <c r="D81" s="18">
        <f t="shared" si="65"/>
        <v>5.3298231046078435</v>
      </c>
      <c r="E81" s="18">
        <f t="shared" si="66"/>
        <v>12.113774185555558</v>
      </c>
      <c r="G81" s="20">
        <f t="shared" si="67"/>
        <v>0.81771152319267137</v>
      </c>
      <c r="H81" s="21">
        <f t="shared" si="77"/>
        <v>409.89361702127661</v>
      </c>
      <c r="I81" s="20">
        <f t="shared" si="68"/>
        <v>5.4861012504255324</v>
      </c>
      <c r="J81" s="20">
        <f t="shared" si="69"/>
        <v>12.556562265372342</v>
      </c>
      <c r="L81" s="17">
        <f t="shared" si="70"/>
        <v>0.74562004814444449</v>
      </c>
      <c r="M81" s="14">
        <f t="shared" si="71"/>
        <v>378.0885545000001</v>
      </c>
      <c r="N81" s="13">
        <f t="shared" si="78"/>
        <v>4.8500000000000014</v>
      </c>
      <c r="O81" s="13">
        <f t="shared" si="72"/>
        <v>10.75427538916667</v>
      </c>
      <c r="Q81" s="9">
        <f t="shared" si="73"/>
        <v>0.7154490325777777</v>
      </c>
      <c r="R81" s="10">
        <f t="shared" si="74"/>
        <v>364.77781233823526</v>
      </c>
      <c r="S81" s="9">
        <f t="shared" si="75"/>
        <v>4.583785156764705</v>
      </c>
      <c r="T81" s="9">
        <f t="shared" si="79"/>
        <v>9.9999999999999982</v>
      </c>
    </row>
    <row r="82" spans="1:20" x14ac:dyDescent="0.2">
      <c r="B82" s="18">
        <f t="shared" si="76"/>
        <v>0.82500000000000007</v>
      </c>
      <c r="C82" s="19">
        <f t="shared" si="64"/>
        <v>413.10912149509807</v>
      </c>
      <c r="D82" s="18">
        <f t="shared" si="65"/>
        <v>5.5504113399019612</v>
      </c>
      <c r="E82" s="18">
        <f t="shared" si="66"/>
        <v>12.738774185555558</v>
      </c>
      <c r="G82" s="20">
        <f t="shared" si="67"/>
        <v>0.8403781898593381</v>
      </c>
      <c r="H82" s="21">
        <f t="shared" si="77"/>
        <v>419.89361702127661</v>
      </c>
      <c r="I82" s="20">
        <f t="shared" si="68"/>
        <v>5.6861012504255317</v>
      </c>
      <c r="J82" s="20">
        <f t="shared" si="69"/>
        <v>13.123228932039009</v>
      </c>
      <c r="L82" s="17">
        <f t="shared" si="70"/>
        <v>0.76262004814444462</v>
      </c>
      <c r="M82" s="14">
        <f t="shared" si="71"/>
        <v>385.5885545000001</v>
      </c>
      <c r="N82" s="13">
        <f t="shared" si="78"/>
        <v>5.0000000000000018</v>
      </c>
      <c r="O82" s="13">
        <f t="shared" si="72"/>
        <v>11.179275389166673</v>
      </c>
      <c r="Q82" s="9">
        <f t="shared" si="73"/>
        <v>0.72944903257777771</v>
      </c>
      <c r="R82" s="10">
        <f t="shared" si="74"/>
        <v>370.95428292647057</v>
      </c>
      <c r="S82" s="9">
        <f t="shared" si="75"/>
        <v>4.7073145685294104</v>
      </c>
      <c r="T82" s="9">
        <f t="shared" si="79"/>
        <v>10.349999999999998</v>
      </c>
    </row>
    <row r="83" spans="1:20" x14ac:dyDescent="0.2">
      <c r="B83" s="18">
        <f t="shared" si="76"/>
        <v>0.85000000000000009</v>
      </c>
      <c r="C83" s="19">
        <f t="shared" si="64"/>
        <v>424.13853325980398</v>
      </c>
      <c r="D83" s="18">
        <f t="shared" si="65"/>
        <v>5.7709995751960799</v>
      </c>
      <c r="E83" s="18">
        <f t="shared" si="66"/>
        <v>13.363774185555561</v>
      </c>
      <c r="G83" s="20">
        <f t="shared" si="67"/>
        <v>0.86304485652600471</v>
      </c>
      <c r="H83" s="21">
        <f t="shared" si="77"/>
        <v>429.89361702127661</v>
      </c>
      <c r="I83" s="20">
        <f t="shared" si="68"/>
        <v>5.8861012504255319</v>
      </c>
      <c r="J83" s="20">
        <f t="shared" si="69"/>
        <v>13.689895598705675</v>
      </c>
      <c r="L83" s="17">
        <f t="shared" si="70"/>
        <v>0.77962004814444463</v>
      </c>
      <c r="M83" s="14">
        <f t="shared" si="71"/>
        <v>393.0885545000001</v>
      </c>
      <c r="N83" s="13">
        <f t="shared" si="78"/>
        <v>5.1500000000000021</v>
      </c>
      <c r="O83" s="13">
        <f t="shared" si="72"/>
        <v>11.604275389166673</v>
      </c>
      <c r="Q83" s="9">
        <f t="shared" si="73"/>
        <v>0.74344903257777772</v>
      </c>
      <c r="R83" s="10">
        <f t="shared" si="74"/>
        <v>377.13075351470587</v>
      </c>
      <c r="S83" s="9">
        <f t="shared" si="75"/>
        <v>4.8308439802941168</v>
      </c>
      <c r="T83" s="9">
        <f t="shared" si="79"/>
        <v>10.699999999999998</v>
      </c>
    </row>
    <row r="84" spans="1:20" x14ac:dyDescent="0.2">
      <c r="A84" s="46"/>
      <c r="B84" s="47">
        <f t="shared" si="76"/>
        <v>0.87500000000000011</v>
      </c>
      <c r="C84" s="48">
        <f t="shared" si="64"/>
        <v>435.16794502450989</v>
      </c>
      <c r="D84" s="47">
        <f t="shared" si="65"/>
        <v>5.9915878104901976</v>
      </c>
      <c r="E84" s="47">
        <f t="shared" si="66"/>
        <v>13.988774185555561</v>
      </c>
      <c r="F84" s="46"/>
      <c r="G84" s="49">
        <f t="shared" si="67"/>
        <v>0.88571152319267143</v>
      </c>
      <c r="H84" s="50">
        <f t="shared" si="77"/>
        <v>439.89361702127661</v>
      </c>
      <c r="I84" s="49">
        <f t="shared" si="68"/>
        <v>6.086101250425533</v>
      </c>
      <c r="J84" s="49">
        <f t="shared" si="69"/>
        <v>14.256562265372342</v>
      </c>
      <c r="K84" s="46"/>
      <c r="L84" s="51">
        <f t="shared" si="70"/>
        <v>0.79662004814444476</v>
      </c>
      <c r="M84" s="52">
        <f t="shared" si="71"/>
        <v>400.5885545000001</v>
      </c>
      <c r="N84" s="53">
        <f t="shared" si="78"/>
        <v>5.3000000000000025</v>
      </c>
      <c r="O84" s="53">
        <f t="shared" si="72"/>
        <v>12.029275389166674</v>
      </c>
      <c r="P84" s="46"/>
      <c r="Q84" s="54">
        <f t="shared" si="73"/>
        <v>0.75744903257777751</v>
      </c>
      <c r="R84" s="55">
        <f t="shared" si="74"/>
        <v>383.30722410294112</v>
      </c>
      <c r="S84" s="54">
        <f t="shared" si="75"/>
        <v>4.9543733920588222</v>
      </c>
      <c r="T84" s="54">
        <f t="shared" si="79"/>
        <v>11.049999999999997</v>
      </c>
    </row>
  </sheetData>
  <mergeCells count="18">
    <mergeCell ref="B68:E68"/>
    <mergeCell ref="G68:J68"/>
    <mergeCell ref="L68:O68"/>
    <mergeCell ref="Q68:T68"/>
    <mergeCell ref="B5:E5"/>
    <mergeCell ref="A1:T1"/>
    <mergeCell ref="B47:E47"/>
    <mergeCell ref="G47:J47"/>
    <mergeCell ref="L47:O47"/>
    <mergeCell ref="Q47:T47"/>
    <mergeCell ref="A43:T43"/>
    <mergeCell ref="G5:J5"/>
    <mergeCell ref="L5:O5"/>
    <mergeCell ref="Q5:T5"/>
    <mergeCell ref="B26:E26"/>
    <mergeCell ref="G26:J26"/>
    <mergeCell ref="L26:O26"/>
    <mergeCell ref="Q26:T26"/>
  </mergeCells>
  <pageMargins left="0.7" right="0.7" top="0.75" bottom="0.75" header="0.3" footer="0.3"/>
  <pageSetup scale="85" orientation="landscape" horizontalDpi="300" verticalDpi="300"/>
  <rowBreaks count="1" manualBreakCount="1">
    <brk id="42" max="16383" man="1"/>
  </rowBreaks>
  <ignoredErrors>
    <ignoredError sqref="B14" 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99"/>
    <pageSetUpPr fitToPage="1"/>
  </sheetPr>
  <dimension ref="A1:AP218"/>
  <sheetViews>
    <sheetView zoomScale="170" zoomScaleNormal="170" zoomScalePageLayoutView="170" workbookViewId="0">
      <pane xSplit="1" ySplit="8" topLeftCell="B9" activePane="bottomRight" state="frozen"/>
      <selection activeCell="B18" sqref="B18:C18"/>
      <selection pane="topRight" activeCell="B18" sqref="B18:C18"/>
      <selection pane="bottomLeft" activeCell="B18" sqref="B18:C18"/>
      <selection pane="bottomRight"/>
    </sheetView>
  </sheetViews>
  <sheetFormatPr defaultColWidth="8.85546875" defaultRowHeight="12.75" x14ac:dyDescent="0.2"/>
  <cols>
    <col min="1" max="1" width="25.42578125" style="96" customWidth="1"/>
    <col min="2" max="2" width="5.42578125" style="101" bestFit="1" customWidth="1"/>
    <col min="3" max="3" width="3" style="101" bestFit="1" customWidth="1"/>
    <col min="4" max="4" width="5.42578125" style="101" bestFit="1" customWidth="1"/>
    <col min="5" max="5" width="4" style="101" bestFit="1" customWidth="1"/>
    <col min="6" max="6" width="5.42578125" style="101" bestFit="1" customWidth="1"/>
    <col min="7" max="7" width="3.42578125" style="101" bestFit="1" customWidth="1"/>
    <col min="8" max="8" width="5.42578125" style="101" bestFit="1" customWidth="1"/>
    <col min="9" max="9" width="3.42578125" style="101" bestFit="1" customWidth="1"/>
    <col min="10" max="10" width="5.42578125" style="101" bestFit="1" customWidth="1"/>
    <col min="11" max="11" width="3.42578125" style="101" bestFit="1" customWidth="1"/>
    <col min="12" max="12" width="5.42578125" style="101" bestFit="1" customWidth="1"/>
    <col min="13" max="13" width="3" style="101" bestFit="1" customWidth="1"/>
    <col min="14" max="14" width="5.42578125" style="101" bestFit="1" customWidth="1"/>
    <col min="15" max="15" width="4" style="101" bestFit="1" customWidth="1"/>
    <col min="16" max="16" width="5.42578125" style="101" bestFit="1" customWidth="1"/>
    <col min="17" max="17" width="3.42578125" style="101" bestFit="1" customWidth="1"/>
    <col min="18" max="18" width="5.42578125" style="101" bestFit="1" customWidth="1"/>
    <col min="19" max="19" width="3.42578125" style="101" bestFit="1" customWidth="1"/>
    <col min="20" max="20" width="5.42578125" style="101" bestFit="1" customWidth="1"/>
    <col min="21" max="21" width="3.42578125" style="101" bestFit="1" customWidth="1"/>
    <col min="22" max="22" width="8.85546875" style="101"/>
    <col min="23" max="23" width="9" style="100" bestFit="1" customWidth="1"/>
    <col min="24" max="24" width="2" style="100" bestFit="1" customWidth="1"/>
    <col min="25" max="25" width="6" style="100" bestFit="1" customWidth="1"/>
    <col min="26" max="26" width="2" style="100" bestFit="1" customWidth="1"/>
    <col min="27" max="27" width="7" style="100" bestFit="1" customWidth="1"/>
    <col min="28" max="28" width="2" style="100" bestFit="1" customWidth="1"/>
    <col min="29" max="29" width="9" style="100" bestFit="1" customWidth="1"/>
    <col min="30" max="30" width="2" style="100" bestFit="1" customWidth="1"/>
    <col min="31" max="31" width="7" style="100" bestFit="1" customWidth="1"/>
    <col min="32" max="32" width="2" style="100" bestFit="1" customWidth="1"/>
    <col min="33" max="33" width="8" style="100" bestFit="1" customWidth="1"/>
    <col min="34" max="34" width="2" style="100" bestFit="1" customWidth="1"/>
    <col min="35" max="35" width="6" style="101" bestFit="1" customWidth="1"/>
    <col min="36" max="37" width="2" style="101" bestFit="1" customWidth="1"/>
    <col min="38" max="38" width="12" style="101" bestFit="1" customWidth="1"/>
    <col min="39" max="39" width="2" style="101" bestFit="1" customWidth="1"/>
    <col min="40" max="40" width="7" style="101" bestFit="1" customWidth="1"/>
    <col min="41" max="41" width="2" style="101" bestFit="1" customWidth="1"/>
    <col min="42" max="42" width="9" style="101" bestFit="1" customWidth="1"/>
    <col min="43" max="16384" width="8.85546875" style="101"/>
  </cols>
  <sheetData>
    <row r="1" spans="1:34" s="96" customFormat="1" ht="12" x14ac:dyDescent="0.2">
      <c r="A1" s="94" t="str">
        <f>Conventional!A1</f>
        <v>SUMMARY OF SOUTH GEORGIA CROP ENTERPRISE ESTIMATES, 2016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</row>
    <row r="2" spans="1:34" s="319" customFormat="1" ht="11.25" x14ac:dyDescent="0.2">
      <c r="A2" s="316" t="s">
        <v>183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316"/>
      <c r="T2" s="316"/>
      <c r="U2" s="317"/>
      <c r="V2" s="318"/>
      <c r="W2" s="318"/>
      <c r="X2" s="318"/>
      <c r="Y2" s="318"/>
      <c r="Z2" s="318"/>
      <c r="AA2" s="318"/>
      <c r="AB2" s="318"/>
      <c r="AC2" s="318"/>
      <c r="AD2" s="318"/>
      <c r="AE2" s="318"/>
      <c r="AF2" s="318"/>
      <c r="AG2" s="318"/>
      <c r="AH2" s="318"/>
    </row>
    <row r="3" spans="1:34" x14ac:dyDescent="0.2">
      <c r="A3" s="297" t="str">
        <f>Conventional!A3</f>
        <v>January 2016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9"/>
      <c r="V3" s="100"/>
    </row>
    <row r="4" spans="1:34" x14ac:dyDescent="0.2">
      <c r="A4" s="102" t="s">
        <v>26</v>
      </c>
      <c r="B4" s="388" t="s">
        <v>0</v>
      </c>
      <c r="C4" s="389"/>
      <c r="D4" s="389"/>
      <c r="E4" s="389"/>
      <c r="F4" s="389"/>
      <c r="G4" s="389"/>
      <c r="H4" s="389"/>
      <c r="I4" s="389"/>
      <c r="J4" s="389"/>
      <c r="K4" s="103"/>
      <c r="L4" s="382" t="s">
        <v>1</v>
      </c>
      <c r="M4" s="382"/>
      <c r="N4" s="382"/>
      <c r="O4" s="382"/>
      <c r="P4" s="382"/>
      <c r="Q4" s="382"/>
      <c r="R4" s="382"/>
      <c r="S4" s="382"/>
      <c r="T4" s="382"/>
      <c r="U4" s="104"/>
      <c r="V4" s="100"/>
    </row>
    <row r="5" spans="1:34" x14ac:dyDescent="0.2">
      <c r="A5" s="105"/>
      <c r="B5" s="106"/>
      <c r="C5" s="107"/>
      <c r="D5" s="291"/>
      <c r="E5" s="292"/>
      <c r="F5" s="259"/>
      <c r="G5" s="248"/>
      <c r="H5" s="235"/>
      <c r="I5" s="248"/>
      <c r="J5" s="378" t="s">
        <v>23</v>
      </c>
      <c r="K5" s="422"/>
      <c r="L5" s="107"/>
      <c r="M5" s="107"/>
      <c r="N5" s="295"/>
      <c r="O5" s="296"/>
      <c r="P5" s="259"/>
      <c r="Q5" s="248"/>
      <c r="R5" s="235"/>
      <c r="S5" s="248"/>
      <c r="T5" s="424" t="s">
        <v>23</v>
      </c>
      <c r="U5" s="425"/>
      <c r="V5" s="100"/>
    </row>
    <row r="6" spans="1:34" x14ac:dyDescent="0.2">
      <c r="A6" s="105"/>
      <c r="B6" s="384" t="s">
        <v>2</v>
      </c>
      <c r="C6" s="382"/>
      <c r="D6" s="419" t="s">
        <v>3</v>
      </c>
      <c r="E6" s="420"/>
      <c r="F6" s="387" t="s">
        <v>4</v>
      </c>
      <c r="G6" s="421"/>
      <c r="H6" s="382" t="s">
        <v>5</v>
      </c>
      <c r="I6" s="421"/>
      <c r="J6" s="382" t="s">
        <v>6</v>
      </c>
      <c r="K6" s="423"/>
      <c r="L6" s="384" t="s">
        <v>2</v>
      </c>
      <c r="M6" s="382"/>
      <c r="N6" s="419" t="s">
        <v>3</v>
      </c>
      <c r="O6" s="420"/>
      <c r="P6" s="387" t="s">
        <v>4</v>
      </c>
      <c r="Q6" s="421"/>
      <c r="R6" s="382" t="s">
        <v>5</v>
      </c>
      <c r="S6" s="421"/>
      <c r="T6" s="382" t="s">
        <v>6</v>
      </c>
      <c r="U6" s="383"/>
      <c r="V6" s="100"/>
    </row>
    <row r="7" spans="1:34" x14ac:dyDescent="0.2">
      <c r="A7" s="108" t="s">
        <v>155</v>
      </c>
      <c r="B7" s="289">
        <v>1200</v>
      </c>
      <c r="C7" s="287" t="s">
        <v>159</v>
      </c>
      <c r="D7" s="278">
        <f>'Peanut Price Calculator'!B10</f>
        <v>4700</v>
      </c>
      <c r="E7" s="293" t="s">
        <v>159</v>
      </c>
      <c r="F7" s="282">
        <v>200</v>
      </c>
      <c r="G7" s="283" t="s">
        <v>162</v>
      </c>
      <c r="H7" s="284">
        <v>60</v>
      </c>
      <c r="I7" s="283" t="s">
        <v>162</v>
      </c>
      <c r="J7" s="284">
        <v>100</v>
      </c>
      <c r="K7" s="286" t="s">
        <v>162</v>
      </c>
      <c r="L7" s="284">
        <v>750</v>
      </c>
      <c r="M7" s="287" t="s">
        <v>159</v>
      </c>
      <c r="N7" s="278">
        <f>'Peanut Price Calculator'!B21</f>
        <v>3400</v>
      </c>
      <c r="O7" s="293" t="s">
        <v>159</v>
      </c>
      <c r="P7" s="282">
        <v>85</v>
      </c>
      <c r="Q7" s="283" t="s">
        <v>162</v>
      </c>
      <c r="R7" s="284">
        <v>30</v>
      </c>
      <c r="S7" s="283" t="s">
        <v>162</v>
      </c>
      <c r="T7" s="284">
        <v>65</v>
      </c>
      <c r="U7" s="285" t="s">
        <v>162</v>
      </c>
      <c r="V7" s="100"/>
    </row>
    <row r="8" spans="1:34" ht="13.5" thickBot="1" x14ac:dyDescent="0.25">
      <c r="A8" s="109" t="s">
        <v>124</v>
      </c>
      <c r="B8" s="290">
        <v>0.7</v>
      </c>
      <c r="C8" s="276" t="s">
        <v>160</v>
      </c>
      <c r="D8" s="280">
        <f>'Peanut Price Calculator'!B17</f>
        <v>369.89361702127661</v>
      </c>
      <c r="E8" s="294" t="s">
        <v>161</v>
      </c>
      <c r="F8" s="273">
        <f>Conventional!F8</f>
        <v>4.25</v>
      </c>
      <c r="G8" s="270" t="s">
        <v>163</v>
      </c>
      <c r="H8" s="274">
        <f>Conventional!H8</f>
        <v>8.6</v>
      </c>
      <c r="I8" s="270" t="s">
        <v>163</v>
      </c>
      <c r="J8" s="274">
        <f>Conventional!J8</f>
        <v>4.04</v>
      </c>
      <c r="K8" s="275" t="s">
        <v>163</v>
      </c>
      <c r="L8" s="274">
        <f>Conventional!B8</f>
        <v>0.7</v>
      </c>
      <c r="M8" s="276" t="s">
        <v>160</v>
      </c>
      <c r="N8" s="280">
        <f>'Peanut Price Calculator'!B28</f>
        <v>370.44117647058823</v>
      </c>
      <c r="O8" s="294" t="s">
        <v>161</v>
      </c>
      <c r="P8" s="273">
        <f>Conventional!F8</f>
        <v>4.25</v>
      </c>
      <c r="Q8" s="270" t="s">
        <v>163</v>
      </c>
      <c r="R8" s="274">
        <f>Conventional!H8</f>
        <v>8.6</v>
      </c>
      <c r="S8" s="270" t="s">
        <v>163</v>
      </c>
      <c r="T8" s="274">
        <f>Conventional!J8</f>
        <v>4.04</v>
      </c>
      <c r="U8" s="272" t="s">
        <v>163</v>
      </c>
      <c r="V8" s="100"/>
    </row>
    <row r="9" spans="1:34" x14ac:dyDescent="0.2">
      <c r="A9" s="110" t="s">
        <v>156</v>
      </c>
      <c r="B9" s="370">
        <f>B7*B8</f>
        <v>840</v>
      </c>
      <c r="C9" s="365"/>
      <c r="D9" s="373">
        <f>D8*(D7/2000)</f>
        <v>869.25000000000011</v>
      </c>
      <c r="E9" s="365"/>
      <c r="F9" s="373">
        <f>F7*F8</f>
        <v>850</v>
      </c>
      <c r="G9" s="417"/>
      <c r="H9" s="365">
        <f>H7*H8</f>
        <v>516</v>
      </c>
      <c r="I9" s="417"/>
      <c r="J9" s="365">
        <f>J7*J8</f>
        <v>404</v>
      </c>
      <c r="K9" s="418"/>
      <c r="L9" s="370">
        <f>L7*L8</f>
        <v>525</v>
      </c>
      <c r="M9" s="365"/>
      <c r="N9" s="373">
        <f>N8*(N7/2000)</f>
        <v>629.75</v>
      </c>
      <c r="O9" s="365"/>
      <c r="P9" s="373">
        <f>P7*P8</f>
        <v>361.25</v>
      </c>
      <c r="Q9" s="417"/>
      <c r="R9" s="365">
        <f>R7*R8</f>
        <v>258</v>
      </c>
      <c r="S9" s="417"/>
      <c r="T9" s="426">
        <f>T7*T8</f>
        <v>262.60000000000002</v>
      </c>
      <c r="U9" s="427"/>
      <c r="V9" s="100"/>
    </row>
    <row r="10" spans="1:34" x14ac:dyDescent="0.2">
      <c r="A10" s="111" t="s">
        <v>157</v>
      </c>
      <c r="B10" s="112"/>
      <c r="C10" s="113"/>
      <c r="D10" s="249"/>
      <c r="E10" s="113"/>
      <c r="F10" s="249"/>
      <c r="G10" s="250"/>
      <c r="H10" s="113"/>
      <c r="I10" s="250"/>
      <c r="J10" s="113"/>
      <c r="K10" s="114"/>
      <c r="L10" s="113"/>
      <c r="M10" s="113"/>
      <c r="N10" s="249"/>
      <c r="O10" s="113"/>
      <c r="P10" s="249"/>
      <c r="Q10" s="250"/>
      <c r="R10" s="113"/>
      <c r="S10" s="250"/>
      <c r="T10" s="113"/>
      <c r="U10" s="115"/>
      <c r="V10" s="100"/>
    </row>
    <row r="11" spans="1:34" x14ac:dyDescent="0.2">
      <c r="A11" s="105" t="s">
        <v>24</v>
      </c>
      <c r="B11" s="372">
        <v>112</v>
      </c>
      <c r="C11" s="363"/>
      <c r="D11" s="371">
        <v>98</v>
      </c>
      <c r="E11" s="363"/>
      <c r="F11" s="371">
        <v>94.4</v>
      </c>
      <c r="G11" s="428"/>
      <c r="H11" s="363">
        <v>50</v>
      </c>
      <c r="I11" s="428"/>
      <c r="J11" s="363">
        <v>13.5</v>
      </c>
      <c r="K11" s="429"/>
      <c r="L11" s="372">
        <v>112</v>
      </c>
      <c r="M11" s="363"/>
      <c r="N11" s="371">
        <v>98</v>
      </c>
      <c r="O11" s="363"/>
      <c r="P11" s="371">
        <v>51</v>
      </c>
      <c r="Q11" s="428"/>
      <c r="R11" s="363">
        <v>50</v>
      </c>
      <c r="S11" s="428"/>
      <c r="T11" s="363">
        <v>8.25</v>
      </c>
      <c r="U11" s="364"/>
      <c r="V11" s="100"/>
    </row>
    <row r="12" spans="1:34" x14ac:dyDescent="0.2">
      <c r="A12" s="105" t="s">
        <v>30</v>
      </c>
      <c r="B12" s="334"/>
      <c r="C12" s="335"/>
      <c r="D12" s="322"/>
      <c r="E12" s="335"/>
      <c r="F12" s="322"/>
      <c r="G12" s="323"/>
      <c r="H12" s="335"/>
      <c r="I12" s="323"/>
      <c r="J12" s="335"/>
      <c r="K12" s="410"/>
      <c r="L12" s="334"/>
      <c r="M12" s="335"/>
      <c r="N12" s="322"/>
      <c r="O12" s="335"/>
      <c r="P12" s="322"/>
      <c r="Q12" s="323"/>
      <c r="R12" s="335"/>
      <c r="S12" s="323"/>
      <c r="T12" s="335"/>
      <c r="U12" s="342"/>
      <c r="V12" s="100"/>
    </row>
    <row r="13" spans="1:34" x14ac:dyDescent="0.2">
      <c r="A13" s="105" t="s">
        <v>8</v>
      </c>
      <c r="B13" s="334">
        <f>B7/495*0.75</f>
        <v>1.8181818181818183</v>
      </c>
      <c r="C13" s="335"/>
      <c r="D13" s="251"/>
      <c r="E13" s="116"/>
      <c r="F13" s="251"/>
      <c r="G13" s="252"/>
      <c r="H13" s="116"/>
      <c r="I13" s="252"/>
      <c r="J13" s="116"/>
      <c r="K13" s="117"/>
      <c r="L13" s="334">
        <f>L7/495*0.75</f>
        <v>1.1363636363636362</v>
      </c>
      <c r="M13" s="335"/>
      <c r="N13" s="251"/>
      <c r="O13" s="116"/>
      <c r="P13" s="251"/>
      <c r="Q13" s="252"/>
      <c r="R13" s="116"/>
      <c r="S13" s="252"/>
      <c r="T13" s="116"/>
      <c r="U13" s="118"/>
      <c r="V13" s="100"/>
    </row>
    <row r="14" spans="1:34" x14ac:dyDescent="0.2">
      <c r="A14" s="105" t="s">
        <v>31</v>
      </c>
      <c r="B14" s="334">
        <f>14.52+5+B7*0.08*$D$47+0.0667*B7*$F$47+0.0667*B7*$H$47</f>
        <v>137.1524</v>
      </c>
      <c r="C14" s="323"/>
      <c r="D14" s="322">
        <f>8+53.5+2</f>
        <v>63.5</v>
      </c>
      <c r="E14" s="335"/>
      <c r="F14" s="322">
        <f>22.5+1.2*F7*$D$47+0.5*F7*$F$47+F7*$H$47</f>
        <v>274.5</v>
      </c>
      <c r="G14" s="323"/>
      <c r="H14" s="335">
        <f>4+14.85+0.6667*H7*$F$47+1.333*H7*$H$47+2</f>
        <v>68.843040000000002</v>
      </c>
      <c r="I14" s="323"/>
      <c r="J14" s="335">
        <f>22.5+1.25*J7*$D$47+0.6*J7*$F$47+0.9*J7*$H$47</f>
        <v>151.55000000000001</v>
      </c>
      <c r="K14" s="410"/>
      <c r="L14" s="334">
        <f>14.52+5+0.08*L7*$D$47+0.0667*L7*$F$47+0.0667*L7*$H$47</f>
        <v>93.040249999999986</v>
      </c>
      <c r="M14" s="335"/>
      <c r="N14" s="322">
        <f>8+53.5+2</f>
        <v>63.5</v>
      </c>
      <c r="O14" s="335"/>
      <c r="P14" s="322">
        <f>11.25+P7*1.1765*$D$47+0.4706*P7*$F$47+0.7059*P7*$H$47</f>
        <v>106.45238000000001</v>
      </c>
      <c r="Q14" s="323"/>
      <c r="R14" s="335">
        <f>4+14.85+1.3333*R7*$F$47+2.6667*R7*$H$47+2</f>
        <v>68.849969999999999</v>
      </c>
      <c r="S14" s="323"/>
      <c r="T14" s="335">
        <f>11.25+1.2308*T7*$D$47+0.6154*T7*$F$47+0.9231*T7*$H$47</f>
        <v>95.452104999999989</v>
      </c>
      <c r="U14" s="342"/>
      <c r="V14" s="100"/>
    </row>
    <row r="15" spans="1:34" x14ac:dyDescent="0.2">
      <c r="A15" s="105" t="s">
        <v>126</v>
      </c>
      <c r="B15" s="119"/>
      <c r="C15" s="116"/>
      <c r="D15" s="251"/>
      <c r="E15" s="116"/>
      <c r="F15" s="251"/>
      <c r="G15" s="252"/>
      <c r="H15" s="116"/>
      <c r="I15" s="252"/>
      <c r="J15" s="116"/>
      <c r="K15" s="117"/>
      <c r="L15" s="116"/>
      <c r="M15" s="116"/>
      <c r="N15" s="251"/>
      <c r="O15" s="116"/>
      <c r="P15" s="251"/>
      <c r="Q15" s="252"/>
      <c r="R15" s="116"/>
      <c r="S15" s="252"/>
      <c r="T15" s="116"/>
      <c r="U15" s="118"/>
      <c r="V15" s="100"/>
    </row>
    <row r="16" spans="1:34" x14ac:dyDescent="0.2">
      <c r="A16" s="105" t="s">
        <v>9</v>
      </c>
      <c r="B16" s="334">
        <f>(13.74+10.88+41.3+10.88+8.56+3.1+12.2)*1.01</f>
        <v>101.6666</v>
      </c>
      <c r="C16" s="335"/>
      <c r="D16" s="322">
        <f>52.49+46.73+69.41</f>
        <v>168.63</v>
      </c>
      <c r="E16" s="335"/>
      <c r="F16" s="322">
        <f>18.28+28.14</f>
        <v>46.42</v>
      </c>
      <c r="G16" s="323"/>
      <c r="H16" s="335">
        <f>35.32+4.84+32.16</f>
        <v>72.319999999999993</v>
      </c>
      <c r="I16" s="323"/>
      <c r="J16" s="335">
        <f>16.38</f>
        <v>16.38</v>
      </c>
      <c r="K16" s="410"/>
      <c r="L16" s="334">
        <f>(13.74+10.88+41.3+10.88+8.56+2.24+10.86)*1.01</f>
        <v>99.444599999999994</v>
      </c>
      <c r="M16" s="335"/>
      <c r="N16" s="322">
        <f>60.83+46.73+47.32</f>
        <v>154.88</v>
      </c>
      <c r="O16" s="335"/>
      <c r="P16" s="322">
        <f>18.28+27.83</f>
        <v>46.11</v>
      </c>
      <c r="Q16" s="323"/>
      <c r="R16" s="335">
        <f>30.94+4.84</f>
        <v>35.78</v>
      </c>
      <c r="S16" s="323"/>
      <c r="T16" s="335">
        <v>16.38</v>
      </c>
      <c r="U16" s="342"/>
      <c r="V16" s="100"/>
    </row>
    <row r="17" spans="1:42" x14ac:dyDescent="0.2">
      <c r="A17" s="105" t="s">
        <v>173</v>
      </c>
      <c r="B17" s="334"/>
      <c r="C17" s="335"/>
      <c r="D17" s="251"/>
      <c r="E17" s="116"/>
      <c r="F17" s="251"/>
      <c r="G17" s="252"/>
      <c r="H17" s="116"/>
      <c r="I17" s="252"/>
      <c r="J17" s="116"/>
      <c r="K17" s="117"/>
      <c r="L17" s="334"/>
      <c r="M17" s="335"/>
      <c r="N17" s="251"/>
      <c r="O17" s="116"/>
      <c r="P17" s="251"/>
      <c r="Q17" s="252"/>
      <c r="R17" s="116"/>
      <c r="S17" s="252"/>
      <c r="T17" s="116"/>
      <c r="U17" s="118"/>
      <c r="V17" s="100"/>
    </row>
    <row r="18" spans="1:42" x14ac:dyDescent="0.2">
      <c r="A18" s="105" t="s">
        <v>175</v>
      </c>
      <c r="B18" s="334">
        <f>Conventional!B17</f>
        <v>15</v>
      </c>
      <c r="C18" s="335"/>
      <c r="D18" s="322">
        <f>Conventional!D17</f>
        <v>15</v>
      </c>
      <c r="E18" s="323"/>
      <c r="F18" s="251"/>
      <c r="G18" s="252"/>
      <c r="H18" s="116"/>
      <c r="I18" s="252"/>
      <c r="J18" s="116"/>
      <c r="K18" s="117"/>
      <c r="L18" s="334">
        <f>Conventional!L17</f>
        <v>15</v>
      </c>
      <c r="M18" s="335"/>
      <c r="N18" s="322">
        <f>Conventional!N17</f>
        <v>15</v>
      </c>
      <c r="O18" s="323"/>
      <c r="P18" s="251"/>
      <c r="Q18" s="252"/>
      <c r="R18" s="116"/>
      <c r="S18" s="252"/>
      <c r="T18" s="116"/>
      <c r="U18" s="118"/>
      <c r="V18" s="100"/>
    </row>
    <row r="19" spans="1:42" x14ac:dyDescent="0.2">
      <c r="A19" s="105" t="s">
        <v>10</v>
      </c>
      <c r="B19" s="334">
        <f>Conventional!B18</f>
        <v>10</v>
      </c>
      <c r="C19" s="335"/>
      <c r="D19" s="322">
        <f>Conventional!D18</f>
        <v>10</v>
      </c>
      <c r="E19" s="323"/>
      <c r="F19" s="251"/>
      <c r="G19" s="252"/>
      <c r="H19" s="116"/>
      <c r="I19" s="252"/>
      <c r="J19" s="116"/>
      <c r="K19" s="117"/>
      <c r="L19" s="334">
        <f>Conventional!L18</f>
        <v>10</v>
      </c>
      <c r="M19" s="335"/>
      <c r="N19" s="322">
        <f>Conventional!N18</f>
        <v>10</v>
      </c>
      <c r="O19" s="323"/>
      <c r="P19" s="251"/>
      <c r="Q19" s="252"/>
      <c r="R19" s="116"/>
      <c r="S19" s="252"/>
      <c r="T19" s="116"/>
      <c r="U19" s="118"/>
      <c r="V19" s="100"/>
    </row>
    <row r="20" spans="1:42" x14ac:dyDescent="0.2">
      <c r="A20" s="105" t="s">
        <v>32</v>
      </c>
      <c r="B20" s="334">
        <f>10.88*$B$49</f>
        <v>19.584000000000003</v>
      </c>
      <c r="C20" s="335"/>
      <c r="D20" s="322">
        <f>(5.2+7.9)*$B$49</f>
        <v>23.580000000000002</v>
      </c>
      <c r="E20" s="335"/>
      <c r="F20" s="322">
        <f>5.9*$B$49</f>
        <v>10.620000000000001</v>
      </c>
      <c r="G20" s="323"/>
      <c r="H20" s="335">
        <f>5.5*$B$49</f>
        <v>9.9</v>
      </c>
      <c r="I20" s="323"/>
      <c r="J20" s="335">
        <f>5.9*$B$49</f>
        <v>10.620000000000001</v>
      </c>
      <c r="K20" s="410"/>
      <c r="L20" s="334">
        <f>10.61*$B$49</f>
        <v>19.097999999999999</v>
      </c>
      <c r="M20" s="335"/>
      <c r="N20" s="322">
        <f>(5.2+7.9)*$B$49</f>
        <v>23.580000000000002</v>
      </c>
      <c r="O20" s="335"/>
      <c r="P20" s="322">
        <f>5.9*$B$49</f>
        <v>10.620000000000001</v>
      </c>
      <c r="Q20" s="323"/>
      <c r="R20" s="335">
        <f>5.5*$B$49</f>
        <v>9.9</v>
      </c>
      <c r="S20" s="323"/>
      <c r="T20" s="335">
        <f>5.9*$B$49</f>
        <v>10.620000000000001</v>
      </c>
      <c r="U20" s="342"/>
      <c r="V20" s="100"/>
    </row>
    <row r="21" spans="1:42" x14ac:dyDescent="0.2">
      <c r="A21" s="105" t="s">
        <v>11</v>
      </c>
      <c r="B21" s="334">
        <f>1.02*28.95</f>
        <v>29.529</v>
      </c>
      <c r="C21" s="335"/>
      <c r="D21" s="322">
        <f>10.83+26.75</f>
        <v>37.58</v>
      </c>
      <c r="E21" s="335"/>
      <c r="F21" s="322">
        <f>8.04+7.64</f>
        <v>15.68</v>
      </c>
      <c r="G21" s="323"/>
      <c r="H21" s="322">
        <f>6.86+6.98</f>
        <v>13.84</v>
      </c>
      <c r="I21" s="323"/>
      <c r="J21" s="335">
        <f>8.04+6.65</f>
        <v>14.69</v>
      </c>
      <c r="K21" s="342"/>
      <c r="L21" s="334">
        <f>1.02*28.95</f>
        <v>29.529</v>
      </c>
      <c r="M21" s="335"/>
      <c r="N21" s="322">
        <f>10.83+26.75</f>
        <v>37.58</v>
      </c>
      <c r="O21" s="335"/>
      <c r="P21" s="322">
        <f>8.04+7.64</f>
        <v>15.68</v>
      </c>
      <c r="Q21" s="323"/>
      <c r="R21" s="335">
        <f>6.86+6.98</f>
        <v>13.84</v>
      </c>
      <c r="S21" s="323"/>
      <c r="T21" s="335">
        <f>8.04+6.65</f>
        <v>14.69</v>
      </c>
      <c r="U21" s="342"/>
      <c r="V21" s="100"/>
      <c r="AJ21" s="100"/>
      <c r="AK21" s="100"/>
      <c r="AL21" s="100"/>
      <c r="AM21" s="100"/>
      <c r="AN21" s="100"/>
      <c r="AO21" s="100"/>
      <c r="AP21" s="100"/>
    </row>
    <row r="22" spans="1:42" x14ac:dyDescent="0.2">
      <c r="A22" s="105" t="s">
        <v>33</v>
      </c>
      <c r="B22" s="334">
        <f>((7*7)+(5*$B$49*7))/2</f>
        <v>56</v>
      </c>
      <c r="C22" s="335"/>
      <c r="D22" s="322">
        <f>((7*5)+(5*$B$49*5))/2</f>
        <v>40</v>
      </c>
      <c r="E22" s="335"/>
      <c r="F22" s="322">
        <f>((7*7)+(5*$B$49*7))/2</f>
        <v>56</v>
      </c>
      <c r="G22" s="323"/>
      <c r="H22" s="335">
        <f>((7*4)+(5*$B$49*4))/2</f>
        <v>32</v>
      </c>
      <c r="I22" s="323"/>
      <c r="J22" s="335">
        <f>((7*3)+(5*$B$49*3))/2</f>
        <v>24</v>
      </c>
      <c r="K22" s="410"/>
      <c r="L22" s="116"/>
      <c r="M22" s="116"/>
      <c r="N22" s="251"/>
      <c r="O22" s="116"/>
      <c r="P22" s="251"/>
      <c r="Q22" s="252"/>
      <c r="R22" s="116"/>
      <c r="S22" s="252"/>
      <c r="T22" s="116"/>
      <c r="U22" s="118"/>
      <c r="V22" s="100"/>
    </row>
    <row r="23" spans="1:42" x14ac:dyDescent="0.2">
      <c r="A23" s="105" t="s">
        <v>13</v>
      </c>
      <c r="B23" s="334">
        <v>20.91</v>
      </c>
      <c r="C23" s="335"/>
      <c r="D23" s="322">
        <v>25.47</v>
      </c>
      <c r="E23" s="335"/>
      <c r="F23" s="322">
        <v>10.35</v>
      </c>
      <c r="G23" s="323"/>
      <c r="H23" s="335">
        <v>9.34</v>
      </c>
      <c r="I23" s="323"/>
      <c r="J23" s="335">
        <v>10.35</v>
      </c>
      <c r="K23" s="342"/>
      <c r="L23" s="334">
        <v>18.55</v>
      </c>
      <c r="M23" s="335"/>
      <c r="N23" s="322">
        <v>25.47</v>
      </c>
      <c r="O23" s="335"/>
      <c r="P23" s="322">
        <v>10.35</v>
      </c>
      <c r="Q23" s="323"/>
      <c r="R23" s="335">
        <v>9.34</v>
      </c>
      <c r="S23" s="323"/>
      <c r="T23" s="335">
        <v>10.35</v>
      </c>
      <c r="U23" s="342"/>
      <c r="V23" s="100"/>
    </row>
    <row r="24" spans="1:42" x14ac:dyDescent="0.2">
      <c r="A24" s="105" t="s">
        <v>14</v>
      </c>
      <c r="B24" s="334">
        <f>Conventional!B23</f>
        <v>25</v>
      </c>
      <c r="C24" s="335"/>
      <c r="D24" s="322">
        <f>Conventional!D23</f>
        <v>21</v>
      </c>
      <c r="E24" s="335"/>
      <c r="F24" s="322">
        <v>14</v>
      </c>
      <c r="G24" s="323"/>
      <c r="H24" s="335">
        <f>Conventional!H23</f>
        <v>8</v>
      </c>
      <c r="I24" s="323"/>
      <c r="J24" s="335">
        <f>Conventional!J23</f>
        <v>21</v>
      </c>
      <c r="K24" s="410"/>
      <c r="L24" s="116">
        <f>Conventional!L23</f>
        <v>30</v>
      </c>
      <c r="M24" s="116"/>
      <c r="N24" s="322">
        <f>Conventional!N23</f>
        <v>29</v>
      </c>
      <c r="O24" s="335"/>
      <c r="P24" s="322">
        <v>23</v>
      </c>
      <c r="Q24" s="323"/>
      <c r="R24" s="335">
        <f>Conventional!R23</f>
        <v>14</v>
      </c>
      <c r="S24" s="323"/>
      <c r="T24" s="335">
        <f>Conventional!T23</f>
        <v>17</v>
      </c>
      <c r="U24" s="342"/>
      <c r="V24" s="100"/>
    </row>
    <row r="25" spans="1:42" x14ac:dyDescent="0.2">
      <c r="A25" s="105" t="s">
        <v>127</v>
      </c>
      <c r="B25" s="119"/>
      <c r="C25" s="116"/>
      <c r="D25" s="251"/>
      <c r="E25" s="116"/>
      <c r="F25" s="251"/>
      <c r="G25" s="252"/>
      <c r="H25" s="116"/>
      <c r="I25" s="252"/>
      <c r="J25" s="116"/>
      <c r="K25" s="117"/>
      <c r="L25" s="116"/>
      <c r="M25" s="116"/>
      <c r="N25" s="251"/>
      <c r="O25" s="116"/>
      <c r="P25" s="251"/>
      <c r="Q25" s="252"/>
      <c r="R25" s="116"/>
      <c r="S25" s="252"/>
      <c r="T25" s="116"/>
      <c r="U25" s="118"/>
      <c r="V25" s="100"/>
    </row>
    <row r="26" spans="1:42" x14ac:dyDescent="0.2">
      <c r="A26" s="105" t="s">
        <v>16</v>
      </c>
      <c r="B26" s="119"/>
      <c r="C26" s="116"/>
      <c r="D26" s="251"/>
      <c r="E26" s="116"/>
      <c r="F26" s="251"/>
      <c r="G26" s="252"/>
      <c r="H26" s="116"/>
      <c r="I26" s="252"/>
      <c r="J26" s="116"/>
      <c r="K26" s="117"/>
      <c r="L26" s="116"/>
      <c r="M26" s="116"/>
      <c r="N26" s="251"/>
      <c r="O26" s="116"/>
      <c r="P26" s="251"/>
      <c r="Q26" s="252"/>
      <c r="R26" s="116"/>
      <c r="S26" s="252"/>
      <c r="T26" s="116"/>
      <c r="U26" s="118"/>
      <c r="V26" s="100"/>
    </row>
    <row r="27" spans="1:42" x14ac:dyDescent="0.2">
      <c r="A27" s="105" t="s">
        <v>17</v>
      </c>
      <c r="B27" s="374">
        <f t="shared" ref="B27:T27" si="0">(SUM(B11:B26))*0.5*0.065</f>
        <v>17.181455909090911</v>
      </c>
      <c r="C27" s="353"/>
      <c r="D27" s="398">
        <f t="shared" si="0"/>
        <v>16.339700000000001</v>
      </c>
      <c r="E27" s="353"/>
      <c r="F27" s="398">
        <f t="shared" si="0"/>
        <v>16.964025000000003</v>
      </c>
      <c r="G27" s="399"/>
      <c r="H27" s="353">
        <f t="shared" si="0"/>
        <v>8.5878988000000014</v>
      </c>
      <c r="I27" s="399"/>
      <c r="J27" s="353">
        <f t="shared" si="0"/>
        <v>8.5179250000000017</v>
      </c>
      <c r="K27" s="411"/>
      <c r="L27" s="374">
        <f t="shared" si="0"/>
        <v>13.90344194318182</v>
      </c>
      <c r="M27" s="353"/>
      <c r="N27" s="398">
        <f t="shared" si="0"/>
        <v>14.852825000000001</v>
      </c>
      <c r="O27" s="353"/>
      <c r="P27" s="398">
        <f t="shared" si="0"/>
        <v>8.5544023500000019</v>
      </c>
      <c r="Q27" s="399"/>
      <c r="R27" s="353">
        <f t="shared" si="0"/>
        <v>6.5555740250000012</v>
      </c>
      <c r="S27" s="399"/>
      <c r="T27" s="353">
        <f t="shared" si="0"/>
        <v>5.6141184124999999</v>
      </c>
      <c r="U27" s="354"/>
      <c r="V27" s="100"/>
    </row>
    <row r="28" spans="1:42" x14ac:dyDescent="0.2">
      <c r="A28" s="105" t="s">
        <v>172</v>
      </c>
      <c r="B28" s="374">
        <f>(B7*0.08)+(B7/495*16.75)-(1.253*B7/2000*175)</f>
        <v>5.0410606060606256</v>
      </c>
      <c r="C28" s="353"/>
      <c r="D28" s="253"/>
      <c r="E28" s="120"/>
      <c r="F28" s="253"/>
      <c r="G28" s="254"/>
      <c r="H28" s="120"/>
      <c r="I28" s="254"/>
      <c r="J28" s="120"/>
      <c r="K28" s="121"/>
      <c r="L28" s="374">
        <f>(L7*0.08)+(L7/495*16.75)-(1.253*L7/2000*175)</f>
        <v>3.1506628787878839</v>
      </c>
      <c r="M28" s="353"/>
      <c r="N28" s="253"/>
      <c r="O28" s="120"/>
      <c r="P28" s="253"/>
      <c r="Q28" s="254"/>
      <c r="R28" s="120"/>
      <c r="S28" s="254"/>
      <c r="T28" s="120"/>
      <c r="U28" s="122"/>
      <c r="V28" s="100"/>
    </row>
    <row r="29" spans="1:42" x14ac:dyDescent="0.2">
      <c r="A29" s="105" t="s">
        <v>15</v>
      </c>
      <c r="B29" s="123"/>
      <c r="C29" s="120"/>
      <c r="D29" s="398">
        <f>D7/2000*0.33*20+D7/2000*0.67*30</f>
        <v>62.745000000000005</v>
      </c>
      <c r="E29" s="353"/>
      <c r="F29" s="398">
        <f>F7*1.0975*0.28</f>
        <v>61.46</v>
      </c>
      <c r="G29" s="399"/>
      <c r="H29" s="120"/>
      <c r="I29" s="254"/>
      <c r="J29" s="353">
        <f>J7*1.0975*0.28</f>
        <v>30.73</v>
      </c>
      <c r="K29" s="411"/>
      <c r="L29" s="120"/>
      <c r="M29" s="120"/>
      <c r="N29" s="398">
        <f>N7/2000*0.33*20+N7/2000*0.67*30</f>
        <v>45.39</v>
      </c>
      <c r="O29" s="353"/>
      <c r="P29" s="398">
        <f>P7*1.0975*0.28</f>
        <v>26.1205</v>
      </c>
      <c r="Q29" s="399"/>
      <c r="R29" s="120"/>
      <c r="S29" s="254"/>
      <c r="T29" s="353">
        <f>T7*1.0975*0.28</f>
        <v>19.974499999999999</v>
      </c>
      <c r="U29" s="354"/>
      <c r="V29" s="100"/>
    </row>
    <row r="30" spans="1:42" x14ac:dyDescent="0.2">
      <c r="A30" s="105" t="s">
        <v>18</v>
      </c>
      <c r="B30" s="123"/>
      <c r="C30" s="120"/>
      <c r="D30" s="407">
        <f>D7/2000*3+D7/2000*355*0.01</f>
        <v>15.3925</v>
      </c>
      <c r="E30" s="337"/>
      <c r="F30" s="253"/>
      <c r="G30" s="254"/>
      <c r="H30" s="120"/>
      <c r="I30" s="254"/>
      <c r="J30" s="120"/>
      <c r="K30" s="121"/>
      <c r="L30" s="120"/>
      <c r="M30" s="120"/>
      <c r="N30" s="407">
        <f>N7/2000*3+N7/2000*355*0.01</f>
        <v>11.135</v>
      </c>
      <c r="O30" s="337"/>
      <c r="P30" s="253"/>
      <c r="Q30" s="254"/>
      <c r="R30" s="120"/>
      <c r="S30" s="254"/>
      <c r="T30" s="120"/>
      <c r="U30" s="124"/>
      <c r="V30" s="100"/>
    </row>
    <row r="31" spans="1:42" ht="13.5" thickBot="1" x14ac:dyDescent="0.25">
      <c r="A31" s="125" t="s">
        <v>158</v>
      </c>
      <c r="B31" s="349">
        <f t="shared" ref="B31:T31" si="1">SUM(B11:B30)</f>
        <v>550.88269833333334</v>
      </c>
      <c r="C31" s="348"/>
      <c r="D31" s="402">
        <f t="shared" si="1"/>
        <v>597.23720000000003</v>
      </c>
      <c r="E31" s="348"/>
      <c r="F31" s="402">
        <f t="shared" si="1"/>
        <v>600.39402500000006</v>
      </c>
      <c r="G31" s="403"/>
      <c r="H31" s="348">
        <f t="shared" si="1"/>
        <v>272.83093880000001</v>
      </c>
      <c r="I31" s="403"/>
      <c r="J31" s="348">
        <f t="shared" si="1"/>
        <v>301.33792500000004</v>
      </c>
      <c r="K31" s="397"/>
      <c r="L31" s="349">
        <f t="shared" si="1"/>
        <v>444.85231845833334</v>
      </c>
      <c r="M31" s="348"/>
      <c r="N31" s="402">
        <f t="shared" si="1"/>
        <v>528.38782500000002</v>
      </c>
      <c r="O31" s="348"/>
      <c r="P31" s="402">
        <f t="shared" si="1"/>
        <v>297.88728235000002</v>
      </c>
      <c r="Q31" s="403"/>
      <c r="R31" s="348">
        <f t="shared" si="1"/>
        <v>208.26554402500003</v>
      </c>
      <c r="S31" s="403"/>
      <c r="T31" s="348">
        <f t="shared" si="1"/>
        <v>198.33072341249999</v>
      </c>
      <c r="U31" s="351"/>
      <c r="V31" s="100"/>
    </row>
    <row r="32" spans="1:42" x14ac:dyDescent="0.2">
      <c r="A32" s="126" t="s">
        <v>164</v>
      </c>
      <c r="B32" s="375">
        <f t="shared" ref="B32:T32" si="2">B9-B31</f>
        <v>289.11730166666666</v>
      </c>
      <c r="C32" s="357"/>
      <c r="D32" s="400">
        <f t="shared" si="2"/>
        <v>272.01280000000008</v>
      </c>
      <c r="E32" s="357"/>
      <c r="F32" s="400">
        <f t="shared" si="2"/>
        <v>249.60597499999994</v>
      </c>
      <c r="G32" s="401"/>
      <c r="H32" s="357">
        <f t="shared" si="2"/>
        <v>243.16906119999999</v>
      </c>
      <c r="I32" s="401"/>
      <c r="J32" s="357">
        <f t="shared" si="2"/>
        <v>102.66207499999996</v>
      </c>
      <c r="K32" s="416"/>
      <c r="L32" s="375">
        <f t="shared" si="2"/>
        <v>80.147681541666657</v>
      </c>
      <c r="M32" s="357"/>
      <c r="N32" s="400">
        <f t="shared" si="2"/>
        <v>101.36217499999998</v>
      </c>
      <c r="O32" s="357"/>
      <c r="P32" s="400">
        <f t="shared" si="2"/>
        <v>63.362717649999979</v>
      </c>
      <c r="Q32" s="401"/>
      <c r="R32" s="357">
        <f t="shared" si="2"/>
        <v>49.734455974999975</v>
      </c>
      <c r="S32" s="401"/>
      <c r="T32" s="357">
        <f t="shared" si="2"/>
        <v>64.26927658750003</v>
      </c>
      <c r="U32" s="358"/>
      <c r="V32" s="100"/>
    </row>
    <row r="33" spans="1:34" x14ac:dyDescent="0.2">
      <c r="A33" s="127" t="s">
        <v>125</v>
      </c>
      <c r="B33" s="128">
        <f>B31/B7</f>
        <v>0.45906891527777777</v>
      </c>
      <c r="C33" s="129" t="s">
        <v>160</v>
      </c>
      <c r="D33" s="239">
        <f>D31/D7*2000</f>
        <v>254.14348936170211</v>
      </c>
      <c r="E33" s="129" t="s">
        <v>161</v>
      </c>
      <c r="F33" s="240">
        <f>F31/F7</f>
        <v>3.0019701250000002</v>
      </c>
      <c r="G33" s="238" t="s">
        <v>163</v>
      </c>
      <c r="H33" s="130">
        <f>H31/H7</f>
        <v>4.5471823133333338</v>
      </c>
      <c r="I33" s="238" t="s">
        <v>163</v>
      </c>
      <c r="J33" s="130">
        <f>J31/J7</f>
        <v>3.0133792500000003</v>
      </c>
      <c r="K33" s="131" t="s">
        <v>163</v>
      </c>
      <c r="L33" s="130">
        <f>L31/L7</f>
        <v>0.59313642461111116</v>
      </c>
      <c r="M33" s="129" t="s">
        <v>160</v>
      </c>
      <c r="N33" s="260">
        <f>N31/N7*2000</f>
        <v>310.81636764705883</v>
      </c>
      <c r="O33" s="129" t="s">
        <v>161</v>
      </c>
      <c r="P33" s="240">
        <f>P31/P7</f>
        <v>3.5045562629411768</v>
      </c>
      <c r="Q33" s="238" t="s">
        <v>163</v>
      </c>
      <c r="R33" s="130">
        <f>R31/R7</f>
        <v>6.942184800833334</v>
      </c>
      <c r="S33" s="238" t="s">
        <v>163</v>
      </c>
      <c r="T33" s="130">
        <f>T31/T7</f>
        <v>3.0512418986538461</v>
      </c>
      <c r="U33" s="132" t="s">
        <v>163</v>
      </c>
      <c r="V33" s="100"/>
    </row>
    <row r="34" spans="1:34" x14ac:dyDescent="0.2">
      <c r="A34" s="108" t="s">
        <v>165</v>
      </c>
      <c r="B34" s="123"/>
      <c r="C34" s="120"/>
      <c r="D34" s="253"/>
      <c r="E34" s="120"/>
      <c r="F34" s="253"/>
      <c r="G34" s="254"/>
      <c r="H34" s="120"/>
      <c r="I34" s="254"/>
      <c r="J34" s="120"/>
      <c r="K34" s="121"/>
      <c r="L34" s="120"/>
      <c r="M34" s="120"/>
      <c r="N34" s="253"/>
      <c r="O34" s="120"/>
      <c r="P34" s="253"/>
      <c r="Q34" s="254"/>
      <c r="R34" s="120"/>
      <c r="S34" s="254"/>
      <c r="T34" s="120"/>
      <c r="U34" s="122"/>
      <c r="V34" s="100"/>
    </row>
    <row r="35" spans="1:34" x14ac:dyDescent="0.2">
      <c r="A35" s="105" t="s">
        <v>19</v>
      </c>
      <c r="B35" s="334">
        <f>1.02*136</f>
        <v>138.72</v>
      </c>
      <c r="C35" s="335"/>
      <c r="D35" s="322">
        <f>29.33+81.21</f>
        <v>110.53999999999999</v>
      </c>
      <c r="E35" s="335"/>
      <c r="F35" s="322">
        <f>21.84+37.19</f>
        <v>59.03</v>
      </c>
      <c r="G35" s="323"/>
      <c r="H35" s="335">
        <f>19.53+34.13</f>
        <v>53.660000000000004</v>
      </c>
      <c r="I35" s="323"/>
      <c r="J35" s="335">
        <f>21.84+34.22</f>
        <v>56.06</v>
      </c>
      <c r="K35" s="342"/>
      <c r="L35" s="334">
        <f>1.02*136</f>
        <v>138.72</v>
      </c>
      <c r="M35" s="335"/>
      <c r="N35" s="322">
        <f>29.33+81.21</f>
        <v>110.53999999999999</v>
      </c>
      <c r="O35" s="335"/>
      <c r="P35" s="322">
        <f>21.84+37.19</f>
        <v>59.03</v>
      </c>
      <c r="Q35" s="323"/>
      <c r="R35" s="335">
        <f>19.53+34.13</f>
        <v>53.660000000000004</v>
      </c>
      <c r="S35" s="323"/>
      <c r="T35" s="335">
        <f>21.84+34.22</f>
        <v>56.06</v>
      </c>
      <c r="U35" s="342"/>
      <c r="V35" s="100"/>
    </row>
    <row r="36" spans="1:34" x14ac:dyDescent="0.2">
      <c r="A36" s="105" t="s">
        <v>12</v>
      </c>
      <c r="B36" s="334">
        <f>Conventional!B35</f>
        <v>125</v>
      </c>
      <c r="C36" s="335"/>
      <c r="D36" s="322">
        <f>Conventional!D35</f>
        <v>125</v>
      </c>
      <c r="E36" s="335"/>
      <c r="F36" s="322">
        <f>Conventional!F35</f>
        <v>125</v>
      </c>
      <c r="G36" s="323"/>
      <c r="H36" s="335">
        <f>Conventional!H35</f>
        <v>125</v>
      </c>
      <c r="I36" s="323"/>
      <c r="J36" s="335">
        <f>Conventional!J35</f>
        <v>125</v>
      </c>
      <c r="K36" s="410"/>
      <c r="L36" s="116"/>
      <c r="M36" s="116"/>
      <c r="N36" s="251"/>
      <c r="O36" s="116"/>
      <c r="P36" s="251"/>
      <c r="Q36" s="252"/>
      <c r="R36" s="116"/>
      <c r="S36" s="252"/>
      <c r="T36" s="116"/>
      <c r="U36" s="118"/>
      <c r="V36" s="100"/>
    </row>
    <row r="37" spans="1:34" x14ac:dyDescent="0.2">
      <c r="A37" s="105" t="s">
        <v>20</v>
      </c>
      <c r="B37" s="119"/>
      <c r="C37" s="116"/>
      <c r="D37" s="251"/>
      <c r="E37" s="116"/>
      <c r="F37" s="251"/>
      <c r="G37" s="252"/>
      <c r="H37" s="116"/>
      <c r="I37" s="252"/>
      <c r="J37" s="116"/>
      <c r="K37" s="117"/>
      <c r="L37" s="116"/>
      <c r="M37" s="116"/>
      <c r="N37" s="251"/>
      <c r="O37" s="116"/>
      <c r="P37" s="251"/>
      <c r="Q37" s="252"/>
      <c r="R37" s="116"/>
      <c r="S37" s="252"/>
      <c r="T37" s="116"/>
      <c r="U37" s="118"/>
      <c r="V37" s="100"/>
    </row>
    <row r="38" spans="1:34" x14ac:dyDescent="0.2">
      <c r="A38" s="105" t="s">
        <v>21</v>
      </c>
      <c r="B38" s="336">
        <f>0.05*B31</f>
        <v>27.544134916666668</v>
      </c>
      <c r="C38" s="337"/>
      <c r="D38" s="407">
        <f>0.05*D31</f>
        <v>29.861860000000004</v>
      </c>
      <c r="E38" s="337"/>
      <c r="F38" s="407">
        <f>0.05*F31</f>
        <v>30.019701250000004</v>
      </c>
      <c r="G38" s="412"/>
      <c r="H38" s="337">
        <f>0.05*H31</f>
        <v>13.641546940000001</v>
      </c>
      <c r="I38" s="412"/>
      <c r="J38" s="337">
        <f>0.05*J31</f>
        <v>15.066896250000003</v>
      </c>
      <c r="K38" s="414"/>
      <c r="L38" s="336">
        <f>0.05*L31</f>
        <v>22.24261592291667</v>
      </c>
      <c r="M38" s="337"/>
      <c r="N38" s="407">
        <f>0.05*N31</f>
        <v>26.419391250000004</v>
      </c>
      <c r="O38" s="337"/>
      <c r="P38" s="407">
        <f>0.05*P31</f>
        <v>14.894364117500002</v>
      </c>
      <c r="Q38" s="412"/>
      <c r="R38" s="337">
        <f>0.05*R31</f>
        <v>10.413277201250002</v>
      </c>
      <c r="S38" s="412"/>
      <c r="T38" s="337">
        <f>0.05*T31</f>
        <v>9.916536170625001</v>
      </c>
      <c r="U38" s="346"/>
      <c r="V38" s="100"/>
    </row>
    <row r="39" spans="1:34" x14ac:dyDescent="0.2">
      <c r="A39" s="133" t="s">
        <v>166</v>
      </c>
      <c r="B39" s="338">
        <f>SUM(B35:B38)</f>
        <v>291.26413491666671</v>
      </c>
      <c r="C39" s="339"/>
      <c r="D39" s="405">
        <f>SUM(D35:D38)</f>
        <v>265.40186</v>
      </c>
      <c r="E39" s="339"/>
      <c r="F39" s="405">
        <f>SUM(F35:F38)</f>
        <v>214.04970125</v>
      </c>
      <c r="G39" s="413"/>
      <c r="H39" s="339">
        <f>SUM(H35:H38)</f>
        <v>192.30154694000001</v>
      </c>
      <c r="I39" s="413"/>
      <c r="J39" s="339">
        <f>SUM(J35:J38)</f>
        <v>196.12689625000002</v>
      </c>
      <c r="K39" s="415"/>
      <c r="L39" s="338">
        <f>SUM(L35:L38)</f>
        <v>160.96261592291665</v>
      </c>
      <c r="M39" s="339"/>
      <c r="N39" s="405">
        <f>SUM(N35:N38)</f>
        <v>136.95939125000001</v>
      </c>
      <c r="O39" s="339"/>
      <c r="P39" s="405">
        <f>SUM(P35:P38)</f>
        <v>73.924364117500005</v>
      </c>
      <c r="Q39" s="413"/>
      <c r="R39" s="339">
        <f>SUM(R35:R38)</f>
        <v>64.073277201250008</v>
      </c>
      <c r="S39" s="413"/>
      <c r="T39" s="339">
        <f>SUM(T35:T38)</f>
        <v>65.976536170624996</v>
      </c>
      <c r="U39" s="345"/>
      <c r="V39" s="100"/>
    </row>
    <row r="40" spans="1:34" x14ac:dyDescent="0.2">
      <c r="A40" s="134"/>
      <c r="B40" s="135"/>
      <c r="C40" s="136"/>
      <c r="D40" s="255"/>
      <c r="E40" s="136"/>
      <c r="F40" s="255"/>
      <c r="G40" s="256"/>
      <c r="H40" s="136"/>
      <c r="I40" s="256"/>
      <c r="J40" s="136"/>
      <c r="K40" s="137"/>
      <c r="L40" s="136"/>
      <c r="M40" s="136"/>
      <c r="N40" s="255"/>
      <c r="O40" s="136"/>
      <c r="P40" s="255"/>
      <c r="Q40" s="256"/>
      <c r="R40" s="136"/>
      <c r="S40" s="256"/>
      <c r="T40" s="136"/>
      <c r="U40" s="138"/>
      <c r="V40" s="100"/>
    </row>
    <row r="41" spans="1:34" ht="13.5" thickBot="1" x14ac:dyDescent="0.25">
      <c r="A41" s="139" t="s">
        <v>167</v>
      </c>
      <c r="B41" s="349">
        <f>B39+B31</f>
        <v>842.1468332500001</v>
      </c>
      <c r="C41" s="348"/>
      <c r="D41" s="402">
        <f>D39+D31</f>
        <v>862.63905999999997</v>
      </c>
      <c r="E41" s="348"/>
      <c r="F41" s="402">
        <f>F39+F31</f>
        <v>814.44372625000005</v>
      </c>
      <c r="G41" s="403"/>
      <c r="H41" s="348">
        <f>H39+H31</f>
        <v>465.13248573999999</v>
      </c>
      <c r="I41" s="403"/>
      <c r="J41" s="348">
        <f>J39+J31</f>
        <v>497.46482125000006</v>
      </c>
      <c r="K41" s="397"/>
      <c r="L41" s="349">
        <f>L39+L31</f>
        <v>605.81493438124994</v>
      </c>
      <c r="M41" s="348"/>
      <c r="N41" s="402">
        <f>N39+N31</f>
        <v>665.34721624999997</v>
      </c>
      <c r="O41" s="348"/>
      <c r="P41" s="402">
        <f>P39+P31</f>
        <v>371.81164646750005</v>
      </c>
      <c r="Q41" s="403"/>
      <c r="R41" s="348">
        <f>R39+R31</f>
        <v>272.33882122625005</v>
      </c>
      <c r="S41" s="403"/>
      <c r="T41" s="348">
        <f>T39+T31</f>
        <v>264.30725958312496</v>
      </c>
      <c r="U41" s="351"/>
      <c r="V41" s="100"/>
    </row>
    <row r="42" spans="1:34" ht="13.5" thickBot="1" x14ac:dyDescent="0.25">
      <c r="A42" s="140" t="s">
        <v>168</v>
      </c>
      <c r="B42" s="340">
        <f>B9-B41</f>
        <v>-2.1468332500000997</v>
      </c>
      <c r="C42" s="341"/>
      <c r="D42" s="408">
        <f>D9-D41</f>
        <v>6.6109400000001415</v>
      </c>
      <c r="E42" s="341"/>
      <c r="F42" s="408">
        <f>F9-F41</f>
        <v>35.556273749999946</v>
      </c>
      <c r="G42" s="409"/>
      <c r="H42" s="341">
        <f>H9-H41</f>
        <v>50.867514260000007</v>
      </c>
      <c r="I42" s="409"/>
      <c r="J42" s="341">
        <f>J9-J41</f>
        <v>-93.464821250000057</v>
      </c>
      <c r="K42" s="396"/>
      <c r="L42" s="340">
        <f>L9-L41</f>
        <v>-80.814934381249941</v>
      </c>
      <c r="M42" s="341"/>
      <c r="N42" s="408">
        <f>N9-N41</f>
        <v>-35.597216249999974</v>
      </c>
      <c r="O42" s="341"/>
      <c r="P42" s="408">
        <f>P9-P41</f>
        <v>-10.561646467500054</v>
      </c>
      <c r="Q42" s="409"/>
      <c r="R42" s="341">
        <f>R9-R41</f>
        <v>-14.338821226250047</v>
      </c>
      <c r="S42" s="409"/>
      <c r="T42" s="341">
        <f>T9-T41</f>
        <v>-1.7072595831249373</v>
      </c>
      <c r="U42" s="352"/>
      <c r="V42" s="100"/>
    </row>
    <row r="43" spans="1:34" ht="13.5" thickTop="1" x14ac:dyDescent="0.2">
      <c r="A43" s="105"/>
      <c r="B43" s="141"/>
      <c r="C43" s="142"/>
      <c r="D43" s="257"/>
      <c r="E43" s="142"/>
      <c r="F43" s="257"/>
      <c r="G43" s="258"/>
      <c r="H43" s="142"/>
      <c r="I43" s="258"/>
      <c r="J43" s="142"/>
      <c r="K43" s="143"/>
      <c r="L43" s="142"/>
      <c r="M43" s="142"/>
      <c r="N43" s="257"/>
      <c r="O43" s="142"/>
      <c r="P43" s="257"/>
      <c r="Q43" s="258"/>
      <c r="R43" s="142"/>
      <c r="S43" s="258"/>
      <c r="T43" s="142"/>
      <c r="U43" s="144"/>
      <c r="V43" s="100"/>
    </row>
    <row r="44" spans="1:34" x14ac:dyDescent="0.2">
      <c r="A44" s="127" t="s">
        <v>34</v>
      </c>
      <c r="B44" s="145">
        <f>B41/B7</f>
        <v>0.7017890277083334</v>
      </c>
      <c r="C44" s="146" t="s">
        <v>160</v>
      </c>
      <c r="D44" s="242">
        <f>D41/D7*2000</f>
        <v>367.08045106382974</v>
      </c>
      <c r="E44" s="129" t="s">
        <v>161</v>
      </c>
      <c r="F44" s="243">
        <f>F41/F7</f>
        <v>4.0722186312500002</v>
      </c>
      <c r="G44" s="238" t="s">
        <v>163</v>
      </c>
      <c r="H44" s="147">
        <f>H41/H7</f>
        <v>7.7522080956666661</v>
      </c>
      <c r="I44" s="238" t="s">
        <v>163</v>
      </c>
      <c r="J44" s="147">
        <f>J41/J7</f>
        <v>4.9746482125000009</v>
      </c>
      <c r="K44" s="131" t="s">
        <v>163</v>
      </c>
      <c r="L44" s="147">
        <f>L41/L7</f>
        <v>0.80775324584166663</v>
      </c>
      <c r="M44" s="146" t="s">
        <v>160</v>
      </c>
      <c r="N44" s="242">
        <f>N41/N7*2000</f>
        <v>391.38071544117645</v>
      </c>
      <c r="O44" s="129" t="s">
        <v>161</v>
      </c>
      <c r="P44" s="243">
        <f>P41/P7</f>
        <v>4.3742546643235301</v>
      </c>
      <c r="Q44" s="238" t="s">
        <v>163</v>
      </c>
      <c r="R44" s="147">
        <f>R41/R7</f>
        <v>9.0779607075416688</v>
      </c>
      <c r="S44" s="238" t="s">
        <v>163</v>
      </c>
      <c r="T44" s="147">
        <f>T41/T7</f>
        <v>4.0662655320480763</v>
      </c>
      <c r="U44" s="132" t="s">
        <v>163</v>
      </c>
      <c r="V44" s="100"/>
    </row>
    <row r="45" spans="1:34" x14ac:dyDescent="0.2">
      <c r="A45" s="148" t="s">
        <v>169</v>
      </c>
      <c r="B45" s="149">
        <f>B41/B8</f>
        <v>1203.0669046428573</v>
      </c>
      <c r="C45" s="150" t="s">
        <v>159</v>
      </c>
      <c r="D45" s="245">
        <f>D41/D8*2000</f>
        <v>4664.2549117054932</v>
      </c>
      <c r="E45" s="150" t="s">
        <v>159</v>
      </c>
      <c r="F45" s="246">
        <f>F41/F8</f>
        <v>191.63381794117649</v>
      </c>
      <c r="G45" s="238" t="s">
        <v>162</v>
      </c>
      <c r="H45" s="151">
        <f>H41/H8</f>
        <v>54.08517276046512</v>
      </c>
      <c r="I45" s="238" t="s">
        <v>162</v>
      </c>
      <c r="J45" s="151">
        <f>J41/J8</f>
        <v>123.13485674504952</v>
      </c>
      <c r="K45" s="131" t="s">
        <v>162</v>
      </c>
      <c r="L45" s="151">
        <f>L41/L8</f>
        <v>865.44990625892854</v>
      </c>
      <c r="M45" s="150" t="s">
        <v>159</v>
      </c>
      <c r="N45" s="245">
        <f>N41/N8*2000</f>
        <v>3592.188225883287</v>
      </c>
      <c r="O45" s="150" t="s">
        <v>159</v>
      </c>
      <c r="P45" s="246">
        <f>P41/P8</f>
        <v>87.485093286470601</v>
      </c>
      <c r="Q45" s="238" t="s">
        <v>162</v>
      </c>
      <c r="R45" s="151">
        <f>R41/R8</f>
        <v>31.667304793750006</v>
      </c>
      <c r="S45" s="238" t="s">
        <v>162</v>
      </c>
      <c r="T45" s="151">
        <f>T41/T8</f>
        <v>65.422589005724006</v>
      </c>
      <c r="U45" s="132" t="s">
        <v>162</v>
      </c>
      <c r="V45" s="100"/>
    </row>
    <row r="46" spans="1:34" s="154" customFormat="1" ht="12" x14ac:dyDescent="0.2">
      <c r="A46" s="406" t="s">
        <v>178</v>
      </c>
      <c r="B46" s="406"/>
      <c r="C46" s="406"/>
      <c r="D46" s="406"/>
      <c r="E46" s="406"/>
      <c r="F46" s="153"/>
      <c r="G46" s="153"/>
      <c r="H46" s="153"/>
      <c r="I46" s="152"/>
      <c r="J46" s="153"/>
      <c r="K46" s="153"/>
      <c r="L46" s="153"/>
      <c r="M46" s="153"/>
      <c r="N46" s="153"/>
      <c r="O46" s="153"/>
      <c r="P46" s="153"/>
      <c r="Q46" s="153"/>
      <c r="R46" s="153"/>
      <c r="S46" s="153"/>
      <c r="T46" s="153"/>
      <c r="U46" s="97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</row>
    <row r="47" spans="1:34" s="96" customFormat="1" ht="12" x14ac:dyDescent="0.2">
      <c r="A47" s="97" t="s">
        <v>179</v>
      </c>
      <c r="B47" s="97"/>
      <c r="C47" s="155" t="s">
        <v>170</v>
      </c>
      <c r="D47" s="236">
        <v>0.55000000000000004</v>
      </c>
      <c r="E47" s="156" t="s">
        <v>65</v>
      </c>
      <c r="F47" s="247">
        <f>Conventional!F45</f>
        <v>0.42</v>
      </c>
      <c r="G47" s="156" t="s">
        <v>66</v>
      </c>
      <c r="H47" s="247">
        <v>0.39</v>
      </c>
      <c r="I47" s="95"/>
      <c r="J47" s="247"/>
      <c r="K47" s="236"/>
      <c r="L47" s="95"/>
      <c r="M47" s="95"/>
      <c r="N47" s="247"/>
      <c r="O47" s="236"/>
      <c r="P47" s="97"/>
      <c r="Q47" s="97"/>
      <c r="R47" s="97"/>
      <c r="S47" s="97"/>
      <c r="T47" s="97"/>
      <c r="U47" s="97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</row>
    <row r="48" spans="1:34" s="96" customFormat="1" ht="12" x14ac:dyDescent="0.2">
      <c r="A48" s="404" t="str">
        <f>Conventional!A47</f>
        <v>*** Average of diesel and electric irrigation application costs.  Electric is estimated at $7/appl and diesel is estimated at $9/appl when diesel cost $1.80/gal.</v>
      </c>
      <c r="B48" s="404"/>
      <c r="C48" s="404"/>
      <c r="D48" s="404"/>
      <c r="E48" s="404"/>
      <c r="F48" s="404"/>
      <c r="G48" s="404"/>
      <c r="H48" s="404"/>
      <c r="I48" s="404"/>
      <c r="J48" s="404"/>
      <c r="K48" s="404"/>
      <c r="L48" s="404"/>
      <c r="M48" s="404"/>
      <c r="N48" s="404"/>
      <c r="O48" s="404"/>
      <c r="P48" s="404"/>
      <c r="Q48" s="404"/>
      <c r="R48" s="404"/>
      <c r="S48" s="404"/>
      <c r="T48" s="404"/>
      <c r="U48" s="157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</row>
    <row r="49" spans="1:34" s="96" customFormat="1" ht="12" x14ac:dyDescent="0.2">
      <c r="A49" s="158" t="s">
        <v>153</v>
      </c>
      <c r="B49" s="159">
        <f>Conventional!B46</f>
        <v>1.8</v>
      </c>
      <c r="C49" s="404" t="s">
        <v>67</v>
      </c>
      <c r="D49" s="404"/>
      <c r="E49" s="158"/>
      <c r="F49" s="158"/>
      <c r="G49" s="158"/>
      <c r="H49" s="158"/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S49" s="158"/>
      <c r="T49" s="158"/>
      <c r="U49" s="158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</row>
    <row r="50" spans="1:34" s="100" customFormat="1" x14ac:dyDescent="0.2">
      <c r="A50" s="95"/>
    </row>
    <row r="51" spans="1:34" s="100" customFormat="1" x14ac:dyDescent="0.2">
      <c r="A51" s="95"/>
    </row>
    <row r="52" spans="1:34" s="100" customFormat="1" x14ac:dyDescent="0.2">
      <c r="A52" s="95"/>
    </row>
    <row r="53" spans="1:34" s="100" customFormat="1" x14ac:dyDescent="0.2">
      <c r="A53" s="95"/>
    </row>
    <row r="54" spans="1:34" s="100" customFormat="1" x14ac:dyDescent="0.2">
      <c r="A54" s="95"/>
    </row>
    <row r="55" spans="1:34" s="100" customFormat="1" x14ac:dyDescent="0.2">
      <c r="A55" s="95"/>
    </row>
    <row r="56" spans="1:34" s="100" customFormat="1" x14ac:dyDescent="0.2">
      <c r="A56" s="95"/>
    </row>
    <row r="57" spans="1:34" s="100" customFormat="1" x14ac:dyDescent="0.2">
      <c r="A57" s="95"/>
    </row>
    <row r="58" spans="1:34" s="100" customFormat="1" x14ac:dyDescent="0.2">
      <c r="A58" s="95"/>
    </row>
    <row r="59" spans="1:34" s="100" customFormat="1" x14ac:dyDescent="0.2">
      <c r="A59" s="95"/>
    </row>
    <row r="60" spans="1:34" s="100" customFormat="1" x14ac:dyDescent="0.2">
      <c r="A60" s="95"/>
    </row>
    <row r="61" spans="1:34" s="100" customFormat="1" x14ac:dyDescent="0.2">
      <c r="A61" s="95"/>
    </row>
    <row r="62" spans="1:34" s="100" customFormat="1" x14ac:dyDescent="0.2">
      <c r="A62" s="95"/>
    </row>
    <row r="63" spans="1:34" s="100" customFormat="1" x14ac:dyDescent="0.2">
      <c r="A63" s="95"/>
    </row>
    <row r="64" spans="1:34" s="100" customFormat="1" x14ac:dyDescent="0.2">
      <c r="A64" s="95"/>
    </row>
    <row r="65" spans="1:1" s="100" customFormat="1" x14ac:dyDescent="0.2">
      <c r="A65" s="95"/>
    </row>
    <row r="66" spans="1:1" s="100" customFormat="1" x14ac:dyDescent="0.2">
      <c r="A66" s="95"/>
    </row>
    <row r="67" spans="1:1" s="100" customFormat="1" x14ac:dyDescent="0.2">
      <c r="A67" s="95"/>
    </row>
    <row r="68" spans="1:1" s="100" customFormat="1" x14ac:dyDescent="0.2">
      <c r="A68" s="95"/>
    </row>
    <row r="69" spans="1:1" s="100" customFormat="1" x14ac:dyDescent="0.2">
      <c r="A69" s="95"/>
    </row>
    <row r="70" spans="1:1" s="100" customFormat="1" x14ac:dyDescent="0.2">
      <c r="A70" s="95"/>
    </row>
    <row r="71" spans="1:1" s="100" customFormat="1" x14ac:dyDescent="0.2">
      <c r="A71" s="95"/>
    </row>
    <row r="72" spans="1:1" s="100" customFormat="1" x14ac:dyDescent="0.2">
      <c r="A72" s="95"/>
    </row>
    <row r="73" spans="1:1" s="100" customFormat="1" x14ac:dyDescent="0.2">
      <c r="A73" s="95"/>
    </row>
    <row r="74" spans="1:1" s="100" customFormat="1" x14ac:dyDescent="0.2">
      <c r="A74" s="95"/>
    </row>
    <row r="75" spans="1:1" s="100" customFormat="1" x14ac:dyDescent="0.2">
      <c r="A75" s="95"/>
    </row>
    <row r="76" spans="1:1" s="100" customFormat="1" x14ac:dyDescent="0.2">
      <c r="A76" s="95"/>
    </row>
    <row r="77" spans="1:1" s="100" customFormat="1" x14ac:dyDescent="0.2">
      <c r="A77" s="95"/>
    </row>
    <row r="78" spans="1:1" s="100" customFormat="1" x14ac:dyDescent="0.2">
      <c r="A78" s="95"/>
    </row>
    <row r="79" spans="1:1" s="100" customFormat="1" x14ac:dyDescent="0.2">
      <c r="A79" s="95"/>
    </row>
    <row r="80" spans="1:1" s="100" customFormat="1" x14ac:dyDescent="0.2">
      <c r="A80" s="95"/>
    </row>
    <row r="81" spans="1:1" s="100" customFormat="1" x14ac:dyDescent="0.2">
      <c r="A81" s="95"/>
    </row>
    <row r="82" spans="1:1" s="100" customFormat="1" x14ac:dyDescent="0.2">
      <c r="A82" s="95"/>
    </row>
    <row r="83" spans="1:1" s="100" customFormat="1" x14ac:dyDescent="0.2">
      <c r="A83" s="95"/>
    </row>
    <row r="84" spans="1:1" s="100" customFormat="1" x14ac:dyDescent="0.2">
      <c r="A84" s="95"/>
    </row>
    <row r="85" spans="1:1" s="100" customFormat="1" x14ac:dyDescent="0.2">
      <c r="A85" s="95"/>
    </row>
    <row r="86" spans="1:1" s="100" customFormat="1" x14ac:dyDescent="0.2">
      <c r="A86" s="95"/>
    </row>
    <row r="87" spans="1:1" s="100" customFormat="1" x14ac:dyDescent="0.2">
      <c r="A87" s="95"/>
    </row>
    <row r="88" spans="1:1" s="100" customFormat="1" x14ac:dyDescent="0.2">
      <c r="A88" s="95"/>
    </row>
    <row r="89" spans="1:1" s="100" customFormat="1" x14ac:dyDescent="0.2">
      <c r="A89" s="95"/>
    </row>
    <row r="90" spans="1:1" s="100" customFormat="1" x14ac:dyDescent="0.2">
      <c r="A90" s="95"/>
    </row>
    <row r="91" spans="1:1" s="100" customFormat="1" x14ac:dyDescent="0.2">
      <c r="A91" s="95"/>
    </row>
    <row r="92" spans="1:1" s="100" customFormat="1" x14ac:dyDescent="0.2">
      <c r="A92" s="95"/>
    </row>
    <row r="93" spans="1:1" s="100" customFormat="1" x14ac:dyDescent="0.2">
      <c r="A93" s="95"/>
    </row>
    <row r="94" spans="1:1" s="100" customFormat="1" x14ac:dyDescent="0.2">
      <c r="A94" s="95"/>
    </row>
    <row r="95" spans="1:1" s="100" customFormat="1" x14ac:dyDescent="0.2">
      <c r="A95" s="95"/>
    </row>
    <row r="96" spans="1:1" s="100" customFormat="1" x14ac:dyDescent="0.2">
      <c r="A96" s="95"/>
    </row>
    <row r="97" spans="1:1" s="100" customFormat="1" x14ac:dyDescent="0.2">
      <c r="A97" s="95"/>
    </row>
    <row r="98" spans="1:1" s="100" customFormat="1" x14ac:dyDescent="0.2">
      <c r="A98" s="95"/>
    </row>
    <row r="99" spans="1:1" s="100" customFormat="1" x14ac:dyDescent="0.2">
      <c r="A99" s="95"/>
    </row>
    <row r="100" spans="1:1" s="100" customFormat="1" x14ac:dyDescent="0.2">
      <c r="A100" s="95"/>
    </row>
    <row r="101" spans="1:1" s="100" customFormat="1" x14ac:dyDescent="0.2">
      <c r="A101" s="95"/>
    </row>
    <row r="102" spans="1:1" s="100" customFormat="1" x14ac:dyDescent="0.2">
      <c r="A102" s="95"/>
    </row>
    <row r="103" spans="1:1" s="100" customFormat="1" x14ac:dyDescent="0.2">
      <c r="A103" s="95"/>
    </row>
    <row r="104" spans="1:1" s="100" customFormat="1" x14ac:dyDescent="0.2">
      <c r="A104" s="95"/>
    </row>
    <row r="105" spans="1:1" s="100" customFormat="1" x14ac:dyDescent="0.2">
      <c r="A105" s="95"/>
    </row>
    <row r="106" spans="1:1" s="100" customFormat="1" x14ac:dyDescent="0.2">
      <c r="A106" s="95"/>
    </row>
    <row r="107" spans="1:1" s="100" customFormat="1" x14ac:dyDescent="0.2">
      <c r="A107" s="95"/>
    </row>
    <row r="108" spans="1:1" s="100" customFormat="1" x14ac:dyDescent="0.2">
      <c r="A108" s="95"/>
    </row>
    <row r="109" spans="1:1" s="100" customFormat="1" x14ac:dyDescent="0.2">
      <c r="A109" s="95"/>
    </row>
    <row r="110" spans="1:1" s="100" customFormat="1" x14ac:dyDescent="0.2">
      <c r="A110" s="95"/>
    </row>
    <row r="111" spans="1:1" s="100" customFormat="1" x14ac:dyDescent="0.2">
      <c r="A111" s="95"/>
    </row>
    <row r="112" spans="1:1" s="100" customFormat="1" x14ac:dyDescent="0.2">
      <c r="A112" s="95"/>
    </row>
    <row r="113" spans="1:1" s="100" customFormat="1" x14ac:dyDescent="0.2">
      <c r="A113" s="95"/>
    </row>
    <row r="114" spans="1:1" s="100" customFormat="1" x14ac:dyDescent="0.2">
      <c r="A114" s="95"/>
    </row>
    <row r="115" spans="1:1" s="100" customFormat="1" x14ac:dyDescent="0.2">
      <c r="A115" s="95"/>
    </row>
    <row r="116" spans="1:1" s="100" customFormat="1" x14ac:dyDescent="0.2">
      <c r="A116" s="95"/>
    </row>
    <row r="117" spans="1:1" s="100" customFormat="1" x14ac:dyDescent="0.2">
      <c r="A117" s="95"/>
    </row>
    <row r="118" spans="1:1" s="100" customFormat="1" x14ac:dyDescent="0.2">
      <c r="A118" s="95"/>
    </row>
    <row r="119" spans="1:1" s="100" customFormat="1" x14ac:dyDescent="0.2">
      <c r="A119" s="95"/>
    </row>
    <row r="120" spans="1:1" s="100" customFormat="1" x14ac:dyDescent="0.2">
      <c r="A120" s="95"/>
    </row>
    <row r="121" spans="1:1" s="100" customFormat="1" x14ac:dyDescent="0.2">
      <c r="A121" s="95"/>
    </row>
    <row r="122" spans="1:1" s="100" customFormat="1" x14ac:dyDescent="0.2">
      <c r="A122" s="95"/>
    </row>
    <row r="123" spans="1:1" s="100" customFormat="1" x14ac:dyDescent="0.2">
      <c r="A123" s="95"/>
    </row>
    <row r="124" spans="1:1" s="100" customFormat="1" x14ac:dyDescent="0.2">
      <c r="A124" s="95"/>
    </row>
    <row r="125" spans="1:1" s="100" customFormat="1" x14ac:dyDescent="0.2">
      <c r="A125" s="95"/>
    </row>
    <row r="126" spans="1:1" s="100" customFormat="1" x14ac:dyDescent="0.2">
      <c r="A126" s="95"/>
    </row>
    <row r="127" spans="1:1" s="100" customFormat="1" x14ac:dyDescent="0.2">
      <c r="A127" s="95"/>
    </row>
    <row r="128" spans="1:1" s="100" customFormat="1" x14ac:dyDescent="0.2">
      <c r="A128" s="95"/>
    </row>
    <row r="129" spans="1:1" s="100" customFormat="1" x14ac:dyDescent="0.2">
      <c r="A129" s="95"/>
    </row>
    <row r="130" spans="1:1" s="100" customFormat="1" x14ac:dyDescent="0.2">
      <c r="A130" s="95"/>
    </row>
    <row r="131" spans="1:1" s="100" customFormat="1" x14ac:dyDescent="0.2">
      <c r="A131" s="95"/>
    </row>
    <row r="132" spans="1:1" s="100" customFormat="1" x14ac:dyDescent="0.2">
      <c r="A132" s="95"/>
    </row>
    <row r="133" spans="1:1" s="100" customFormat="1" x14ac:dyDescent="0.2">
      <c r="A133" s="95"/>
    </row>
    <row r="134" spans="1:1" s="100" customFormat="1" x14ac:dyDescent="0.2">
      <c r="A134" s="95"/>
    </row>
    <row r="135" spans="1:1" s="100" customFormat="1" x14ac:dyDescent="0.2">
      <c r="A135" s="95"/>
    </row>
    <row r="136" spans="1:1" s="100" customFormat="1" x14ac:dyDescent="0.2">
      <c r="A136" s="95"/>
    </row>
    <row r="137" spans="1:1" s="100" customFormat="1" x14ac:dyDescent="0.2">
      <c r="A137" s="95"/>
    </row>
    <row r="138" spans="1:1" s="100" customFormat="1" x14ac:dyDescent="0.2">
      <c r="A138" s="95"/>
    </row>
    <row r="139" spans="1:1" s="100" customFormat="1" x14ac:dyDescent="0.2">
      <c r="A139" s="95"/>
    </row>
    <row r="140" spans="1:1" s="100" customFormat="1" x14ac:dyDescent="0.2">
      <c r="A140" s="95"/>
    </row>
    <row r="141" spans="1:1" s="100" customFormat="1" x14ac:dyDescent="0.2">
      <c r="A141" s="95"/>
    </row>
    <row r="142" spans="1:1" s="100" customFormat="1" x14ac:dyDescent="0.2">
      <c r="A142" s="95"/>
    </row>
    <row r="143" spans="1:1" s="100" customFormat="1" x14ac:dyDescent="0.2">
      <c r="A143" s="95"/>
    </row>
    <row r="144" spans="1:1" s="100" customFormat="1" x14ac:dyDescent="0.2">
      <c r="A144" s="95"/>
    </row>
    <row r="145" spans="1:1" s="100" customFormat="1" x14ac:dyDescent="0.2">
      <c r="A145" s="95"/>
    </row>
    <row r="146" spans="1:1" s="100" customFormat="1" x14ac:dyDescent="0.2">
      <c r="A146" s="95"/>
    </row>
    <row r="147" spans="1:1" s="100" customFormat="1" x14ac:dyDescent="0.2">
      <c r="A147" s="95"/>
    </row>
    <row r="148" spans="1:1" s="100" customFormat="1" x14ac:dyDescent="0.2">
      <c r="A148" s="95"/>
    </row>
    <row r="149" spans="1:1" s="100" customFormat="1" x14ac:dyDescent="0.2">
      <c r="A149" s="95"/>
    </row>
    <row r="150" spans="1:1" s="100" customFormat="1" x14ac:dyDescent="0.2">
      <c r="A150" s="95"/>
    </row>
    <row r="151" spans="1:1" s="100" customFormat="1" x14ac:dyDescent="0.2">
      <c r="A151" s="95"/>
    </row>
    <row r="152" spans="1:1" s="100" customFormat="1" x14ac:dyDescent="0.2">
      <c r="A152" s="95"/>
    </row>
    <row r="153" spans="1:1" s="100" customFormat="1" x14ac:dyDescent="0.2">
      <c r="A153" s="95"/>
    </row>
    <row r="154" spans="1:1" s="100" customFormat="1" x14ac:dyDescent="0.2">
      <c r="A154" s="95"/>
    </row>
    <row r="155" spans="1:1" s="100" customFormat="1" x14ac:dyDescent="0.2">
      <c r="A155" s="95"/>
    </row>
    <row r="156" spans="1:1" s="100" customFormat="1" x14ac:dyDescent="0.2">
      <c r="A156" s="95"/>
    </row>
    <row r="157" spans="1:1" s="100" customFormat="1" x14ac:dyDescent="0.2">
      <c r="A157" s="95"/>
    </row>
    <row r="158" spans="1:1" s="100" customFormat="1" x14ac:dyDescent="0.2">
      <c r="A158" s="95"/>
    </row>
    <row r="159" spans="1:1" s="100" customFormat="1" x14ac:dyDescent="0.2">
      <c r="A159" s="95"/>
    </row>
    <row r="160" spans="1:1" s="100" customFormat="1" x14ac:dyDescent="0.2">
      <c r="A160" s="95"/>
    </row>
    <row r="161" spans="1:1" s="100" customFormat="1" x14ac:dyDescent="0.2">
      <c r="A161" s="95"/>
    </row>
    <row r="162" spans="1:1" s="100" customFormat="1" x14ac:dyDescent="0.2">
      <c r="A162" s="95"/>
    </row>
    <row r="163" spans="1:1" s="100" customFormat="1" x14ac:dyDescent="0.2">
      <c r="A163" s="95"/>
    </row>
    <row r="164" spans="1:1" s="100" customFormat="1" x14ac:dyDescent="0.2">
      <c r="A164" s="95"/>
    </row>
    <row r="165" spans="1:1" s="100" customFormat="1" x14ac:dyDescent="0.2">
      <c r="A165" s="95"/>
    </row>
    <row r="166" spans="1:1" s="100" customFormat="1" x14ac:dyDescent="0.2">
      <c r="A166" s="95"/>
    </row>
    <row r="167" spans="1:1" s="100" customFormat="1" x14ac:dyDescent="0.2">
      <c r="A167" s="95"/>
    </row>
    <row r="168" spans="1:1" s="100" customFormat="1" x14ac:dyDescent="0.2">
      <c r="A168" s="95"/>
    </row>
    <row r="169" spans="1:1" s="100" customFormat="1" x14ac:dyDescent="0.2">
      <c r="A169" s="95"/>
    </row>
    <row r="170" spans="1:1" s="100" customFormat="1" x14ac:dyDescent="0.2">
      <c r="A170" s="95"/>
    </row>
    <row r="171" spans="1:1" s="100" customFormat="1" x14ac:dyDescent="0.2">
      <c r="A171" s="95"/>
    </row>
    <row r="172" spans="1:1" s="100" customFormat="1" x14ac:dyDescent="0.2">
      <c r="A172" s="95"/>
    </row>
    <row r="173" spans="1:1" s="100" customFormat="1" x14ac:dyDescent="0.2">
      <c r="A173" s="95"/>
    </row>
    <row r="174" spans="1:1" s="100" customFormat="1" x14ac:dyDescent="0.2">
      <c r="A174" s="95"/>
    </row>
    <row r="175" spans="1:1" s="100" customFormat="1" x14ac:dyDescent="0.2">
      <c r="A175" s="95"/>
    </row>
    <row r="176" spans="1:1" s="100" customFormat="1" x14ac:dyDescent="0.2">
      <c r="A176" s="95"/>
    </row>
    <row r="177" spans="1:1" s="100" customFormat="1" x14ac:dyDescent="0.2">
      <c r="A177" s="95"/>
    </row>
    <row r="178" spans="1:1" s="100" customFormat="1" x14ac:dyDescent="0.2">
      <c r="A178" s="95"/>
    </row>
    <row r="179" spans="1:1" s="100" customFormat="1" x14ac:dyDescent="0.2">
      <c r="A179" s="95"/>
    </row>
    <row r="180" spans="1:1" s="100" customFormat="1" x14ac:dyDescent="0.2">
      <c r="A180" s="95"/>
    </row>
    <row r="181" spans="1:1" s="100" customFormat="1" x14ac:dyDescent="0.2">
      <c r="A181" s="95"/>
    </row>
    <row r="182" spans="1:1" s="100" customFormat="1" x14ac:dyDescent="0.2">
      <c r="A182" s="95"/>
    </row>
    <row r="183" spans="1:1" s="100" customFormat="1" x14ac:dyDescent="0.2">
      <c r="A183" s="95"/>
    </row>
    <row r="184" spans="1:1" s="100" customFormat="1" x14ac:dyDescent="0.2">
      <c r="A184" s="95"/>
    </row>
    <row r="185" spans="1:1" s="100" customFormat="1" x14ac:dyDescent="0.2">
      <c r="A185" s="95"/>
    </row>
    <row r="186" spans="1:1" s="100" customFormat="1" x14ac:dyDescent="0.2">
      <c r="A186" s="95"/>
    </row>
    <row r="187" spans="1:1" s="100" customFormat="1" x14ac:dyDescent="0.2">
      <c r="A187" s="95"/>
    </row>
    <row r="188" spans="1:1" s="100" customFormat="1" x14ac:dyDescent="0.2">
      <c r="A188" s="95"/>
    </row>
    <row r="189" spans="1:1" s="100" customFormat="1" x14ac:dyDescent="0.2">
      <c r="A189" s="95"/>
    </row>
    <row r="190" spans="1:1" s="100" customFormat="1" x14ac:dyDescent="0.2">
      <c r="A190" s="95"/>
    </row>
    <row r="191" spans="1:1" s="100" customFormat="1" x14ac:dyDescent="0.2">
      <c r="A191" s="95"/>
    </row>
    <row r="192" spans="1:1" s="100" customFormat="1" x14ac:dyDescent="0.2">
      <c r="A192" s="95"/>
    </row>
    <row r="193" spans="1:1" s="100" customFormat="1" x14ac:dyDescent="0.2">
      <c r="A193" s="95"/>
    </row>
    <row r="194" spans="1:1" s="100" customFormat="1" x14ac:dyDescent="0.2">
      <c r="A194" s="95"/>
    </row>
    <row r="195" spans="1:1" s="100" customFormat="1" x14ac:dyDescent="0.2">
      <c r="A195" s="95"/>
    </row>
    <row r="196" spans="1:1" s="100" customFormat="1" x14ac:dyDescent="0.2">
      <c r="A196" s="95"/>
    </row>
    <row r="197" spans="1:1" s="100" customFormat="1" x14ac:dyDescent="0.2">
      <c r="A197" s="95"/>
    </row>
    <row r="198" spans="1:1" s="100" customFormat="1" x14ac:dyDescent="0.2">
      <c r="A198" s="95"/>
    </row>
    <row r="199" spans="1:1" s="100" customFormat="1" x14ac:dyDescent="0.2">
      <c r="A199" s="95"/>
    </row>
    <row r="200" spans="1:1" s="100" customFormat="1" x14ac:dyDescent="0.2">
      <c r="A200" s="95"/>
    </row>
    <row r="201" spans="1:1" s="100" customFormat="1" x14ac:dyDescent="0.2">
      <c r="A201" s="95"/>
    </row>
    <row r="202" spans="1:1" s="100" customFormat="1" x14ac:dyDescent="0.2">
      <c r="A202" s="95"/>
    </row>
    <row r="203" spans="1:1" s="100" customFormat="1" x14ac:dyDescent="0.2">
      <c r="A203" s="95"/>
    </row>
    <row r="204" spans="1:1" s="100" customFormat="1" x14ac:dyDescent="0.2">
      <c r="A204" s="95"/>
    </row>
    <row r="205" spans="1:1" s="100" customFormat="1" x14ac:dyDescent="0.2">
      <c r="A205" s="95"/>
    </row>
    <row r="206" spans="1:1" s="100" customFormat="1" x14ac:dyDescent="0.2">
      <c r="A206" s="95"/>
    </row>
    <row r="207" spans="1:1" s="100" customFormat="1" x14ac:dyDescent="0.2">
      <c r="A207" s="95"/>
    </row>
    <row r="208" spans="1:1" s="100" customFormat="1" x14ac:dyDescent="0.2">
      <c r="A208" s="95"/>
    </row>
    <row r="209" spans="1:1" s="100" customFormat="1" x14ac:dyDescent="0.2">
      <c r="A209" s="95"/>
    </row>
    <row r="210" spans="1:1" s="100" customFormat="1" x14ac:dyDescent="0.2">
      <c r="A210" s="95"/>
    </row>
    <row r="211" spans="1:1" s="100" customFormat="1" x14ac:dyDescent="0.2">
      <c r="A211" s="95"/>
    </row>
    <row r="212" spans="1:1" s="100" customFormat="1" x14ac:dyDescent="0.2">
      <c r="A212" s="95"/>
    </row>
    <row r="213" spans="1:1" s="100" customFormat="1" x14ac:dyDescent="0.2">
      <c r="A213" s="95"/>
    </row>
    <row r="214" spans="1:1" s="100" customFormat="1" x14ac:dyDescent="0.2">
      <c r="A214" s="95"/>
    </row>
    <row r="215" spans="1:1" s="100" customFormat="1" x14ac:dyDescent="0.2">
      <c r="A215" s="95"/>
    </row>
    <row r="216" spans="1:1" s="100" customFormat="1" x14ac:dyDescent="0.2">
      <c r="A216" s="95"/>
    </row>
    <row r="217" spans="1:1" s="100" customFormat="1" x14ac:dyDescent="0.2">
      <c r="A217" s="95"/>
    </row>
    <row r="218" spans="1:1" s="100" customFormat="1" x14ac:dyDescent="0.2">
      <c r="A218" s="95"/>
    </row>
  </sheetData>
  <sheetProtection sheet="1" objects="1" scenarios="1"/>
  <mergeCells count="218">
    <mergeCell ref="D19:E19"/>
    <mergeCell ref="N19:O19"/>
    <mergeCell ref="R9:S9"/>
    <mergeCell ref="T9:U9"/>
    <mergeCell ref="T11:U11"/>
    <mergeCell ref="B11:C11"/>
    <mergeCell ref="D11:E11"/>
    <mergeCell ref="F11:G11"/>
    <mergeCell ref="H11:I11"/>
    <mergeCell ref="D18:E18"/>
    <mergeCell ref="N18:O18"/>
    <mergeCell ref="J11:K11"/>
    <mergeCell ref="R12:S12"/>
    <mergeCell ref="L14:M14"/>
    <mergeCell ref="R11:S11"/>
    <mergeCell ref="P12:Q12"/>
    <mergeCell ref="L11:M11"/>
    <mergeCell ref="N11:O11"/>
    <mergeCell ref="P11:Q11"/>
    <mergeCell ref="H12:I12"/>
    <mergeCell ref="J12:K12"/>
    <mergeCell ref="F16:G16"/>
    <mergeCell ref="H16:I16"/>
    <mergeCell ref="J16:K16"/>
    <mergeCell ref="B4:J4"/>
    <mergeCell ref="L4:T4"/>
    <mergeCell ref="B6:C6"/>
    <mergeCell ref="D6:E6"/>
    <mergeCell ref="F6:G6"/>
    <mergeCell ref="H6:I6"/>
    <mergeCell ref="J5:K5"/>
    <mergeCell ref="T12:U12"/>
    <mergeCell ref="L13:M13"/>
    <mergeCell ref="B12:C12"/>
    <mergeCell ref="D12:E12"/>
    <mergeCell ref="F12:G12"/>
    <mergeCell ref="N9:O9"/>
    <mergeCell ref="P9:Q9"/>
    <mergeCell ref="J6:K6"/>
    <mergeCell ref="L6:M6"/>
    <mergeCell ref="N6:O6"/>
    <mergeCell ref="P6:Q6"/>
    <mergeCell ref="R6:S6"/>
    <mergeCell ref="T5:U5"/>
    <mergeCell ref="T6:U6"/>
    <mergeCell ref="L9:M9"/>
    <mergeCell ref="L12:M12"/>
    <mergeCell ref="N12:O12"/>
    <mergeCell ref="H14:I14"/>
    <mergeCell ref="F14:G14"/>
    <mergeCell ref="D14:E14"/>
    <mergeCell ref="J14:K14"/>
    <mergeCell ref="B9:C9"/>
    <mergeCell ref="D9:E9"/>
    <mergeCell ref="F9:G9"/>
    <mergeCell ref="H9:I9"/>
    <mergeCell ref="J9:K9"/>
    <mergeCell ref="T20:U20"/>
    <mergeCell ref="R20:S20"/>
    <mergeCell ref="P20:Q20"/>
    <mergeCell ref="N20:O20"/>
    <mergeCell ref="L20:M20"/>
    <mergeCell ref="B13:C13"/>
    <mergeCell ref="B14:C14"/>
    <mergeCell ref="T14:U14"/>
    <mergeCell ref="R14:S14"/>
    <mergeCell ref="P14:Q14"/>
    <mergeCell ref="N14:O14"/>
    <mergeCell ref="T16:U16"/>
    <mergeCell ref="L16:M16"/>
    <mergeCell ref="N16:O16"/>
    <mergeCell ref="P16:Q16"/>
    <mergeCell ref="R16:S16"/>
    <mergeCell ref="L17:M17"/>
    <mergeCell ref="L19:M19"/>
    <mergeCell ref="B17:C17"/>
    <mergeCell ref="B19:C19"/>
    <mergeCell ref="B18:C18"/>
    <mergeCell ref="L18:M18"/>
    <mergeCell ref="B16:C16"/>
    <mergeCell ref="D16:E16"/>
    <mergeCell ref="B20:C20"/>
    <mergeCell ref="F20:G20"/>
    <mergeCell ref="J20:K20"/>
    <mergeCell ref="L21:M21"/>
    <mergeCell ref="L23:M23"/>
    <mergeCell ref="D24:E24"/>
    <mergeCell ref="D23:E23"/>
    <mergeCell ref="D22:E22"/>
    <mergeCell ref="D21:E21"/>
    <mergeCell ref="D20:E20"/>
    <mergeCell ref="B23:C23"/>
    <mergeCell ref="B24:C24"/>
    <mergeCell ref="H20:I20"/>
    <mergeCell ref="H21:I21"/>
    <mergeCell ref="H22:I22"/>
    <mergeCell ref="H23:I23"/>
    <mergeCell ref="H24:I24"/>
    <mergeCell ref="B21:C21"/>
    <mergeCell ref="B22:C22"/>
    <mergeCell ref="R41:S41"/>
    <mergeCell ref="R42:S42"/>
    <mergeCell ref="T41:U41"/>
    <mergeCell ref="T42:U42"/>
    <mergeCell ref="L42:M42"/>
    <mergeCell ref="N41:O41"/>
    <mergeCell ref="N42:O42"/>
    <mergeCell ref="P41:Q41"/>
    <mergeCell ref="P42:Q42"/>
    <mergeCell ref="L41:M41"/>
    <mergeCell ref="T38:U38"/>
    <mergeCell ref="R38:S38"/>
    <mergeCell ref="R39:S39"/>
    <mergeCell ref="P38:Q38"/>
    <mergeCell ref="P39:Q39"/>
    <mergeCell ref="J38:K38"/>
    <mergeCell ref="J39:K39"/>
    <mergeCell ref="F31:G31"/>
    <mergeCell ref="B38:C38"/>
    <mergeCell ref="B39:C39"/>
    <mergeCell ref="L31:M31"/>
    <mergeCell ref="L32:M32"/>
    <mergeCell ref="J35:K35"/>
    <mergeCell ref="T39:U39"/>
    <mergeCell ref="H38:I38"/>
    <mergeCell ref="H39:I39"/>
    <mergeCell ref="F38:G38"/>
    <mergeCell ref="F39:G39"/>
    <mergeCell ref="D38:E38"/>
    <mergeCell ref="J36:K36"/>
    <mergeCell ref="J32:K32"/>
    <mergeCell ref="J31:K31"/>
    <mergeCell ref="H31:I31"/>
    <mergeCell ref="H32:I32"/>
    <mergeCell ref="P27:Q27"/>
    <mergeCell ref="P29:Q29"/>
    <mergeCell ref="P24:Q24"/>
    <mergeCell ref="P23:Q23"/>
    <mergeCell ref="P21:Q21"/>
    <mergeCell ref="P35:Q35"/>
    <mergeCell ref="R35:S35"/>
    <mergeCell ref="T35:U35"/>
    <mergeCell ref="T29:U29"/>
    <mergeCell ref="P31:Q31"/>
    <mergeCell ref="P32:Q32"/>
    <mergeCell ref="R31:S31"/>
    <mergeCell ref="R32:S32"/>
    <mergeCell ref="T31:U31"/>
    <mergeCell ref="T32:U32"/>
    <mergeCell ref="T27:U27"/>
    <mergeCell ref="T24:U24"/>
    <mergeCell ref="T23:U23"/>
    <mergeCell ref="T21:U21"/>
    <mergeCell ref="R21:S21"/>
    <mergeCell ref="R23:S23"/>
    <mergeCell ref="R24:S24"/>
    <mergeCell ref="R27:S27"/>
    <mergeCell ref="N38:O38"/>
    <mergeCell ref="N39:O39"/>
    <mergeCell ref="L38:M38"/>
    <mergeCell ref="J21:K21"/>
    <mergeCell ref="J22:K22"/>
    <mergeCell ref="J23:K23"/>
    <mergeCell ref="J24:K24"/>
    <mergeCell ref="N27:O27"/>
    <mergeCell ref="N29:O29"/>
    <mergeCell ref="N31:O31"/>
    <mergeCell ref="N32:O32"/>
    <mergeCell ref="N21:O21"/>
    <mergeCell ref="N23:O23"/>
    <mergeCell ref="N24:O24"/>
    <mergeCell ref="N30:O30"/>
    <mergeCell ref="N35:O35"/>
    <mergeCell ref="J27:K27"/>
    <mergeCell ref="J29:K29"/>
    <mergeCell ref="L39:M39"/>
    <mergeCell ref="L27:M27"/>
    <mergeCell ref="L28:M28"/>
    <mergeCell ref="L35:M35"/>
    <mergeCell ref="C49:D49"/>
    <mergeCell ref="D36:E36"/>
    <mergeCell ref="D35:E35"/>
    <mergeCell ref="D31:E31"/>
    <mergeCell ref="D32:E32"/>
    <mergeCell ref="B28:C28"/>
    <mergeCell ref="D39:E39"/>
    <mergeCell ref="B41:C41"/>
    <mergeCell ref="B27:C27"/>
    <mergeCell ref="A46:E46"/>
    <mergeCell ref="D29:E29"/>
    <mergeCell ref="D27:E27"/>
    <mergeCell ref="D30:E30"/>
    <mergeCell ref="B42:C42"/>
    <mergeCell ref="D41:E41"/>
    <mergeCell ref="D42:E42"/>
    <mergeCell ref="B31:C31"/>
    <mergeCell ref="B32:C32"/>
    <mergeCell ref="B35:C35"/>
    <mergeCell ref="B36:C36"/>
    <mergeCell ref="A48:T48"/>
    <mergeCell ref="F42:G42"/>
    <mergeCell ref="H41:I41"/>
    <mergeCell ref="H42:I42"/>
    <mergeCell ref="J42:K42"/>
    <mergeCell ref="H35:I35"/>
    <mergeCell ref="J41:K41"/>
    <mergeCell ref="H36:I36"/>
    <mergeCell ref="F27:G27"/>
    <mergeCell ref="F29:G29"/>
    <mergeCell ref="H27:I27"/>
    <mergeCell ref="F21:G21"/>
    <mergeCell ref="F22:G22"/>
    <mergeCell ref="F23:G23"/>
    <mergeCell ref="F24:G24"/>
    <mergeCell ref="F35:G35"/>
    <mergeCell ref="F36:G36"/>
    <mergeCell ref="F32:G32"/>
    <mergeCell ref="F41:G41"/>
  </mergeCells>
  <phoneticPr fontId="2" type="noConversion"/>
  <conditionalFormatting sqref="B42 B32 D32 D42 F42 H42 J42 L42 N42 P42 R42 T42 L32 J32 H32 F32 P32 R32 T32 N32">
    <cfRule type="cellIs" dxfId="5" priority="2" stopIfTrue="1" operator="lessThan">
      <formula>0</formula>
    </cfRule>
  </conditionalFormatting>
  <conditionalFormatting sqref="D42:E42">
    <cfRule type="cellIs" dxfId="4" priority="1" operator="lessThan">
      <formula>0</formula>
    </cfRule>
  </conditionalFormatting>
  <printOptions horizontalCentered="1" verticalCentered="1"/>
  <pageMargins left="0.5" right="0.5" top="0.5" bottom="0.5" header="0" footer="0"/>
  <pageSetup scale="88" orientation="landscape"/>
  <headerFooter>
    <oddFooter>&amp;L&amp;G</oddFooter>
  </headerFooter>
  <ignoredErrors>
    <ignoredError sqref="D9 N9 H30:H32 N44:N45 H28 D44:D45 F44:F45 H44:H45 J44:J45 L44:L45" formula="1"/>
    <ignoredError sqref="D33 N33" formula="1" unlockedFormula="1"/>
    <ignoredError sqref="D37 B37 N28 T36:T37 F19 D13 T22 F13 L22 D34 L8 J19 D28 N31:N32 D31:D32 F37 N34 T13 T19 J13 P36:P37 T8 F8 H13 H37 H19 H8 J37 J8 L36:L37 N13 N36:N37 P8 P19 P13 P22 R8 R19 R13 R22 R36:R37 R17 P17 H17 T17 J17 F17" unlockedFormula="1"/>
  </ignoredErrors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7030A0"/>
    <pageSetUpPr fitToPage="1"/>
  </sheetPr>
  <dimension ref="A1:U64"/>
  <sheetViews>
    <sheetView topLeftCell="A9" zoomScale="160" zoomScaleNormal="160" zoomScalePageLayoutView="160" workbookViewId="0">
      <selection activeCell="A9" sqref="A9:B9"/>
    </sheetView>
  </sheetViews>
  <sheetFormatPr defaultColWidth="8.85546875" defaultRowHeight="12.75" x14ac:dyDescent="0.2"/>
  <cols>
    <col min="1" max="1" width="32.140625" style="200" bestFit="1" customWidth="1"/>
    <col min="2" max="2" width="22" style="200" bestFit="1" customWidth="1"/>
    <col min="3" max="3" width="16.7109375" style="199" customWidth="1"/>
    <col min="4" max="8" width="8.85546875" style="199"/>
    <col min="9" max="9" width="12.140625" style="199" customWidth="1"/>
    <col min="10" max="21" width="8.85546875" style="199"/>
    <col min="22" max="16384" width="8.85546875" style="200"/>
  </cols>
  <sheetData>
    <row r="1" spans="1:9" hidden="1" x14ac:dyDescent="0.2">
      <c r="A1" s="431" t="s">
        <v>142</v>
      </c>
      <c r="B1" s="431"/>
    </row>
    <row r="2" spans="1:9" hidden="1" x14ac:dyDescent="0.2">
      <c r="A2" s="59" t="s">
        <v>144</v>
      </c>
      <c r="B2" s="201">
        <v>420000</v>
      </c>
    </row>
    <row r="3" spans="1:9" hidden="1" x14ac:dyDescent="0.2">
      <c r="A3" s="59" t="s">
        <v>143</v>
      </c>
      <c r="B3" s="202">
        <v>0.25</v>
      </c>
    </row>
    <row r="4" spans="1:9" hidden="1" x14ac:dyDescent="0.2">
      <c r="A4" s="59" t="s">
        <v>145</v>
      </c>
      <c r="B4" s="203">
        <f>B2*B3</f>
        <v>105000</v>
      </c>
    </row>
    <row r="5" spans="1:9" hidden="1" x14ac:dyDescent="0.2">
      <c r="A5" s="59" t="s">
        <v>146</v>
      </c>
      <c r="B5" s="204">
        <v>100</v>
      </c>
    </row>
    <row r="6" spans="1:9" hidden="1" x14ac:dyDescent="0.2">
      <c r="A6" s="59" t="s">
        <v>133</v>
      </c>
      <c r="B6" s="204">
        <f>B4/B5</f>
        <v>1050</v>
      </c>
    </row>
    <row r="7" spans="1:9" hidden="1" x14ac:dyDescent="0.2">
      <c r="A7" s="59"/>
      <c r="B7" s="204"/>
    </row>
    <row r="8" spans="1:9" hidden="1" x14ac:dyDescent="0.2">
      <c r="A8" s="199"/>
      <c r="B8" s="204"/>
    </row>
    <row r="9" spans="1:9" x14ac:dyDescent="0.2">
      <c r="A9" s="434" t="s">
        <v>136</v>
      </c>
      <c r="B9" s="434"/>
    </row>
    <row r="10" spans="1:9" x14ac:dyDescent="0.2">
      <c r="A10" s="205" t="s">
        <v>140</v>
      </c>
      <c r="B10" s="206">
        <v>4700</v>
      </c>
      <c r="D10" s="433" t="s">
        <v>147</v>
      </c>
      <c r="E10" s="433"/>
      <c r="F10" s="433"/>
      <c r="G10" s="433"/>
      <c r="H10" s="433"/>
      <c r="I10" s="433"/>
    </row>
    <row r="11" spans="1:9" x14ac:dyDescent="0.2">
      <c r="A11" s="207" t="s">
        <v>133</v>
      </c>
      <c r="B11" s="207" t="s">
        <v>134</v>
      </c>
    </row>
    <row r="12" spans="1:9" x14ac:dyDescent="0.2">
      <c r="A12" s="208">
        <v>1000</v>
      </c>
      <c r="B12" s="209">
        <v>390</v>
      </c>
      <c r="D12" s="433" t="s">
        <v>148</v>
      </c>
      <c r="E12" s="433"/>
      <c r="F12" s="433"/>
      <c r="G12" s="433"/>
      <c r="H12" s="433"/>
      <c r="I12" s="433"/>
    </row>
    <row r="13" spans="1:9" x14ac:dyDescent="0.2">
      <c r="A13" s="210">
        <v>1000</v>
      </c>
      <c r="B13" s="211">
        <v>390</v>
      </c>
      <c r="D13" s="433"/>
      <c r="E13" s="433"/>
      <c r="F13" s="433"/>
      <c r="G13" s="433"/>
      <c r="H13" s="433"/>
      <c r="I13" s="433"/>
    </row>
    <row r="14" spans="1:9" x14ac:dyDescent="0.2">
      <c r="A14" s="212">
        <v>0</v>
      </c>
      <c r="B14" s="213"/>
      <c r="D14" s="433"/>
      <c r="E14" s="433"/>
      <c r="F14" s="433"/>
      <c r="G14" s="433"/>
      <c r="H14" s="433"/>
      <c r="I14" s="433"/>
    </row>
    <row r="15" spans="1:9" ht="25.5" x14ac:dyDescent="0.2">
      <c r="A15" s="214" t="s">
        <v>132</v>
      </c>
      <c r="B15" s="215" t="s">
        <v>135</v>
      </c>
    </row>
    <row r="16" spans="1:9" x14ac:dyDescent="0.2">
      <c r="A16" s="216">
        <f>B10-(SUM('Peanut Price Calculator'!A12:A14))</f>
        <v>2700</v>
      </c>
      <c r="B16" s="217">
        <v>355</v>
      </c>
      <c r="D16" s="433" t="s">
        <v>149</v>
      </c>
      <c r="E16" s="433"/>
      <c r="F16" s="433"/>
      <c r="G16" s="433"/>
      <c r="H16" s="433"/>
      <c r="I16" s="433"/>
    </row>
    <row r="17" spans="1:9" x14ac:dyDescent="0.2">
      <c r="A17" s="218" t="s">
        <v>138</v>
      </c>
      <c r="B17" s="219">
        <f>(A12/(SUM(A12:A14,A16:A16))*B12+A13/(SUM(A12:A14,A16:A16))*B13+A14/(SUM(A12:A14,A16:A16))*B14+A16/(SUM(A12:A14,A16:A16))*B16)</f>
        <v>369.89361702127661</v>
      </c>
    </row>
    <row r="18" spans="1:9" x14ac:dyDescent="0.2">
      <c r="A18" s="220"/>
      <c r="B18" s="221"/>
    </row>
    <row r="19" spans="1:9" s="199" customFormat="1" x14ac:dyDescent="0.2"/>
    <row r="20" spans="1:9" s="199" customFormat="1" x14ac:dyDescent="0.2">
      <c r="A20" s="432" t="s">
        <v>139</v>
      </c>
      <c r="B20" s="432"/>
    </row>
    <row r="21" spans="1:9" s="199" customFormat="1" x14ac:dyDescent="0.2">
      <c r="A21" s="205" t="s">
        <v>141</v>
      </c>
      <c r="B21" s="222">
        <v>3400</v>
      </c>
      <c r="D21" s="433" t="s">
        <v>150</v>
      </c>
      <c r="E21" s="433"/>
      <c r="F21" s="433"/>
      <c r="G21" s="433"/>
      <c r="H21" s="433"/>
      <c r="I21" s="433"/>
    </row>
    <row r="22" spans="1:9" s="199" customFormat="1" x14ac:dyDescent="0.2">
      <c r="A22" s="207" t="s">
        <v>133</v>
      </c>
      <c r="B22" s="207" t="s">
        <v>134</v>
      </c>
    </row>
    <row r="23" spans="1:9" s="199" customFormat="1" x14ac:dyDescent="0.2">
      <c r="A23" s="223">
        <v>1000</v>
      </c>
      <c r="B23" s="224">
        <v>390</v>
      </c>
      <c r="D23" s="433" t="s">
        <v>151</v>
      </c>
      <c r="E23" s="433"/>
      <c r="F23" s="433"/>
      <c r="G23" s="433"/>
      <c r="H23" s="433"/>
      <c r="I23" s="433"/>
    </row>
    <row r="24" spans="1:9" s="199" customFormat="1" x14ac:dyDescent="0.2">
      <c r="A24" s="225">
        <v>500</v>
      </c>
      <c r="B24" s="226">
        <v>390</v>
      </c>
      <c r="D24" s="433"/>
      <c r="E24" s="433"/>
      <c r="F24" s="433"/>
      <c r="G24" s="433"/>
      <c r="H24" s="433"/>
      <c r="I24" s="433"/>
    </row>
    <row r="25" spans="1:9" s="199" customFormat="1" x14ac:dyDescent="0.2">
      <c r="A25" s="227">
        <v>0</v>
      </c>
      <c r="B25" s="228"/>
      <c r="D25" s="433"/>
      <c r="E25" s="433"/>
      <c r="F25" s="433"/>
      <c r="G25" s="433"/>
      <c r="H25" s="433"/>
      <c r="I25" s="433"/>
    </row>
    <row r="26" spans="1:9" s="199" customFormat="1" ht="25.5" x14ac:dyDescent="0.2">
      <c r="A26" s="214" t="s">
        <v>132</v>
      </c>
      <c r="B26" s="215" t="s">
        <v>135</v>
      </c>
    </row>
    <row r="27" spans="1:9" s="199" customFormat="1" ht="15.75" customHeight="1" x14ac:dyDescent="0.2">
      <c r="A27" s="216">
        <f>B21-(SUM('Peanut Price Calculator'!A23:A25))</f>
        <v>1900</v>
      </c>
      <c r="B27" s="229">
        <v>355</v>
      </c>
      <c r="D27" s="430" t="s">
        <v>152</v>
      </c>
      <c r="E27" s="430"/>
      <c r="F27" s="430"/>
      <c r="G27" s="430"/>
      <c r="H27" s="430"/>
      <c r="I27" s="430"/>
    </row>
    <row r="28" spans="1:9" s="199" customFormat="1" x14ac:dyDescent="0.2">
      <c r="A28" s="218" t="s">
        <v>137</v>
      </c>
      <c r="B28" s="219">
        <f>(A23/(SUM(A23:A25,A27:A27))*B23+A24/(SUM(A23:A25,A27:A27))*B24+A25/(SUM(A23:A25,A27:A27))*B25+A27/(SUM(A23:A25,A27:A27))*B27)</f>
        <v>370.44117647058823</v>
      </c>
      <c r="D28" s="430"/>
      <c r="E28" s="430"/>
      <c r="F28" s="430"/>
      <c r="G28" s="430"/>
      <c r="H28" s="430"/>
      <c r="I28" s="430"/>
    </row>
    <row r="29" spans="1:9" s="199" customFormat="1" x14ac:dyDescent="0.2"/>
    <row r="30" spans="1:9" s="199" customFormat="1" x14ac:dyDescent="0.2"/>
    <row r="31" spans="1:9" s="199" customFormat="1" x14ac:dyDescent="0.2"/>
    <row r="32" spans="1:9" s="199" customFormat="1" x14ac:dyDescent="0.2"/>
    <row r="33" s="199" customFormat="1" x14ac:dyDescent="0.2"/>
    <row r="34" s="199" customFormat="1" x14ac:dyDescent="0.2"/>
    <row r="35" s="199" customFormat="1" x14ac:dyDescent="0.2"/>
    <row r="36" s="199" customFormat="1" x14ac:dyDescent="0.2"/>
    <row r="37" s="199" customFormat="1" x14ac:dyDescent="0.2"/>
    <row r="38" s="199" customFormat="1" x14ac:dyDescent="0.2"/>
    <row r="39" s="199" customFormat="1" x14ac:dyDescent="0.2"/>
    <row r="40" s="199" customFormat="1" x14ac:dyDescent="0.2"/>
    <row r="41" s="199" customFormat="1" x14ac:dyDescent="0.2"/>
    <row r="42" s="199" customFormat="1" x14ac:dyDescent="0.2"/>
    <row r="43" s="199" customFormat="1" x14ac:dyDescent="0.2"/>
    <row r="44" s="199" customFormat="1" x14ac:dyDescent="0.2"/>
    <row r="45" s="199" customFormat="1" x14ac:dyDescent="0.2"/>
    <row r="46" s="199" customFormat="1" x14ac:dyDescent="0.2"/>
    <row r="47" s="199" customFormat="1" x14ac:dyDescent="0.2"/>
    <row r="48" s="199" customFormat="1" x14ac:dyDescent="0.2"/>
    <row r="49" s="199" customFormat="1" x14ac:dyDescent="0.2"/>
    <row r="50" s="199" customFormat="1" x14ac:dyDescent="0.2"/>
    <row r="51" s="199" customFormat="1" x14ac:dyDescent="0.2"/>
    <row r="52" s="199" customFormat="1" x14ac:dyDescent="0.2"/>
    <row r="53" s="199" customFormat="1" x14ac:dyDescent="0.2"/>
    <row r="54" s="199" customFormat="1" x14ac:dyDescent="0.2"/>
    <row r="55" s="199" customFormat="1" x14ac:dyDescent="0.2"/>
    <row r="56" s="199" customFormat="1" x14ac:dyDescent="0.2"/>
    <row r="57" s="199" customFormat="1" x14ac:dyDescent="0.2"/>
    <row r="58" s="199" customFormat="1" x14ac:dyDescent="0.2"/>
    <row r="59" s="199" customFormat="1" x14ac:dyDescent="0.2"/>
    <row r="60" s="199" customFormat="1" x14ac:dyDescent="0.2"/>
    <row r="61" s="199" customFormat="1" x14ac:dyDescent="0.2"/>
    <row r="62" s="199" customFormat="1" x14ac:dyDescent="0.2"/>
    <row r="63" s="199" customFormat="1" x14ac:dyDescent="0.2"/>
    <row r="64" s="199" customFormat="1" x14ac:dyDescent="0.2"/>
  </sheetData>
  <sheetProtection sheet="1" objects="1" scenarios="1"/>
  <mergeCells count="9">
    <mergeCell ref="D27:I28"/>
    <mergeCell ref="A1:B1"/>
    <mergeCell ref="A20:B20"/>
    <mergeCell ref="D23:I25"/>
    <mergeCell ref="A9:B9"/>
    <mergeCell ref="D16:I16"/>
    <mergeCell ref="D12:I14"/>
    <mergeCell ref="D10:I10"/>
    <mergeCell ref="D21:I21"/>
  </mergeCells>
  <phoneticPr fontId="2" type="noConversion"/>
  <pageMargins left="0.7" right="0.7" top="0.75" bottom="0.75" header="0.3" footer="0.3"/>
  <pageSetup scale="98" orientation="landscape"/>
  <headerFooter>
    <oddFooter>&amp;LCalculator created by A.R. Smith, UGA Extension Economist
 and N.B. Smith Clemson Agribusiness Extension Crop Economist&amp;C&amp;G&amp;RAg and Applied Economics, 4/2015</oddFooter>
  </headerFooter>
  <drawing r:id="rId1"/>
  <legacyDrawingHF r:id="rId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</sheetPr>
  <dimension ref="A1:U46"/>
  <sheetViews>
    <sheetView zoomScale="150" zoomScaleNormal="150" zoomScalePageLayoutView="150" workbookViewId="0">
      <selection sqref="A1:I1"/>
    </sheetView>
  </sheetViews>
  <sheetFormatPr defaultColWidth="8.85546875" defaultRowHeight="12.75" x14ac:dyDescent="0.2"/>
  <cols>
    <col min="1" max="1" width="7.28515625" style="101" customWidth="1"/>
    <col min="2" max="2" width="15.7109375" style="101" bestFit="1" customWidth="1"/>
    <col min="3" max="3" width="6.28515625" style="101" customWidth="1"/>
    <col min="4" max="4" width="15.85546875" style="101" bestFit="1" customWidth="1"/>
    <col min="5" max="5" width="6.28515625" style="101" customWidth="1"/>
    <col min="6" max="6" width="14" style="101" bestFit="1" customWidth="1"/>
    <col min="7" max="7" width="7" style="101" customWidth="1"/>
    <col min="8" max="8" width="15.85546875" style="101" bestFit="1" customWidth="1"/>
    <col min="9" max="9" width="8.42578125" style="101" customWidth="1"/>
    <col min="10" max="21" width="8.85546875" style="177" customWidth="1"/>
    <col min="22" max="16384" width="8.85546875" style="101"/>
  </cols>
  <sheetData>
    <row r="1" spans="1:21" ht="30" customHeight="1" x14ac:dyDescent="0.2">
      <c r="A1" s="435" t="s">
        <v>118</v>
      </c>
      <c r="B1" s="436"/>
      <c r="C1" s="436"/>
      <c r="D1" s="436"/>
      <c r="E1" s="436"/>
      <c r="F1" s="436"/>
      <c r="G1" s="436"/>
      <c r="H1" s="436"/>
      <c r="I1" s="437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spans="1:21" ht="30" customHeight="1" thickBot="1" x14ac:dyDescent="0.25">
      <c r="A2" s="438" t="s">
        <v>117</v>
      </c>
      <c r="B2" s="439"/>
      <c r="C2" s="439"/>
      <c r="D2" s="439"/>
      <c r="E2" s="439"/>
      <c r="F2" s="439"/>
      <c r="G2" s="439"/>
      <c r="H2" s="439"/>
      <c r="I2" s="440"/>
      <c r="J2" s="100"/>
      <c r="K2" s="100"/>
      <c r="L2" s="100"/>
      <c r="M2" s="100"/>
      <c r="N2" s="100"/>
      <c r="O2" s="100"/>
      <c r="P2" s="100"/>
      <c r="Q2" s="100"/>
      <c r="R2" s="100"/>
      <c r="S2" s="100"/>
    </row>
    <row r="3" spans="1:21" s="187" customFormat="1" ht="30" customHeight="1" thickBot="1" x14ac:dyDescent="0.25">
      <c r="A3" s="178"/>
      <c r="B3" s="179" t="s">
        <v>105</v>
      </c>
      <c r="C3" s="180"/>
      <c r="D3" s="181" t="s">
        <v>108</v>
      </c>
      <c r="E3" s="180"/>
      <c r="F3" s="182" t="s">
        <v>111</v>
      </c>
      <c r="G3" s="180"/>
      <c r="H3" s="183" t="s">
        <v>114</v>
      </c>
      <c r="I3" s="184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6"/>
      <c r="U3" s="186"/>
    </row>
    <row r="4" spans="1:21" s="192" customFormat="1" ht="13.5" thickBot="1" x14ac:dyDescent="0.25">
      <c r="A4" s="188"/>
      <c r="B4" s="180"/>
      <c r="C4" s="180"/>
      <c r="D4" s="180"/>
      <c r="E4" s="180"/>
      <c r="F4" s="180"/>
      <c r="G4" s="180"/>
      <c r="H4" s="180"/>
      <c r="I4" s="189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1"/>
      <c r="U4" s="191"/>
    </row>
    <row r="5" spans="1:21" s="187" customFormat="1" ht="30" customHeight="1" thickBot="1" x14ac:dyDescent="0.25">
      <c r="A5" s="178"/>
      <c r="B5" s="179" t="s">
        <v>106</v>
      </c>
      <c r="C5" s="180"/>
      <c r="D5" s="181" t="s">
        <v>109</v>
      </c>
      <c r="E5" s="180"/>
      <c r="F5" s="182" t="s">
        <v>112</v>
      </c>
      <c r="G5" s="180"/>
      <c r="H5" s="183" t="s">
        <v>115</v>
      </c>
      <c r="I5" s="184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6"/>
      <c r="U5" s="186"/>
    </row>
    <row r="6" spans="1:21" s="192" customFormat="1" ht="13.5" thickBot="1" x14ac:dyDescent="0.25">
      <c r="A6" s="188"/>
      <c r="B6" s="180"/>
      <c r="C6" s="180"/>
      <c r="D6" s="180"/>
      <c r="E6" s="180"/>
      <c r="F6" s="180"/>
      <c r="G6" s="180"/>
      <c r="H6" s="180"/>
      <c r="I6" s="189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1"/>
      <c r="U6" s="191"/>
    </row>
    <row r="7" spans="1:21" s="187" customFormat="1" ht="30" customHeight="1" thickBot="1" x14ac:dyDescent="0.25">
      <c r="A7" s="178"/>
      <c r="B7" s="179" t="s">
        <v>107</v>
      </c>
      <c r="C7" s="180"/>
      <c r="D7" s="181" t="s">
        <v>110</v>
      </c>
      <c r="E7" s="180"/>
      <c r="F7" s="182" t="s">
        <v>113</v>
      </c>
      <c r="G7" s="180"/>
      <c r="H7" s="183" t="s">
        <v>116</v>
      </c>
      <c r="I7" s="184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6"/>
      <c r="U7" s="186"/>
    </row>
    <row r="8" spans="1:21" ht="30" customHeight="1" thickBot="1" x14ac:dyDescent="0.25">
      <c r="A8" s="193"/>
      <c r="B8" s="194"/>
      <c r="C8" s="194"/>
      <c r="D8" s="194"/>
      <c r="E8" s="194"/>
      <c r="F8" s="194"/>
      <c r="G8" s="194"/>
      <c r="H8" s="194"/>
      <c r="I8" s="195"/>
      <c r="J8" s="100"/>
      <c r="K8" s="100"/>
      <c r="L8" s="100"/>
      <c r="M8" s="100"/>
      <c r="N8" s="100"/>
      <c r="O8" s="100"/>
      <c r="P8" s="100"/>
      <c r="Q8" s="100"/>
      <c r="R8" s="100"/>
      <c r="S8" s="100"/>
    </row>
    <row r="9" spans="1:21" ht="6" customHeight="1" x14ac:dyDescent="0.2">
      <c r="A9" s="100"/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</row>
    <row r="10" spans="1:21" ht="6.6" customHeight="1" thickBot="1" x14ac:dyDescent="0.25">
      <c r="A10" s="100"/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</row>
    <row r="11" spans="1:21" ht="30" customHeight="1" x14ac:dyDescent="0.2">
      <c r="A11" s="435" t="s">
        <v>119</v>
      </c>
      <c r="B11" s="436"/>
      <c r="C11" s="436"/>
      <c r="D11" s="436"/>
      <c r="E11" s="436"/>
      <c r="F11" s="436"/>
      <c r="G11" s="436"/>
      <c r="H11" s="436"/>
      <c r="I11" s="437"/>
      <c r="J11" s="100"/>
      <c r="K11" s="100"/>
      <c r="L11" s="100"/>
      <c r="M11" s="100"/>
      <c r="N11" s="100"/>
      <c r="O11" s="100"/>
      <c r="P11" s="100"/>
      <c r="Q11" s="100"/>
      <c r="R11" s="100"/>
      <c r="S11" s="100"/>
    </row>
    <row r="12" spans="1:21" ht="30" customHeight="1" thickBot="1" x14ac:dyDescent="0.25">
      <c r="A12" s="438" t="s">
        <v>117</v>
      </c>
      <c r="B12" s="439"/>
      <c r="C12" s="439"/>
      <c r="D12" s="439"/>
      <c r="E12" s="439"/>
      <c r="F12" s="439"/>
      <c r="G12" s="439"/>
      <c r="H12" s="439"/>
      <c r="I12" s="440"/>
      <c r="J12" s="100"/>
      <c r="K12" s="100"/>
      <c r="L12" s="100"/>
      <c r="M12" s="100"/>
      <c r="N12" s="100"/>
      <c r="O12" s="100"/>
      <c r="P12" s="100"/>
      <c r="Q12" s="100"/>
      <c r="R12" s="100"/>
      <c r="S12" s="100"/>
    </row>
    <row r="13" spans="1:21" s="198" customFormat="1" ht="30" customHeight="1" thickBot="1" x14ac:dyDescent="0.25">
      <c r="A13" s="178"/>
      <c r="B13" s="179" t="s">
        <v>105</v>
      </c>
      <c r="C13" s="180"/>
      <c r="D13" s="181" t="s">
        <v>108</v>
      </c>
      <c r="E13" s="180"/>
      <c r="F13" s="182" t="s">
        <v>111</v>
      </c>
      <c r="G13" s="180"/>
      <c r="H13" s="183" t="s">
        <v>114</v>
      </c>
      <c r="I13" s="184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7"/>
      <c r="U13" s="197"/>
    </row>
    <row r="14" spans="1:21" s="198" customFormat="1" ht="13.5" thickBot="1" x14ac:dyDescent="0.25">
      <c r="A14" s="178"/>
      <c r="B14" s="180"/>
      <c r="C14" s="180"/>
      <c r="D14" s="180"/>
      <c r="E14" s="180"/>
      <c r="F14" s="180"/>
      <c r="G14" s="180"/>
      <c r="H14" s="180"/>
      <c r="I14" s="184"/>
      <c r="J14" s="196"/>
      <c r="K14" s="196"/>
      <c r="L14" s="196"/>
      <c r="M14" s="196"/>
      <c r="N14" s="196"/>
      <c r="O14" s="196"/>
      <c r="P14" s="196"/>
      <c r="Q14" s="196"/>
      <c r="R14" s="196"/>
      <c r="S14" s="196"/>
      <c r="T14" s="197"/>
      <c r="U14" s="197"/>
    </row>
    <row r="15" spans="1:21" s="198" customFormat="1" ht="30" customHeight="1" thickBot="1" x14ac:dyDescent="0.25">
      <c r="A15" s="178"/>
      <c r="B15" s="179" t="s">
        <v>106</v>
      </c>
      <c r="C15" s="180"/>
      <c r="D15" s="181" t="s">
        <v>109</v>
      </c>
      <c r="E15" s="180"/>
      <c r="F15" s="182" t="s">
        <v>112</v>
      </c>
      <c r="G15" s="180"/>
      <c r="H15" s="183" t="s">
        <v>115</v>
      </c>
      <c r="I15" s="184"/>
      <c r="J15" s="196"/>
      <c r="K15" s="196"/>
      <c r="L15" s="196"/>
      <c r="M15" s="196"/>
      <c r="N15" s="196"/>
      <c r="O15" s="196"/>
      <c r="P15" s="196"/>
      <c r="Q15" s="196"/>
      <c r="R15" s="196"/>
      <c r="S15" s="196"/>
      <c r="T15" s="197"/>
      <c r="U15" s="197"/>
    </row>
    <row r="16" spans="1:21" s="198" customFormat="1" ht="13.5" thickBot="1" x14ac:dyDescent="0.25">
      <c r="A16" s="178"/>
      <c r="B16" s="180"/>
      <c r="C16" s="180"/>
      <c r="D16" s="180"/>
      <c r="E16" s="180"/>
      <c r="F16" s="180"/>
      <c r="G16" s="180"/>
      <c r="H16" s="180"/>
      <c r="I16" s="184"/>
      <c r="J16" s="196"/>
      <c r="K16" s="196"/>
      <c r="L16" s="196"/>
      <c r="M16" s="196"/>
      <c r="N16" s="196"/>
      <c r="O16" s="196"/>
      <c r="P16" s="196"/>
      <c r="Q16" s="196"/>
      <c r="R16" s="196"/>
      <c r="S16" s="196"/>
      <c r="T16" s="197"/>
      <c r="U16" s="197"/>
    </row>
    <row r="17" spans="1:21" s="198" customFormat="1" ht="30" customHeight="1" thickBot="1" x14ac:dyDescent="0.25">
      <c r="A17" s="178"/>
      <c r="B17" s="179" t="s">
        <v>107</v>
      </c>
      <c r="C17" s="180"/>
      <c r="D17" s="181" t="s">
        <v>110</v>
      </c>
      <c r="E17" s="180"/>
      <c r="F17" s="182" t="s">
        <v>113</v>
      </c>
      <c r="G17" s="180"/>
      <c r="H17" s="183" t="s">
        <v>116</v>
      </c>
      <c r="I17" s="184"/>
      <c r="J17" s="196"/>
      <c r="K17" s="196"/>
      <c r="L17" s="196"/>
      <c r="M17" s="196"/>
      <c r="N17" s="196"/>
      <c r="O17" s="196"/>
      <c r="P17" s="196"/>
      <c r="Q17" s="196"/>
      <c r="R17" s="196"/>
      <c r="S17" s="196"/>
      <c r="T17" s="197"/>
      <c r="U17" s="197"/>
    </row>
    <row r="18" spans="1:21" ht="30" customHeight="1" thickBot="1" x14ac:dyDescent="0.25">
      <c r="A18" s="193"/>
      <c r="B18" s="194"/>
      <c r="C18" s="194"/>
      <c r="D18" s="194"/>
      <c r="E18" s="194"/>
      <c r="F18" s="194"/>
      <c r="G18" s="194"/>
      <c r="H18" s="194"/>
      <c r="I18" s="195"/>
      <c r="J18" s="100"/>
      <c r="K18" s="100"/>
      <c r="L18" s="100"/>
      <c r="M18" s="100"/>
      <c r="N18" s="100"/>
      <c r="O18" s="100"/>
      <c r="P18" s="100"/>
      <c r="Q18" s="100"/>
      <c r="R18" s="100"/>
      <c r="S18" s="100"/>
    </row>
    <row r="19" spans="1:21" x14ac:dyDescent="0.2">
      <c r="A19" s="100"/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</row>
    <row r="20" spans="1:21" x14ac:dyDescent="0.2">
      <c r="A20" s="100"/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</row>
    <row r="21" spans="1:21" x14ac:dyDescent="0.2">
      <c r="A21" s="100"/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</row>
    <row r="22" spans="1:21" x14ac:dyDescent="0.2">
      <c r="A22" s="100"/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</row>
    <row r="23" spans="1:21" x14ac:dyDescent="0.2">
      <c r="A23" s="100"/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</row>
    <row r="24" spans="1:21" x14ac:dyDescent="0.2">
      <c r="A24" s="100"/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</row>
    <row r="25" spans="1:21" x14ac:dyDescent="0.2">
      <c r="A25" s="100"/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</row>
    <row r="26" spans="1:21" x14ac:dyDescent="0.2">
      <c r="A26" s="100"/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</row>
    <row r="27" spans="1:21" x14ac:dyDescent="0.2">
      <c r="A27" s="100"/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</row>
    <row r="28" spans="1:21" x14ac:dyDescent="0.2">
      <c r="A28" s="100"/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</row>
    <row r="29" spans="1:21" x14ac:dyDescent="0.2">
      <c r="A29" s="100"/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</row>
    <row r="30" spans="1:21" x14ac:dyDescent="0.2">
      <c r="A30" s="100"/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</row>
    <row r="31" spans="1:21" x14ac:dyDescent="0.2">
      <c r="A31" s="100"/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</row>
    <row r="32" spans="1:21" x14ac:dyDescent="0.2">
      <c r="A32" s="100"/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</row>
    <row r="33" spans="1:19" x14ac:dyDescent="0.2">
      <c r="A33" s="100"/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</row>
    <row r="34" spans="1:19" x14ac:dyDescent="0.2">
      <c r="A34" s="100"/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</row>
    <row r="35" spans="1:19" x14ac:dyDescent="0.2">
      <c r="A35" s="100"/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</row>
    <row r="36" spans="1:19" x14ac:dyDescent="0.2">
      <c r="A36" s="100"/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</row>
    <row r="37" spans="1:19" x14ac:dyDescent="0.2">
      <c r="A37" s="100"/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</row>
    <row r="38" spans="1:19" x14ac:dyDescent="0.2">
      <c r="A38" s="100"/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</row>
    <row r="39" spans="1:19" x14ac:dyDescent="0.2">
      <c r="A39" s="100"/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</row>
    <row r="40" spans="1:19" x14ac:dyDescent="0.2">
      <c r="A40" s="100"/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</row>
    <row r="41" spans="1:19" x14ac:dyDescent="0.2">
      <c r="A41" s="100"/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</row>
    <row r="42" spans="1:19" x14ac:dyDescent="0.2">
      <c r="A42" s="100"/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</row>
    <row r="43" spans="1:19" x14ac:dyDescent="0.2">
      <c r="A43" s="100"/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</row>
    <row r="44" spans="1:19" x14ac:dyDescent="0.2">
      <c r="A44" s="100"/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</row>
    <row r="45" spans="1:19" x14ac:dyDescent="0.2">
      <c r="A45" s="100"/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</row>
    <row r="46" spans="1:19" x14ac:dyDescent="0.2">
      <c r="A46" s="100"/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</row>
  </sheetData>
  <sheetProtection sheet="1" objects="1" scenarios="1"/>
  <mergeCells count="4">
    <mergeCell ref="A1:I1"/>
    <mergeCell ref="A11:I11"/>
    <mergeCell ref="A2:I2"/>
    <mergeCell ref="A12:I12"/>
  </mergeCells>
  <phoneticPr fontId="2" type="noConversion"/>
  <hyperlinks>
    <hyperlink ref="B7" location="CTillCharts!G97" display="Soybean &amp; Cotton Price Comparison"/>
    <hyperlink ref="B5" location="CTillCharts!G63" display="Corn &amp; Cotton Price Comparison"/>
    <hyperlink ref="B3" location="CTillCharts!G29" display="Peanut &amp; Cotton Price Comparison"/>
    <hyperlink ref="D5" location="CTillCharts!G165" display="Corn &amp; Peanut Price Comparison"/>
    <hyperlink ref="D7" location="CTillCharts!G199" display="Soybean &amp; Peanut Price Comparison"/>
    <hyperlink ref="F3" location="CTillCharts!G233" display="Cotton &amp; Corn Price Comparison"/>
    <hyperlink ref="F5" location="CTillCharts!G267" display="Peanut &amp; Corn Price Comparison"/>
    <hyperlink ref="F7" location="CTillCharts!G301" display="Soybean &amp; Corn Price Comparison"/>
    <hyperlink ref="H3" location="CTillCharts!G334" display="Cotton &amp; Soybean Price Comparison"/>
    <hyperlink ref="H5" location="CTillCharts!G369" display="Peanut &amp; Soybean Price Comparison"/>
    <hyperlink ref="H7" location="CTillCharts!G403" display="Corn &amp; Soybean Price Comparison"/>
    <hyperlink ref="D13" location="STillCharts!G131" display="Cotton &amp; Peanut Price Comparison"/>
    <hyperlink ref="B17" location="STillCharts!G97" display="Soybean &amp; Cotton Price Comparison"/>
    <hyperlink ref="B15" location="STillCharts!G63" display="Corn &amp; Cotton Price Comparison"/>
    <hyperlink ref="B13" location="STillCharts!G29" display="Peanut &amp; Cotton Price Comparison"/>
    <hyperlink ref="D15" location="STillCharts!G165" display="Corn &amp; Peanut Price Comparison"/>
    <hyperlink ref="D17" location="STillCharts!G199" display="Soybean &amp; Peanut Price Comparison"/>
    <hyperlink ref="F13" location="STillCharts!G233" display="Cotton &amp; Corn Price Comparison"/>
    <hyperlink ref="F15" location="STillCharts!G267" display="Peanut &amp; Corn Price Comparison"/>
    <hyperlink ref="F17" location="STillCharts!G301" display="Soybean &amp; Corn Price Comparison"/>
    <hyperlink ref="H13" location="STillCharts!G334" display="Cotton &amp; Soybean Price Comparison"/>
    <hyperlink ref="H15" location="STillCharts!G369" display="Peanut &amp; Soybean Price Comparison"/>
    <hyperlink ref="H17" location="STillCharts!G403" display="Corn &amp; Soybean Price Comparison"/>
    <hyperlink ref="D3" location="CTillCharts!G131" display="Cotton &amp; Peanut Price Comparison"/>
  </hyperlinks>
  <pageMargins left="0.7" right="0.7" top="0.75" bottom="0.75" header="0.3" footer="0.3"/>
  <pageSetup scale="84" orientation="landscape"/>
  <headerFooter>
    <oddFooter>&amp;L&amp;G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</sheetPr>
  <dimension ref="A29:M407"/>
  <sheetViews>
    <sheetView zoomScale="120" zoomScaleNormal="120" zoomScaleSheetLayoutView="100" zoomScalePageLayoutView="120" workbookViewId="0"/>
  </sheetViews>
  <sheetFormatPr defaultColWidth="8.85546875" defaultRowHeight="12.75" x14ac:dyDescent="0.2"/>
  <cols>
    <col min="1" max="26" width="8.85546875" style="100"/>
    <col min="27" max="27" width="8.85546875" style="100" customWidth="1"/>
    <col min="28" max="16384" width="8.85546875" style="100"/>
  </cols>
  <sheetData>
    <row r="29" spans="1:11" x14ac:dyDescent="0.2">
      <c r="A29" s="442" t="s">
        <v>93</v>
      </c>
      <c r="B29" s="442"/>
      <c r="C29" s="442"/>
      <c r="D29" s="442"/>
      <c r="E29" s="442"/>
      <c r="F29" s="442"/>
    </row>
    <row r="30" spans="1:11" x14ac:dyDescent="0.2">
      <c r="A30" s="230" t="s">
        <v>86</v>
      </c>
      <c r="B30" s="441" t="s">
        <v>90</v>
      </c>
      <c r="C30" s="441"/>
      <c r="D30" s="441"/>
      <c r="E30" s="441"/>
      <c r="F30" s="441"/>
      <c r="G30" s="441"/>
      <c r="H30" s="441"/>
      <c r="I30" s="441"/>
      <c r="J30" s="441"/>
      <c r="K30" s="441"/>
    </row>
    <row r="31" spans="1:11" x14ac:dyDescent="0.2">
      <c r="A31" s="230" t="s">
        <v>87</v>
      </c>
      <c r="B31" s="441" t="str">
        <f>CONCATENATE("Irrigated peanut yield is ",Conventional!$D$7," lbs. and irrigated cotton yield is ",Conventional!$B$7," lbs.")</f>
        <v>Irrigated peanut yield is 4700 lbs. and irrigated cotton yield is 1200 lbs.</v>
      </c>
      <c r="C31" s="441"/>
      <c r="D31" s="441"/>
      <c r="E31" s="441"/>
      <c r="F31" s="441"/>
      <c r="G31" s="441"/>
      <c r="H31" s="441"/>
      <c r="I31" s="174"/>
      <c r="J31" s="174"/>
      <c r="K31" s="174"/>
    </row>
    <row r="32" spans="1:11" x14ac:dyDescent="0.2">
      <c r="A32" s="230" t="s">
        <v>88</v>
      </c>
      <c r="B32" s="441" t="str">
        <f>CONCATENATE("Non-irrigated peanut yield is ",Conventional!$N$7," lbs. and non-irrigated cotton yield is ",Conventional!$L$7," lbs.")</f>
        <v>Non-irrigated peanut yield is 3400 lbs. and non-irrigated cotton yield is 750 lbs.</v>
      </c>
      <c r="C32" s="441"/>
      <c r="D32" s="441"/>
      <c r="E32" s="441"/>
      <c r="F32" s="441"/>
      <c r="G32" s="441"/>
      <c r="H32" s="441"/>
      <c r="I32" s="441"/>
      <c r="J32" s="174"/>
      <c r="K32" s="174"/>
    </row>
    <row r="33" spans="1:13" x14ac:dyDescent="0.2">
      <c r="A33" s="230" t="s">
        <v>89</v>
      </c>
      <c r="B33" s="441" t="s">
        <v>104</v>
      </c>
      <c r="C33" s="441"/>
      <c r="D33" s="441"/>
      <c r="E33" s="441"/>
      <c r="F33" s="441"/>
      <c r="G33" s="441"/>
      <c r="H33" s="441"/>
      <c r="I33" s="441"/>
      <c r="J33" s="441"/>
      <c r="K33" s="441"/>
      <c r="L33" s="441"/>
      <c r="M33" s="441"/>
    </row>
    <row r="63" spans="1:11" x14ac:dyDescent="0.2">
      <c r="A63" s="441" t="s">
        <v>93</v>
      </c>
      <c r="B63" s="441"/>
      <c r="C63" s="441"/>
      <c r="D63" s="441"/>
      <c r="E63" s="441"/>
      <c r="F63" s="441"/>
    </row>
    <row r="64" spans="1:11" x14ac:dyDescent="0.2">
      <c r="A64" s="230" t="s">
        <v>86</v>
      </c>
      <c r="B64" s="441" t="s">
        <v>91</v>
      </c>
      <c r="C64" s="441"/>
      <c r="D64" s="441"/>
      <c r="E64" s="441"/>
      <c r="F64" s="441"/>
      <c r="G64" s="441"/>
      <c r="H64" s="441"/>
      <c r="I64" s="441"/>
      <c r="J64" s="441"/>
      <c r="K64" s="441"/>
    </row>
    <row r="65" spans="1:13" x14ac:dyDescent="0.2">
      <c r="A65" s="230" t="s">
        <v>87</v>
      </c>
      <c r="B65" s="441" t="str">
        <f>CONCATENATE("Irrigated corn yield is ",Conventional!$F$7," bu. and irrigated cotton yield is ",Conventional!$B$7," lbs.")</f>
        <v>Irrigated corn yield is 200 bu. and irrigated cotton yield is 1200 lbs.</v>
      </c>
      <c r="C65" s="441"/>
      <c r="D65" s="441"/>
      <c r="E65" s="441"/>
      <c r="F65" s="441"/>
      <c r="G65" s="441"/>
      <c r="H65" s="441"/>
      <c r="I65" s="174"/>
      <c r="J65" s="174"/>
      <c r="K65" s="174"/>
    </row>
    <row r="66" spans="1:13" x14ac:dyDescent="0.2">
      <c r="A66" s="230" t="s">
        <v>88</v>
      </c>
      <c r="B66" s="441" t="str">
        <f>CONCATENATE("Non-irrigated corn yield is ",Conventional!$P$7," bu. and non-irrigated cotton yield is ",Conventional!$L$7," lbs.")</f>
        <v>Non-irrigated corn yield is 85 bu. and non-irrigated cotton yield is 750 lbs.</v>
      </c>
      <c r="C66" s="441"/>
      <c r="D66" s="441"/>
      <c r="E66" s="441"/>
      <c r="F66" s="441"/>
      <c r="G66" s="441"/>
      <c r="H66" s="441"/>
      <c r="I66" s="441"/>
      <c r="J66" s="174"/>
      <c r="K66" s="174"/>
    </row>
    <row r="67" spans="1:13" x14ac:dyDescent="0.2">
      <c r="A67" s="230" t="s">
        <v>89</v>
      </c>
      <c r="B67" s="441" t="s">
        <v>104</v>
      </c>
      <c r="C67" s="441"/>
      <c r="D67" s="441"/>
      <c r="E67" s="441"/>
      <c r="F67" s="441"/>
      <c r="G67" s="441"/>
      <c r="H67" s="441"/>
      <c r="I67" s="441"/>
      <c r="J67" s="441"/>
      <c r="K67" s="441"/>
      <c r="L67" s="441"/>
      <c r="M67" s="441"/>
    </row>
    <row r="97" spans="1:13" x14ac:dyDescent="0.2">
      <c r="A97" s="441" t="s">
        <v>93</v>
      </c>
      <c r="B97" s="441"/>
      <c r="C97" s="441"/>
      <c r="D97" s="441"/>
      <c r="E97" s="441"/>
      <c r="F97" s="441"/>
    </row>
    <row r="98" spans="1:13" x14ac:dyDescent="0.2">
      <c r="A98" s="230" t="s">
        <v>86</v>
      </c>
      <c r="B98" s="441" t="s">
        <v>92</v>
      </c>
      <c r="C98" s="441"/>
      <c r="D98" s="441"/>
      <c r="E98" s="441"/>
      <c r="F98" s="441"/>
      <c r="G98" s="441"/>
      <c r="H98" s="441"/>
      <c r="I98" s="441"/>
      <c r="J98" s="441"/>
      <c r="K98" s="441"/>
      <c r="L98" s="441"/>
    </row>
    <row r="99" spans="1:13" x14ac:dyDescent="0.2">
      <c r="A99" s="230" t="s">
        <v>87</v>
      </c>
      <c r="B99" s="441" t="str">
        <f>CONCATENATE("Irrigated soybean yield is ",Conventional!$H$7," bu. and irrigated cotton yield is ",Conventional!$B$7," lbs.")</f>
        <v>Irrigated soybean yield is 60 bu. and irrigated cotton yield is 1200 lbs.</v>
      </c>
      <c r="C99" s="441"/>
      <c r="D99" s="441"/>
      <c r="E99" s="441"/>
      <c r="F99" s="441"/>
      <c r="G99" s="441"/>
      <c r="H99" s="441"/>
      <c r="I99" s="174"/>
      <c r="J99" s="174"/>
      <c r="K99" s="174"/>
    </row>
    <row r="100" spans="1:13" x14ac:dyDescent="0.2">
      <c r="A100" s="230" t="s">
        <v>88</v>
      </c>
      <c r="B100" s="441" t="str">
        <f>CONCATENATE("Non-irrigated soybean yield is ",Conventional!$R$7," bu. and non-irrigated cotton yield is ",Conventional!$L$7," lbs.")</f>
        <v>Non-irrigated soybean yield is 30 bu. and non-irrigated cotton yield is 750 lbs.</v>
      </c>
      <c r="C100" s="441"/>
      <c r="D100" s="441"/>
      <c r="E100" s="441"/>
      <c r="F100" s="441"/>
      <c r="G100" s="441"/>
      <c r="H100" s="441"/>
      <c r="I100" s="441"/>
      <c r="J100" s="174"/>
      <c r="K100" s="174"/>
    </row>
    <row r="101" spans="1:13" x14ac:dyDescent="0.2">
      <c r="A101" s="230" t="s">
        <v>89</v>
      </c>
      <c r="B101" s="441" t="s">
        <v>104</v>
      </c>
      <c r="C101" s="441"/>
      <c r="D101" s="441"/>
      <c r="E101" s="441"/>
      <c r="F101" s="441"/>
      <c r="G101" s="441"/>
      <c r="H101" s="441"/>
      <c r="I101" s="441"/>
      <c r="J101" s="441"/>
      <c r="K101" s="441"/>
      <c r="L101" s="441"/>
      <c r="M101" s="441"/>
    </row>
    <row r="131" spans="1:13" x14ac:dyDescent="0.2">
      <c r="A131" s="442" t="s">
        <v>93</v>
      </c>
      <c r="B131" s="442"/>
      <c r="C131" s="442"/>
      <c r="D131" s="442"/>
      <c r="E131" s="442"/>
      <c r="F131" s="442"/>
    </row>
    <row r="132" spans="1:13" x14ac:dyDescent="0.2">
      <c r="A132" s="230" t="s">
        <v>86</v>
      </c>
      <c r="B132" s="441" t="s">
        <v>94</v>
      </c>
      <c r="C132" s="441"/>
      <c r="D132" s="441"/>
      <c r="E132" s="441"/>
      <c r="F132" s="441"/>
      <c r="G132" s="441"/>
      <c r="H132" s="441"/>
      <c r="I132" s="441"/>
      <c r="J132" s="441"/>
      <c r="K132" s="441"/>
    </row>
    <row r="133" spans="1:13" x14ac:dyDescent="0.2">
      <c r="A133" s="230" t="s">
        <v>87</v>
      </c>
      <c r="B133" s="441" t="str">
        <f>CONCATENATE("Irrigated cotton yield is ",Conventional!$B$7," lbs. and irrigated peanut yield is ",Conventional!$D$7," lbs.")</f>
        <v>Irrigated cotton yield is 1200 lbs. and irrigated peanut yield is 4700 lbs.</v>
      </c>
      <c r="C133" s="441"/>
      <c r="D133" s="441"/>
      <c r="E133" s="441"/>
      <c r="F133" s="441"/>
      <c r="G133" s="441"/>
      <c r="H133" s="441"/>
      <c r="I133" s="174"/>
      <c r="J133" s="174"/>
      <c r="K133" s="174"/>
    </row>
    <row r="134" spans="1:13" x14ac:dyDescent="0.2">
      <c r="A134" s="230" t="s">
        <v>88</v>
      </c>
      <c r="B134" s="441" t="str">
        <f>CONCATENATE("Non-irrigated cotton yield is ",Conventional!$L$7," lbs. and non-irrigated peanut yield is ",Conventional!$N$7," lbs.")</f>
        <v>Non-irrigated cotton yield is 750 lbs. and non-irrigated peanut yield is 3400 lbs.</v>
      </c>
      <c r="C134" s="441"/>
      <c r="D134" s="441"/>
      <c r="E134" s="441"/>
      <c r="F134" s="441"/>
      <c r="G134" s="441"/>
      <c r="H134" s="441"/>
      <c r="I134" s="441"/>
      <c r="J134" s="174"/>
      <c r="K134" s="174"/>
    </row>
    <row r="135" spans="1:13" x14ac:dyDescent="0.2">
      <c r="A135" s="230" t="s">
        <v>89</v>
      </c>
      <c r="B135" s="441" t="s">
        <v>104</v>
      </c>
      <c r="C135" s="441"/>
      <c r="D135" s="441"/>
      <c r="E135" s="441"/>
      <c r="F135" s="441"/>
      <c r="G135" s="441"/>
      <c r="H135" s="441"/>
      <c r="I135" s="441"/>
      <c r="J135" s="441"/>
      <c r="K135" s="441"/>
      <c r="L135" s="441"/>
      <c r="M135" s="441"/>
    </row>
    <row r="165" spans="1:13" x14ac:dyDescent="0.2">
      <c r="A165" s="441" t="s">
        <v>93</v>
      </c>
      <c r="B165" s="441"/>
      <c r="C165" s="441"/>
      <c r="D165" s="441"/>
      <c r="E165" s="441"/>
      <c r="F165" s="441"/>
    </row>
    <row r="166" spans="1:13" x14ac:dyDescent="0.2">
      <c r="A166" s="230" t="s">
        <v>86</v>
      </c>
      <c r="B166" s="441" t="s">
        <v>95</v>
      </c>
      <c r="C166" s="441"/>
      <c r="D166" s="441"/>
      <c r="E166" s="441"/>
      <c r="F166" s="441"/>
      <c r="G166" s="441"/>
      <c r="H166" s="441"/>
      <c r="I166" s="441"/>
      <c r="J166" s="441"/>
      <c r="K166" s="441"/>
    </row>
    <row r="167" spans="1:13" x14ac:dyDescent="0.2">
      <c r="A167" s="230" t="s">
        <v>87</v>
      </c>
      <c r="B167" s="441" t="str">
        <f>CONCATENATE("Irrigated corn yield is ",Conventional!$F$7," bu. and irrigated peanut yield is ",Conventional!$D$7," lbs.")</f>
        <v>Irrigated corn yield is 200 bu. and irrigated peanut yield is 4700 lbs.</v>
      </c>
      <c r="C167" s="441"/>
      <c r="D167" s="441"/>
      <c r="E167" s="441"/>
      <c r="F167" s="441"/>
      <c r="G167" s="441"/>
      <c r="H167" s="441"/>
      <c r="I167" s="174"/>
      <c r="J167" s="174"/>
      <c r="K167" s="174"/>
    </row>
    <row r="168" spans="1:13" x14ac:dyDescent="0.2">
      <c r="A168" s="230" t="s">
        <v>88</v>
      </c>
      <c r="B168" s="441" t="str">
        <f>CONCATENATE("Non-irrigated corn yield is ",Conventional!$P$7," bu. and non-irrigated peanut yield is ",Conventional!$N$7," lbs.")</f>
        <v>Non-irrigated corn yield is 85 bu. and non-irrigated peanut yield is 3400 lbs.</v>
      </c>
      <c r="C168" s="441"/>
      <c r="D168" s="441"/>
      <c r="E168" s="441"/>
      <c r="F168" s="441"/>
      <c r="G168" s="441"/>
      <c r="H168" s="441"/>
      <c r="I168" s="441"/>
      <c r="J168" s="174"/>
      <c r="K168" s="174"/>
    </row>
    <row r="169" spans="1:13" x14ac:dyDescent="0.2">
      <c r="A169" s="230" t="s">
        <v>89</v>
      </c>
      <c r="B169" s="441" t="s">
        <v>104</v>
      </c>
      <c r="C169" s="441"/>
      <c r="D169" s="441"/>
      <c r="E169" s="441"/>
      <c r="F169" s="441"/>
      <c r="G169" s="441"/>
      <c r="H169" s="441"/>
      <c r="I169" s="441"/>
      <c r="J169" s="441"/>
      <c r="K169" s="441"/>
      <c r="L169" s="441"/>
      <c r="M169" s="441"/>
    </row>
    <row r="199" spans="1:13" x14ac:dyDescent="0.2">
      <c r="A199" s="441" t="s">
        <v>93</v>
      </c>
      <c r="B199" s="441"/>
      <c r="C199" s="441"/>
      <c r="D199" s="441"/>
      <c r="E199" s="441"/>
      <c r="F199" s="441"/>
    </row>
    <row r="200" spans="1:13" x14ac:dyDescent="0.2">
      <c r="A200" s="230" t="s">
        <v>86</v>
      </c>
      <c r="B200" s="441" t="s">
        <v>96</v>
      </c>
      <c r="C200" s="441"/>
      <c r="D200" s="441"/>
      <c r="E200" s="441"/>
      <c r="F200" s="441"/>
      <c r="G200" s="441"/>
      <c r="H200" s="441"/>
      <c r="I200" s="441"/>
      <c r="J200" s="441"/>
      <c r="K200" s="441"/>
      <c r="L200" s="441"/>
    </row>
    <row r="201" spans="1:13" x14ac:dyDescent="0.2">
      <c r="A201" s="230" t="s">
        <v>87</v>
      </c>
      <c r="B201" s="441" t="str">
        <f>CONCATENATE("Irrigated soybean yield is ",Conventional!$H$7," bu. and irrigated peanut yield is ",Conventional!$D$7," lbs.")</f>
        <v>Irrigated soybean yield is 60 bu. and irrigated peanut yield is 4700 lbs.</v>
      </c>
      <c r="C201" s="441"/>
      <c r="D201" s="441"/>
      <c r="E201" s="441"/>
      <c r="F201" s="441"/>
      <c r="G201" s="441"/>
      <c r="H201" s="441"/>
      <c r="I201" s="174"/>
      <c r="J201" s="174"/>
      <c r="K201" s="174"/>
    </row>
    <row r="202" spans="1:13" x14ac:dyDescent="0.2">
      <c r="A202" s="230" t="s">
        <v>88</v>
      </c>
      <c r="B202" s="441" t="str">
        <f>CONCATENATE("Non-irrigated soybean yield is ",Conventional!$R$7," bu. and non-irrigated peanut yield is ",Conventional!$N$7," lbs.")</f>
        <v>Non-irrigated soybean yield is 30 bu. and non-irrigated peanut yield is 3400 lbs.</v>
      </c>
      <c r="C202" s="441"/>
      <c r="D202" s="441"/>
      <c r="E202" s="441"/>
      <c r="F202" s="441"/>
      <c r="G202" s="441"/>
      <c r="H202" s="441"/>
      <c r="I202" s="441"/>
      <c r="J202" s="174"/>
      <c r="K202" s="174"/>
    </row>
    <row r="203" spans="1:13" x14ac:dyDescent="0.2">
      <c r="A203" s="230" t="s">
        <v>89</v>
      </c>
      <c r="B203" s="441" t="s">
        <v>104</v>
      </c>
      <c r="C203" s="441"/>
      <c r="D203" s="441"/>
      <c r="E203" s="441"/>
      <c r="F203" s="441"/>
      <c r="G203" s="441"/>
      <c r="H203" s="441"/>
      <c r="I203" s="441"/>
      <c r="J203" s="441"/>
      <c r="K203" s="441"/>
      <c r="L203" s="441"/>
      <c r="M203" s="441"/>
    </row>
    <row r="233" spans="1:13" x14ac:dyDescent="0.2">
      <c r="A233" s="442" t="s">
        <v>93</v>
      </c>
      <c r="B233" s="442"/>
      <c r="C233" s="442"/>
      <c r="D233" s="442"/>
      <c r="E233" s="442"/>
      <c r="F233" s="442"/>
    </row>
    <row r="234" spans="1:13" x14ac:dyDescent="0.2">
      <c r="A234" s="230" t="s">
        <v>86</v>
      </c>
      <c r="B234" s="441" t="s">
        <v>97</v>
      </c>
      <c r="C234" s="441"/>
      <c r="D234" s="441"/>
      <c r="E234" s="441"/>
      <c r="F234" s="441"/>
      <c r="G234" s="441"/>
      <c r="H234" s="441"/>
      <c r="I234" s="441"/>
      <c r="J234" s="441"/>
      <c r="K234" s="441"/>
    </row>
    <row r="235" spans="1:13" x14ac:dyDescent="0.2">
      <c r="A235" s="230" t="s">
        <v>87</v>
      </c>
      <c r="B235" s="441" t="str">
        <f>CONCATENATE("Irrigated cotton yield is ",Conventional!$B$7," lbs. and irrigated corn yield is ",Conventional!$F$7," bu.")</f>
        <v>Irrigated cotton yield is 1200 lbs. and irrigated corn yield is 200 bu.</v>
      </c>
      <c r="C235" s="441"/>
      <c r="D235" s="441"/>
      <c r="E235" s="441"/>
      <c r="F235" s="441"/>
      <c r="G235" s="441"/>
      <c r="H235" s="441"/>
      <c r="I235" s="174"/>
      <c r="J235" s="174"/>
      <c r="K235" s="174"/>
    </row>
    <row r="236" spans="1:13" x14ac:dyDescent="0.2">
      <c r="A236" s="230" t="s">
        <v>88</v>
      </c>
      <c r="B236" s="441" t="str">
        <f>CONCATENATE("Non-irrigated cotton yield is ",Conventional!$L$7," lbs. and non-irrigated corn yield is ",Conventional!$P$7," bu.")</f>
        <v>Non-irrigated cotton yield is 750 lbs. and non-irrigated corn yield is 85 bu.</v>
      </c>
      <c r="C236" s="441"/>
      <c r="D236" s="441"/>
      <c r="E236" s="441"/>
      <c r="F236" s="441"/>
      <c r="G236" s="441"/>
      <c r="H236" s="441"/>
      <c r="I236" s="441"/>
      <c r="J236" s="174"/>
      <c r="K236" s="174"/>
    </row>
    <row r="237" spans="1:13" x14ac:dyDescent="0.2">
      <c r="A237" s="230" t="s">
        <v>89</v>
      </c>
      <c r="B237" s="441" t="s">
        <v>104</v>
      </c>
      <c r="C237" s="441"/>
      <c r="D237" s="441"/>
      <c r="E237" s="441"/>
      <c r="F237" s="441"/>
      <c r="G237" s="441"/>
      <c r="H237" s="441"/>
      <c r="I237" s="441"/>
      <c r="J237" s="441"/>
      <c r="K237" s="441"/>
      <c r="L237" s="441"/>
      <c r="M237" s="441"/>
    </row>
    <row r="267" spans="1:13" x14ac:dyDescent="0.2">
      <c r="A267" s="441" t="s">
        <v>93</v>
      </c>
      <c r="B267" s="441"/>
      <c r="C267" s="441"/>
      <c r="D267" s="441"/>
      <c r="E267" s="441"/>
      <c r="F267" s="441"/>
    </row>
    <row r="268" spans="1:13" x14ac:dyDescent="0.2">
      <c r="A268" s="230" t="s">
        <v>86</v>
      </c>
      <c r="B268" s="441" t="s">
        <v>98</v>
      </c>
      <c r="C268" s="441"/>
      <c r="D268" s="441"/>
      <c r="E268" s="441"/>
      <c r="F268" s="441"/>
      <c r="G268" s="441"/>
      <c r="H268" s="441"/>
      <c r="I268" s="441"/>
      <c r="J268" s="441"/>
      <c r="K268" s="441"/>
    </row>
    <row r="269" spans="1:13" x14ac:dyDescent="0.2">
      <c r="A269" s="230" t="s">
        <v>87</v>
      </c>
      <c r="B269" s="441" t="str">
        <f>CONCATENATE("Irrigated peanut yield is ",Conventional!$D$7," lbs. and irrigated corn yield is ",Conventional!$F$7," bu.")</f>
        <v>Irrigated peanut yield is 4700 lbs. and irrigated corn yield is 200 bu.</v>
      </c>
      <c r="C269" s="441"/>
      <c r="D269" s="441"/>
      <c r="E269" s="441"/>
      <c r="F269" s="441"/>
      <c r="G269" s="441"/>
      <c r="H269" s="441"/>
      <c r="I269" s="174"/>
      <c r="J269" s="174"/>
      <c r="K269" s="174"/>
    </row>
    <row r="270" spans="1:13" x14ac:dyDescent="0.2">
      <c r="A270" s="230" t="s">
        <v>88</v>
      </c>
      <c r="B270" s="441" t="str">
        <f>CONCATENATE("Non-irrigated peanut yield is ",Conventional!$N$7," lbs. and non-irrigated corn yield is ",Conventional!$P$7," bu.")</f>
        <v>Non-irrigated peanut yield is 3400 lbs. and non-irrigated corn yield is 85 bu.</v>
      </c>
      <c r="C270" s="441"/>
      <c r="D270" s="441"/>
      <c r="E270" s="441"/>
      <c r="F270" s="441"/>
      <c r="G270" s="441"/>
      <c r="H270" s="441"/>
      <c r="I270" s="441"/>
      <c r="J270" s="174"/>
      <c r="K270" s="174"/>
    </row>
    <row r="271" spans="1:13" x14ac:dyDescent="0.2">
      <c r="A271" s="230" t="s">
        <v>89</v>
      </c>
      <c r="B271" s="441" t="s">
        <v>104</v>
      </c>
      <c r="C271" s="441"/>
      <c r="D271" s="441"/>
      <c r="E271" s="441"/>
      <c r="F271" s="441"/>
      <c r="G271" s="441"/>
      <c r="H271" s="441"/>
      <c r="I271" s="441"/>
      <c r="J271" s="441"/>
      <c r="K271" s="441"/>
      <c r="L271" s="441"/>
      <c r="M271" s="441"/>
    </row>
    <row r="301" spans="1:12" x14ac:dyDescent="0.2">
      <c r="A301" s="441" t="s">
        <v>93</v>
      </c>
      <c r="B301" s="441"/>
      <c r="C301" s="441"/>
      <c r="D301" s="441"/>
      <c r="E301" s="441"/>
      <c r="F301" s="441"/>
    </row>
    <row r="302" spans="1:12" x14ac:dyDescent="0.2">
      <c r="A302" s="230" t="s">
        <v>86</v>
      </c>
      <c r="B302" s="441" t="s">
        <v>99</v>
      </c>
      <c r="C302" s="441"/>
      <c r="D302" s="441"/>
      <c r="E302" s="441"/>
      <c r="F302" s="441"/>
      <c r="G302" s="441"/>
      <c r="H302" s="441"/>
      <c r="I302" s="441"/>
      <c r="J302" s="441"/>
      <c r="K302" s="441"/>
      <c r="L302" s="441"/>
    </row>
    <row r="303" spans="1:12" x14ac:dyDescent="0.2">
      <c r="A303" s="230" t="s">
        <v>87</v>
      </c>
      <c r="B303" s="441" t="str">
        <f>CONCATENATE("Irrigated soybean yield is ",Conventional!$H$7," bu. and irrigated corn yield is ",Conventional!$F$7," bu.")</f>
        <v>Irrigated soybean yield is 60 bu. and irrigated corn yield is 200 bu.</v>
      </c>
      <c r="C303" s="441"/>
      <c r="D303" s="441"/>
      <c r="E303" s="441"/>
      <c r="F303" s="441"/>
      <c r="G303" s="441"/>
      <c r="H303" s="441"/>
      <c r="I303" s="174"/>
      <c r="J303" s="174"/>
      <c r="K303" s="174"/>
    </row>
    <row r="304" spans="1:12" x14ac:dyDescent="0.2">
      <c r="A304" s="230" t="s">
        <v>88</v>
      </c>
      <c r="B304" s="441" t="str">
        <f>CONCATENATE("Non-irrigated soybean yield is ",Conventional!$R$7," bu. and non-irrigated corn yield is ",Conventional!$P$7," bu.")</f>
        <v>Non-irrigated soybean yield is 30 bu. and non-irrigated corn yield is 85 bu.</v>
      </c>
      <c r="C304" s="441"/>
      <c r="D304" s="441"/>
      <c r="E304" s="441"/>
      <c r="F304" s="441"/>
      <c r="G304" s="441"/>
      <c r="H304" s="441"/>
      <c r="I304" s="441"/>
      <c r="J304" s="174"/>
      <c r="K304" s="174"/>
    </row>
    <row r="305" spans="1:13" x14ac:dyDescent="0.2">
      <c r="A305" s="230" t="s">
        <v>89</v>
      </c>
      <c r="B305" s="441" t="s">
        <v>104</v>
      </c>
      <c r="C305" s="441"/>
      <c r="D305" s="441"/>
      <c r="E305" s="441"/>
      <c r="F305" s="441"/>
      <c r="G305" s="441"/>
      <c r="H305" s="441"/>
      <c r="I305" s="441"/>
      <c r="J305" s="441"/>
      <c r="K305" s="441"/>
      <c r="L305" s="441"/>
      <c r="M305" s="441"/>
    </row>
    <row r="334" spans="1:12" x14ac:dyDescent="0.2">
      <c r="A334" s="442" t="s">
        <v>93</v>
      </c>
      <c r="B334" s="442"/>
      <c r="C334" s="442"/>
      <c r="D334" s="442"/>
      <c r="E334" s="442"/>
      <c r="F334" s="442"/>
    </row>
    <row r="335" spans="1:12" x14ac:dyDescent="0.2">
      <c r="A335" s="230" t="s">
        <v>86</v>
      </c>
      <c r="B335" s="441" t="s">
        <v>100</v>
      </c>
      <c r="C335" s="441"/>
      <c r="D335" s="441"/>
      <c r="E335" s="441"/>
      <c r="F335" s="441"/>
      <c r="G335" s="441"/>
      <c r="H335" s="441"/>
      <c r="I335" s="441"/>
      <c r="J335" s="441"/>
      <c r="K335" s="441"/>
      <c r="L335" s="441"/>
    </row>
    <row r="336" spans="1:12" x14ac:dyDescent="0.2">
      <c r="A336" s="230" t="s">
        <v>87</v>
      </c>
      <c r="B336" s="441" t="str">
        <f>CONCATENATE("Irrigated cotton yield is ",Conventional!$B$7," lbs. and irrigated soybean yield is ",Conventional!$H$7," bu.")</f>
        <v>Irrigated cotton yield is 1200 lbs. and irrigated soybean yield is 60 bu.</v>
      </c>
      <c r="C336" s="441"/>
      <c r="D336" s="441"/>
      <c r="E336" s="441"/>
      <c r="F336" s="441"/>
      <c r="G336" s="441"/>
      <c r="H336" s="441"/>
      <c r="I336" s="174"/>
      <c r="J336" s="174"/>
      <c r="K336" s="174"/>
    </row>
    <row r="337" spans="1:13" x14ac:dyDescent="0.2">
      <c r="A337" s="230" t="s">
        <v>88</v>
      </c>
      <c r="B337" s="441" t="str">
        <f>CONCATENATE("Non-irrigated cotton yield is ",Conventional!$L$7," lbs. and non-irrigated soybean yield is ",Conventional!$R$7," bu.")</f>
        <v>Non-irrigated cotton yield is 750 lbs. and non-irrigated soybean yield is 30 bu.</v>
      </c>
      <c r="C337" s="441"/>
      <c r="D337" s="441"/>
      <c r="E337" s="441"/>
      <c r="F337" s="441"/>
      <c r="G337" s="441"/>
      <c r="H337" s="441"/>
      <c r="I337" s="441"/>
      <c r="J337" s="174"/>
      <c r="K337" s="174"/>
    </row>
    <row r="338" spans="1:13" x14ac:dyDescent="0.2">
      <c r="A338" s="230" t="s">
        <v>89</v>
      </c>
      <c r="B338" s="441" t="s">
        <v>104</v>
      </c>
      <c r="C338" s="441"/>
      <c r="D338" s="441"/>
      <c r="E338" s="441"/>
      <c r="F338" s="441"/>
      <c r="G338" s="441"/>
      <c r="H338" s="441"/>
      <c r="I338" s="441"/>
      <c r="J338" s="441"/>
      <c r="K338" s="441"/>
      <c r="L338" s="441"/>
      <c r="M338" s="441"/>
    </row>
    <row r="369" spans="1:13" x14ac:dyDescent="0.2">
      <c r="A369" s="441" t="s">
        <v>93</v>
      </c>
      <c r="B369" s="441"/>
      <c r="C369" s="441"/>
      <c r="D369" s="441"/>
      <c r="E369" s="441"/>
      <c r="F369" s="441"/>
    </row>
    <row r="370" spans="1:13" x14ac:dyDescent="0.2">
      <c r="A370" s="230" t="s">
        <v>86</v>
      </c>
      <c r="B370" s="441" t="s">
        <v>101</v>
      </c>
      <c r="C370" s="441"/>
      <c r="D370" s="441"/>
      <c r="E370" s="441"/>
      <c r="F370" s="441"/>
      <c r="G370" s="441"/>
      <c r="H370" s="441"/>
      <c r="I370" s="441"/>
      <c r="J370" s="441"/>
      <c r="K370" s="441"/>
      <c r="L370" s="441"/>
    </row>
    <row r="371" spans="1:13" x14ac:dyDescent="0.2">
      <c r="A371" s="230" t="s">
        <v>87</v>
      </c>
      <c r="B371" s="441" t="str">
        <f>CONCATENATE("Irrigated peanut yield is ",Conventional!$D$7," lbs. and irrigated soybean yield is ",Conventional!$H$7," bu.")</f>
        <v>Irrigated peanut yield is 4700 lbs. and irrigated soybean yield is 60 bu.</v>
      </c>
      <c r="C371" s="441"/>
      <c r="D371" s="441"/>
      <c r="E371" s="441"/>
      <c r="F371" s="441"/>
      <c r="G371" s="441"/>
      <c r="H371" s="441"/>
      <c r="I371" s="174"/>
      <c r="J371" s="174"/>
      <c r="K371" s="174"/>
    </row>
    <row r="372" spans="1:13" x14ac:dyDescent="0.2">
      <c r="A372" s="230" t="s">
        <v>88</v>
      </c>
      <c r="B372" s="441" t="str">
        <f>CONCATENATE("Non-irrigated peanut yield is ",Conventional!$N$7," lbs. and non-irrigated soybean yield is ",Conventional!$R$7," bu.")</f>
        <v>Non-irrigated peanut yield is 3400 lbs. and non-irrigated soybean yield is 30 bu.</v>
      </c>
      <c r="C372" s="441"/>
      <c r="D372" s="441"/>
      <c r="E372" s="441"/>
      <c r="F372" s="441"/>
      <c r="G372" s="441"/>
      <c r="H372" s="441"/>
      <c r="I372" s="441"/>
      <c r="J372" s="174"/>
      <c r="K372" s="174"/>
    </row>
    <row r="373" spans="1:13" x14ac:dyDescent="0.2">
      <c r="A373" s="230" t="s">
        <v>89</v>
      </c>
      <c r="B373" s="441" t="s">
        <v>104</v>
      </c>
      <c r="C373" s="441"/>
      <c r="D373" s="441"/>
      <c r="E373" s="441"/>
      <c r="F373" s="441"/>
      <c r="G373" s="441"/>
      <c r="H373" s="441"/>
      <c r="I373" s="441"/>
      <c r="J373" s="441"/>
      <c r="K373" s="441"/>
      <c r="L373" s="441"/>
      <c r="M373" s="441"/>
    </row>
    <row r="403" spans="1:13" x14ac:dyDescent="0.2">
      <c r="A403" s="441" t="s">
        <v>93</v>
      </c>
      <c r="B403" s="441"/>
      <c r="C403" s="441"/>
      <c r="D403" s="441"/>
      <c r="E403" s="441"/>
      <c r="F403" s="441"/>
    </row>
    <row r="404" spans="1:13" x14ac:dyDescent="0.2">
      <c r="A404" s="230" t="s">
        <v>86</v>
      </c>
      <c r="B404" s="441" t="s">
        <v>102</v>
      </c>
      <c r="C404" s="441"/>
      <c r="D404" s="441"/>
      <c r="E404" s="441"/>
      <c r="F404" s="441"/>
      <c r="G404" s="441"/>
      <c r="H404" s="441"/>
      <c r="I404" s="441"/>
      <c r="J404" s="441"/>
      <c r="K404" s="441"/>
      <c r="L404" s="441"/>
    </row>
    <row r="405" spans="1:13" x14ac:dyDescent="0.2">
      <c r="A405" s="230" t="s">
        <v>87</v>
      </c>
      <c r="B405" s="441" t="str">
        <f>CONCATENATE("Irrigated corn yield is ",Conventional!$F$7," bu. and irrigated soybean yield is ",Conventional!$H$7," bu.")</f>
        <v>Irrigated corn yield is 200 bu. and irrigated soybean yield is 60 bu.</v>
      </c>
      <c r="C405" s="441"/>
      <c r="D405" s="441"/>
      <c r="E405" s="441"/>
      <c r="F405" s="441"/>
      <c r="G405" s="441"/>
      <c r="H405" s="441"/>
      <c r="I405" s="174"/>
      <c r="J405" s="174"/>
      <c r="K405" s="174"/>
    </row>
    <row r="406" spans="1:13" x14ac:dyDescent="0.2">
      <c r="A406" s="230" t="s">
        <v>88</v>
      </c>
      <c r="B406" s="441" t="str">
        <f>CONCATENATE("Non-irrigated corn yield is ",Conventional!$P$7," bu. and non-irrigated soybean yield is ",Conventional!$R$7," bu.")</f>
        <v>Non-irrigated corn yield is 85 bu. and non-irrigated soybean yield is 30 bu.</v>
      </c>
      <c r="C406" s="441"/>
      <c r="D406" s="441"/>
      <c r="E406" s="441"/>
      <c r="F406" s="441"/>
      <c r="G406" s="441"/>
      <c r="H406" s="441"/>
      <c r="I406" s="441"/>
      <c r="J406" s="174"/>
      <c r="K406" s="174"/>
    </row>
    <row r="407" spans="1:13" x14ac:dyDescent="0.2">
      <c r="A407" s="230" t="s">
        <v>89</v>
      </c>
      <c r="B407" s="441" t="s">
        <v>104</v>
      </c>
      <c r="C407" s="441"/>
      <c r="D407" s="441"/>
      <c r="E407" s="441"/>
      <c r="F407" s="441"/>
      <c r="G407" s="441"/>
      <c r="H407" s="441"/>
      <c r="I407" s="441"/>
      <c r="J407" s="441"/>
      <c r="K407" s="441"/>
      <c r="L407" s="441"/>
      <c r="M407" s="441"/>
    </row>
  </sheetData>
  <sheetProtection sheet="1" objects="1" scenarios="1"/>
  <mergeCells count="60">
    <mergeCell ref="B101:M101"/>
    <mergeCell ref="B64:K64"/>
    <mergeCell ref="B65:H65"/>
    <mergeCell ref="B66:I66"/>
    <mergeCell ref="B67:M67"/>
    <mergeCell ref="B99:H99"/>
    <mergeCell ref="B100:I100"/>
    <mergeCell ref="A29:F29"/>
    <mergeCell ref="A63:F63"/>
    <mergeCell ref="A97:F97"/>
    <mergeCell ref="B98:L98"/>
    <mergeCell ref="B30:K30"/>
    <mergeCell ref="B31:H31"/>
    <mergeCell ref="B32:I32"/>
    <mergeCell ref="B33:M33"/>
    <mergeCell ref="B166:K166"/>
    <mergeCell ref="B167:H167"/>
    <mergeCell ref="B168:I168"/>
    <mergeCell ref="B169:M169"/>
    <mergeCell ref="A131:F131"/>
    <mergeCell ref="B132:K132"/>
    <mergeCell ref="B133:H133"/>
    <mergeCell ref="B134:I134"/>
    <mergeCell ref="A165:F165"/>
    <mergeCell ref="B135:M135"/>
    <mergeCell ref="A233:F233"/>
    <mergeCell ref="B234:K234"/>
    <mergeCell ref="B235:H235"/>
    <mergeCell ref="B236:I236"/>
    <mergeCell ref="A267:F267"/>
    <mergeCell ref="B407:M407"/>
    <mergeCell ref="B373:M373"/>
    <mergeCell ref="B338:M338"/>
    <mergeCell ref="A199:F199"/>
    <mergeCell ref="B200:L200"/>
    <mergeCell ref="B201:H201"/>
    <mergeCell ref="B202:I202"/>
    <mergeCell ref="B303:H303"/>
    <mergeCell ref="B237:M237"/>
    <mergeCell ref="B203:M203"/>
    <mergeCell ref="B405:H405"/>
    <mergeCell ref="B337:I337"/>
    <mergeCell ref="A369:F369"/>
    <mergeCell ref="B268:K268"/>
    <mergeCell ref="B269:H269"/>
    <mergeCell ref="B270:I270"/>
    <mergeCell ref="B305:M305"/>
    <mergeCell ref="B271:M271"/>
    <mergeCell ref="B406:I406"/>
    <mergeCell ref="A334:F334"/>
    <mergeCell ref="B336:H336"/>
    <mergeCell ref="A301:F301"/>
    <mergeCell ref="B302:L302"/>
    <mergeCell ref="B371:H371"/>
    <mergeCell ref="B335:L335"/>
    <mergeCell ref="B370:L370"/>
    <mergeCell ref="A403:F403"/>
    <mergeCell ref="B404:L404"/>
    <mergeCell ref="B372:I372"/>
    <mergeCell ref="B304:I304"/>
  </mergeCells>
  <phoneticPr fontId="2" type="noConversion"/>
  <printOptions horizontalCentered="1" verticalCentered="1"/>
  <pageMargins left="0.7" right="0.7" top="0.75" bottom="0.75" header="0.3" footer="0.3"/>
  <pageSetup scale="105" fitToWidth="3" fitToHeight="3" orientation="landscape"/>
  <headerFooter>
    <oddHeader>&amp;LConventional Tillage Chart</oddHeader>
    <oddFooter>&amp;L&amp;G&amp;CCharts by A.R. Smith, W.D. Shurley, and N.B. Smith&amp;RAg and Applied Economics, 1/2016</oddFooter>
  </headerFooter>
  <rowBreaks count="11" manualBreakCount="11">
    <brk id="34" max="12" man="1"/>
    <brk id="68" max="12" man="1"/>
    <brk id="102" max="12" man="1"/>
    <brk id="136" max="12" man="1"/>
    <brk id="170" max="12" man="1"/>
    <brk id="204" max="12" man="1"/>
    <brk id="238" max="12" man="1"/>
    <brk id="272" max="12" man="1"/>
    <brk id="306" max="12" man="1"/>
    <brk id="340" max="12" man="1"/>
    <brk id="374" max="12" man="1"/>
  </rowBreaks>
  <colBreaks count="2" manualBreakCount="2">
    <brk id="13" max="216" man="1"/>
    <brk id="26" max="216" man="1"/>
  </colBreaks>
  <drawing r:id="rId1"/>
  <legacyDrawingHF r:id="rId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</sheetPr>
  <dimension ref="A29:M407"/>
  <sheetViews>
    <sheetView zoomScale="110" zoomScaleNormal="110" zoomScaleSheetLayoutView="100" zoomScalePageLayoutView="110" workbookViewId="0"/>
  </sheetViews>
  <sheetFormatPr defaultColWidth="8.85546875" defaultRowHeight="12.75" x14ac:dyDescent="0.2"/>
  <cols>
    <col min="1" max="1" width="8.85546875" style="100"/>
    <col min="2" max="2" width="8.85546875" style="174"/>
    <col min="3" max="26" width="8.85546875" style="100"/>
    <col min="27" max="27" width="8.85546875" style="100" customWidth="1"/>
    <col min="28" max="16384" width="8.85546875" style="100"/>
  </cols>
  <sheetData>
    <row r="29" spans="1:11" x14ac:dyDescent="0.2">
      <c r="A29" s="442" t="s">
        <v>93</v>
      </c>
      <c r="B29" s="442"/>
      <c r="C29" s="442"/>
      <c r="D29" s="442"/>
      <c r="E29" s="442"/>
      <c r="F29" s="442"/>
    </row>
    <row r="30" spans="1:11" x14ac:dyDescent="0.2">
      <c r="A30" s="230" t="s">
        <v>86</v>
      </c>
      <c r="B30" s="441" t="s">
        <v>90</v>
      </c>
      <c r="C30" s="441"/>
      <c r="D30" s="441"/>
      <c r="E30" s="441"/>
      <c r="F30" s="441"/>
      <c r="G30" s="441"/>
      <c r="H30" s="441"/>
      <c r="I30" s="441"/>
      <c r="J30" s="441"/>
      <c r="K30" s="441"/>
    </row>
    <row r="31" spans="1:11" x14ac:dyDescent="0.2">
      <c r="A31" s="230" t="s">
        <v>87</v>
      </c>
      <c r="B31" s="441" t="str">
        <f>CONCATENATE("Irrigated peanut yield is ",'Strip-Till'!$D$7," lbs. and irrigated cotton yield is ",'Strip-Till'!B7," lbs.")</f>
        <v>Irrigated peanut yield is 4700 lbs. and irrigated cotton yield is 1200 lbs.</v>
      </c>
      <c r="C31" s="441"/>
      <c r="D31" s="441"/>
      <c r="E31" s="441"/>
      <c r="F31" s="441"/>
      <c r="G31" s="441"/>
      <c r="H31" s="441"/>
      <c r="I31" s="174"/>
      <c r="J31" s="174"/>
      <c r="K31" s="174"/>
    </row>
    <row r="32" spans="1:11" x14ac:dyDescent="0.2">
      <c r="A32" s="230" t="s">
        <v>88</v>
      </c>
      <c r="B32" s="441" t="str">
        <f>CONCATENATE("Non-irrigated peanut yield is ",'Strip-Till'!N7," lbs. and non-irrigated cotton yield is ",'Strip-Till'!L7," lbs.")</f>
        <v>Non-irrigated peanut yield is 3400 lbs. and non-irrigated cotton yield is 750 lbs.</v>
      </c>
      <c r="C32" s="441"/>
      <c r="D32" s="441"/>
      <c r="E32" s="441"/>
      <c r="F32" s="441"/>
      <c r="G32" s="441"/>
      <c r="H32" s="441"/>
      <c r="I32" s="441"/>
      <c r="J32" s="174"/>
      <c r="K32" s="174"/>
    </row>
    <row r="33" spans="1:13" x14ac:dyDescent="0.2">
      <c r="A33" s="230" t="s">
        <v>89</v>
      </c>
      <c r="B33" s="441" t="s">
        <v>103</v>
      </c>
      <c r="C33" s="441"/>
      <c r="D33" s="441"/>
      <c r="E33" s="441"/>
      <c r="F33" s="441"/>
      <c r="G33" s="441"/>
      <c r="H33" s="441"/>
      <c r="I33" s="441"/>
      <c r="J33" s="441"/>
      <c r="K33" s="441"/>
      <c r="L33" s="441"/>
      <c r="M33" s="441"/>
    </row>
    <row r="63" spans="1:11" x14ac:dyDescent="0.2">
      <c r="A63" s="441" t="s">
        <v>93</v>
      </c>
      <c r="B63" s="441"/>
      <c r="C63" s="441"/>
      <c r="D63" s="441"/>
      <c r="E63" s="441"/>
      <c r="F63" s="441"/>
    </row>
    <row r="64" spans="1:11" x14ac:dyDescent="0.2">
      <c r="A64" s="230" t="s">
        <v>86</v>
      </c>
      <c r="B64" s="441" t="s">
        <v>91</v>
      </c>
      <c r="C64" s="441"/>
      <c r="D64" s="441"/>
      <c r="E64" s="441"/>
      <c r="F64" s="441"/>
      <c r="G64" s="441"/>
      <c r="H64" s="441"/>
      <c r="I64" s="441"/>
      <c r="J64" s="441"/>
      <c r="K64" s="441"/>
    </row>
    <row r="65" spans="1:13" x14ac:dyDescent="0.2">
      <c r="A65" s="230" t="s">
        <v>87</v>
      </c>
      <c r="B65" s="441" t="str">
        <f>CONCATENATE("Irrigated corn yield is ",'Strip-Till'!F7," bu. and irrigated cotton yield is ",'Strip-Till'!B7," lbs.")</f>
        <v>Irrigated corn yield is 200 bu. and irrigated cotton yield is 1200 lbs.</v>
      </c>
      <c r="C65" s="441"/>
      <c r="D65" s="441"/>
      <c r="E65" s="441"/>
      <c r="F65" s="441"/>
      <c r="G65" s="441"/>
      <c r="H65" s="441"/>
      <c r="I65" s="174"/>
      <c r="J65" s="174"/>
      <c r="K65" s="174"/>
    </row>
    <row r="66" spans="1:13" x14ac:dyDescent="0.2">
      <c r="A66" s="230" t="s">
        <v>88</v>
      </c>
      <c r="B66" s="441" t="str">
        <f>CONCATENATE("Non-irrigated corn yield is ",'Strip-Till'!P7," bu. and non-irrigated cotton yield is ",'Strip-Till'!L7," lbs.")</f>
        <v>Non-irrigated corn yield is 85 bu. and non-irrigated cotton yield is 750 lbs.</v>
      </c>
      <c r="C66" s="441"/>
      <c r="D66" s="441"/>
      <c r="E66" s="441"/>
      <c r="F66" s="441"/>
      <c r="G66" s="441"/>
      <c r="H66" s="441"/>
      <c r="I66" s="441"/>
      <c r="J66" s="174"/>
      <c r="K66" s="174"/>
    </row>
    <row r="67" spans="1:13" x14ac:dyDescent="0.2">
      <c r="A67" s="230" t="s">
        <v>89</v>
      </c>
      <c r="B67" s="441" t="s">
        <v>103</v>
      </c>
      <c r="C67" s="441"/>
      <c r="D67" s="441"/>
      <c r="E67" s="441"/>
      <c r="F67" s="441"/>
      <c r="G67" s="441"/>
      <c r="H67" s="441"/>
      <c r="I67" s="441"/>
      <c r="J67" s="441"/>
      <c r="K67" s="441"/>
      <c r="L67" s="441"/>
      <c r="M67" s="441"/>
    </row>
    <row r="97" spans="1:13" x14ac:dyDescent="0.2">
      <c r="A97" s="441" t="s">
        <v>93</v>
      </c>
      <c r="B97" s="441"/>
      <c r="C97" s="441"/>
      <c r="D97" s="441"/>
      <c r="E97" s="441"/>
      <c r="F97" s="441"/>
    </row>
    <row r="98" spans="1:13" x14ac:dyDescent="0.2">
      <c r="A98" s="230" t="s">
        <v>86</v>
      </c>
      <c r="B98" s="441" t="s">
        <v>92</v>
      </c>
      <c r="C98" s="441"/>
      <c r="D98" s="441"/>
      <c r="E98" s="441"/>
      <c r="F98" s="441"/>
      <c r="G98" s="441"/>
      <c r="H98" s="441"/>
      <c r="I98" s="441"/>
      <c r="J98" s="441"/>
      <c r="K98" s="441"/>
      <c r="L98" s="441"/>
    </row>
    <row r="99" spans="1:13" x14ac:dyDescent="0.2">
      <c r="A99" s="230" t="s">
        <v>87</v>
      </c>
      <c r="B99" s="441" t="str">
        <f>CONCATENATE("Irrigated soybean yield is ",'Strip-Till'!H7," bu. and irrigated cotton yield is ",'Strip-Till'!B7," lbs.")</f>
        <v>Irrigated soybean yield is 60 bu. and irrigated cotton yield is 1200 lbs.</v>
      </c>
      <c r="C99" s="441"/>
      <c r="D99" s="441"/>
      <c r="E99" s="441"/>
      <c r="F99" s="441"/>
      <c r="G99" s="441"/>
      <c r="H99" s="441"/>
      <c r="I99" s="174"/>
      <c r="J99" s="174"/>
      <c r="K99" s="174"/>
    </row>
    <row r="100" spans="1:13" x14ac:dyDescent="0.2">
      <c r="A100" s="230" t="s">
        <v>88</v>
      </c>
      <c r="B100" s="441" t="str">
        <f>CONCATENATE("Non-irrigated soybean yield is ",'Strip-Till'!R7," bu. and non-irrigated cotton yield is ",'Strip-Till'!L7," lbs.")</f>
        <v>Non-irrigated soybean yield is 30 bu. and non-irrigated cotton yield is 750 lbs.</v>
      </c>
      <c r="C100" s="441"/>
      <c r="D100" s="441"/>
      <c r="E100" s="441"/>
      <c r="F100" s="441"/>
      <c r="G100" s="441"/>
      <c r="H100" s="441"/>
      <c r="I100" s="441"/>
      <c r="J100" s="174"/>
      <c r="K100" s="174"/>
    </row>
    <row r="101" spans="1:13" x14ac:dyDescent="0.2">
      <c r="A101" s="230" t="s">
        <v>89</v>
      </c>
      <c r="B101" s="441" t="s">
        <v>103</v>
      </c>
      <c r="C101" s="441"/>
      <c r="D101" s="441"/>
      <c r="E101" s="441"/>
      <c r="F101" s="441"/>
      <c r="G101" s="441"/>
      <c r="H101" s="441"/>
      <c r="I101" s="441"/>
      <c r="J101" s="441"/>
      <c r="K101" s="441"/>
      <c r="L101" s="441"/>
      <c r="M101" s="441"/>
    </row>
    <row r="131" spans="1:13" x14ac:dyDescent="0.2">
      <c r="A131" s="442" t="s">
        <v>93</v>
      </c>
      <c r="B131" s="442"/>
      <c r="C131" s="442"/>
      <c r="D131" s="442"/>
      <c r="E131" s="442"/>
      <c r="F131" s="442"/>
    </row>
    <row r="132" spans="1:13" x14ac:dyDescent="0.2">
      <c r="A132" s="230" t="s">
        <v>86</v>
      </c>
      <c r="B132" s="441" t="s">
        <v>94</v>
      </c>
      <c r="C132" s="441"/>
      <c r="D132" s="441"/>
      <c r="E132" s="441"/>
      <c r="F132" s="441"/>
      <c r="G132" s="441"/>
      <c r="H132" s="441"/>
      <c r="I132" s="441"/>
      <c r="J132" s="441"/>
      <c r="K132" s="441"/>
    </row>
    <row r="133" spans="1:13" x14ac:dyDescent="0.2">
      <c r="A133" s="230" t="s">
        <v>87</v>
      </c>
      <c r="B133" s="441" t="str">
        <f>CONCATENATE("Irrigated cotton yield is ",'Strip-Till'!B7," lbs. and irrigated peanut yield is ",'Strip-Till'!D7," lbs.")</f>
        <v>Irrigated cotton yield is 1200 lbs. and irrigated peanut yield is 4700 lbs.</v>
      </c>
      <c r="C133" s="441"/>
      <c r="D133" s="441"/>
      <c r="E133" s="441"/>
      <c r="F133" s="441"/>
      <c r="G133" s="441"/>
      <c r="H133" s="441"/>
      <c r="I133" s="174"/>
      <c r="J133" s="174"/>
      <c r="K133" s="174"/>
    </row>
    <row r="134" spans="1:13" x14ac:dyDescent="0.2">
      <c r="A134" s="230" t="s">
        <v>88</v>
      </c>
      <c r="B134" s="441" t="str">
        <f>CONCATENATE("Non-irrigated cotton yield is ",'Strip-Till'!L7," lbs. and non-irrigated peanut yield is ",'Strip-Till'!N7," lbs.")</f>
        <v>Non-irrigated cotton yield is 750 lbs. and non-irrigated peanut yield is 3400 lbs.</v>
      </c>
      <c r="C134" s="441"/>
      <c r="D134" s="441"/>
      <c r="E134" s="441"/>
      <c r="F134" s="441"/>
      <c r="G134" s="441"/>
      <c r="H134" s="441"/>
      <c r="I134" s="441"/>
      <c r="J134" s="174"/>
      <c r="K134" s="174"/>
    </row>
    <row r="135" spans="1:13" x14ac:dyDescent="0.2">
      <c r="A135" s="230" t="s">
        <v>89</v>
      </c>
      <c r="B135" s="441" t="s">
        <v>103</v>
      </c>
      <c r="C135" s="441"/>
      <c r="D135" s="441"/>
      <c r="E135" s="441"/>
      <c r="F135" s="441"/>
      <c r="G135" s="441"/>
      <c r="H135" s="441"/>
      <c r="I135" s="441"/>
      <c r="J135" s="441"/>
      <c r="K135" s="441"/>
      <c r="L135" s="441"/>
      <c r="M135" s="441"/>
    </row>
    <row r="165" spans="1:13" x14ac:dyDescent="0.2">
      <c r="A165" s="441" t="s">
        <v>93</v>
      </c>
      <c r="B165" s="441"/>
      <c r="C165" s="441"/>
      <c r="D165" s="441"/>
      <c r="E165" s="441"/>
      <c r="F165" s="441"/>
    </row>
    <row r="166" spans="1:13" x14ac:dyDescent="0.2">
      <c r="A166" s="230" t="s">
        <v>86</v>
      </c>
      <c r="B166" s="441" t="s">
        <v>95</v>
      </c>
      <c r="C166" s="441"/>
      <c r="D166" s="441"/>
      <c r="E166" s="441"/>
      <c r="F166" s="441"/>
      <c r="G166" s="441"/>
      <c r="H166" s="441"/>
      <c r="I166" s="441"/>
      <c r="J166" s="441"/>
      <c r="K166" s="441"/>
    </row>
    <row r="167" spans="1:13" x14ac:dyDescent="0.2">
      <c r="A167" s="230" t="s">
        <v>87</v>
      </c>
      <c r="B167" s="441" t="str">
        <f>CONCATENATE("Irrigated corn yield is ",'Strip-Till'!$F$7," bu. and irrigated peanut yield is ",'Strip-Till'!$D$7," lbs.")</f>
        <v>Irrigated corn yield is 200 bu. and irrigated peanut yield is 4700 lbs.</v>
      </c>
      <c r="C167" s="441"/>
      <c r="D167" s="441"/>
      <c r="E167" s="441"/>
      <c r="F167" s="441"/>
      <c r="G167" s="441"/>
      <c r="H167" s="441"/>
      <c r="I167" s="174"/>
      <c r="J167" s="174"/>
      <c r="K167" s="174"/>
    </row>
    <row r="168" spans="1:13" x14ac:dyDescent="0.2">
      <c r="A168" s="230" t="s">
        <v>88</v>
      </c>
      <c r="B168" s="441" t="str">
        <f>CONCATENATE("Non-irrigated corn yield is ",'Strip-Till'!$P$7," bu. and non-irrigated peanut yield is ",'Strip-Till'!N7," lbs.")</f>
        <v>Non-irrigated corn yield is 85 bu. and non-irrigated peanut yield is 3400 lbs.</v>
      </c>
      <c r="C168" s="441"/>
      <c r="D168" s="441"/>
      <c r="E168" s="441"/>
      <c r="F168" s="441"/>
      <c r="G168" s="441"/>
      <c r="H168" s="441"/>
      <c r="I168" s="441"/>
      <c r="J168" s="174"/>
      <c r="K168" s="174"/>
    </row>
    <row r="169" spans="1:13" x14ac:dyDescent="0.2">
      <c r="A169" s="230" t="s">
        <v>89</v>
      </c>
      <c r="B169" s="441" t="s">
        <v>103</v>
      </c>
      <c r="C169" s="441"/>
      <c r="D169" s="441"/>
      <c r="E169" s="441"/>
      <c r="F169" s="441"/>
      <c r="G169" s="441"/>
      <c r="H169" s="441"/>
      <c r="I169" s="441"/>
      <c r="J169" s="441"/>
      <c r="K169" s="441"/>
      <c r="L169" s="441"/>
      <c r="M169" s="441"/>
    </row>
    <row r="199" spans="1:13" x14ac:dyDescent="0.2">
      <c r="A199" s="441" t="s">
        <v>93</v>
      </c>
      <c r="B199" s="441"/>
      <c r="C199" s="441"/>
      <c r="D199" s="441"/>
      <c r="E199" s="441"/>
      <c r="F199" s="441"/>
    </row>
    <row r="200" spans="1:13" x14ac:dyDescent="0.2">
      <c r="A200" s="230" t="s">
        <v>86</v>
      </c>
      <c r="B200" s="441" t="s">
        <v>96</v>
      </c>
      <c r="C200" s="441"/>
      <c r="D200" s="441"/>
      <c r="E200" s="441"/>
      <c r="F200" s="441"/>
      <c r="G200" s="441"/>
      <c r="H200" s="441"/>
      <c r="I200" s="441"/>
      <c r="J200" s="441"/>
      <c r="K200" s="441"/>
      <c r="L200" s="441"/>
    </row>
    <row r="201" spans="1:13" x14ac:dyDescent="0.2">
      <c r="A201" s="230" t="s">
        <v>87</v>
      </c>
      <c r="B201" s="441" t="str">
        <f>CONCATENATE("Irrigated soybean yield is ",'Strip-Till'!$H$7," bu. and irrigated peanut yield is ",'Strip-Till'!$D$7," lbs.")</f>
        <v>Irrigated soybean yield is 60 bu. and irrigated peanut yield is 4700 lbs.</v>
      </c>
      <c r="C201" s="441"/>
      <c r="D201" s="441"/>
      <c r="E201" s="441"/>
      <c r="F201" s="441"/>
      <c r="G201" s="441"/>
      <c r="H201" s="441"/>
      <c r="I201" s="174"/>
      <c r="J201" s="174"/>
      <c r="K201" s="174"/>
    </row>
    <row r="202" spans="1:13" x14ac:dyDescent="0.2">
      <c r="A202" s="230" t="s">
        <v>88</v>
      </c>
      <c r="B202" s="441" t="str">
        <f>CONCATENATE("Non-irrigated soybean yield is ",'Strip-Till'!$R$7," bu. and non-irrigated peanut yield is ",'Strip-Till'!$N$7," lbs.")</f>
        <v>Non-irrigated soybean yield is 30 bu. and non-irrigated peanut yield is 3400 lbs.</v>
      </c>
      <c r="C202" s="441"/>
      <c r="D202" s="441"/>
      <c r="E202" s="441"/>
      <c r="F202" s="441"/>
      <c r="G202" s="441"/>
      <c r="H202" s="441"/>
      <c r="I202" s="441"/>
      <c r="J202" s="174"/>
      <c r="K202" s="174"/>
    </row>
    <row r="203" spans="1:13" x14ac:dyDescent="0.2">
      <c r="A203" s="230" t="s">
        <v>89</v>
      </c>
      <c r="B203" s="441" t="s">
        <v>103</v>
      </c>
      <c r="C203" s="441"/>
      <c r="D203" s="441"/>
      <c r="E203" s="441"/>
      <c r="F203" s="441"/>
      <c r="G203" s="441"/>
      <c r="H203" s="441"/>
      <c r="I203" s="441"/>
      <c r="J203" s="441"/>
      <c r="K203" s="441"/>
      <c r="L203" s="441"/>
      <c r="M203" s="441"/>
    </row>
    <row r="233" spans="1:13" x14ac:dyDescent="0.2">
      <c r="A233" s="442" t="s">
        <v>93</v>
      </c>
      <c r="B233" s="442"/>
      <c r="C233" s="442"/>
      <c r="D233" s="442"/>
      <c r="E233" s="442"/>
      <c r="F233" s="442"/>
    </row>
    <row r="234" spans="1:13" x14ac:dyDescent="0.2">
      <c r="A234" s="230" t="s">
        <v>86</v>
      </c>
      <c r="B234" s="441" t="s">
        <v>97</v>
      </c>
      <c r="C234" s="441"/>
      <c r="D234" s="441"/>
      <c r="E234" s="441"/>
      <c r="F234" s="441"/>
      <c r="G234" s="441"/>
      <c r="H234" s="441"/>
      <c r="I234" s="441"/>
      <c r="J234" s="441"/>
      <c r="K234" s="441"/>
    </row>
    <row r="235" spans="1:13" x14ac:dyDescent="0.2">
      <c r="A235" s="230" t="s">
        <v>87</v>
      </c>
      <c r="B235" s="441" t="str">
        <f>CONCATENATE("Irrigated cotton yield is ",'Strip-Till'!$B$7," lbs. and irrigated corn yield is ",'Strip-Till'!$F$7," bu.")</f>
        <v>Irrigated cotton yield is 1200 lbs. and irrigated corn yield is 200 bu.</v>
      </c>
      <c r="C235" s="441"/>
      <c r="D235" s="441"/>
      <c r="E235" s="441"/>
      <c r="F235" s="441"/>
      <c r="G235" s="441"/>
      <c r="H235" s="441"/>
      <c r="I235" s="174"/>
      <c r="J235" s="174"/>
      <c r="K235" s="174"/>
    </row>
    <row r="236" spans="1:13" x14ac:dyDescent="0.2">
      <c r="A236" s="230" t="s">
        <v>88</v>
      </c>
      <c r="B236" s="441" t="str">
        <f>CONCATENATE("Non-irrigated cotton yield is ",'Strip-Till'!$L$7," lbs. and non-irrigated corn yield is ",'Strip-Till'!$P$7," bu.")</f>
        <v>Non-irrigated cotton yield is 750 lbs. and non-irrigated corn yield is 85 bu.</v>
      </c>
      <c r="C236" s="441"/>
      <c r="D236" s="441"/>
      <c r="E236" s="441"/>
      <c r="F236" s="441"/>
      <c r="G236" s="441"/>
      <c r="H236" s="441"/>
      <c r="I236" s="441"/>
      <c r="J236" s="174"/>
      <c r="K236" s="174"/>
    </row>
    <row r="237" spans="1:13" x14ac:dyDescent="0.2">
      <c r="A237" s="230" t="s">
        <v>89</v>
      </c>
      <c r="B237" s="441" t="s">
        <v>103</v>
      </c>
      <c r="C237" s="441"/>
      <c r="D237" s="441"/>
      <c r="E237" s="441"/>
      <c r="F237" s="441"/>
      <c r="G237" s="441"/>
      <c r="H237" s="441"/>
      <c r="I237" s="441"/>
      <c r="J237" s="441"/>
      <c r="K237" s="441"/>
      <c r="L237" s="441"/>
      <c r="M237" s="441"/>
    </row>
    <row r="267" spans="1:13" x14ac:dyDescent="0.2">
      <c r="A267" s="441" t="s">
        <v>93</v>
      </c>
      <c r="B267" s="441"/>
      <c r="C267" s="441"/>
      <c r="D267" s="441"/>
      <c r="E267" s="441"/>
      <c r="F267" s="441"/>
    </row>
    <row r="268" spans="1:13" x14ac:dyDescent="0.2">
      <c r="A268" s="230" t="s">
        <v>86</v>
      </c>
      <c r="B268" s="441" t="s">
        <v>98</v>
      </c>
      <c r="C268" s="441"/>
      <c r="D268" s="441"/>
      <c r="E268" s="441"/>
      <c r="F268" s="441"/>
      <c r="G268" s="441"/>
      <c r="H268" s="441"/>
      <c r="I268" s="441"/>
      <c r="J268" s="441"/>
      <c r="K268" s="441"/>
    </row>
    <row r="269" spans="1:13" x14ac:dyDescent="0.2">
      <c r="A269" s="230" t="s">
        <v>87</v>
      </c>
      <c r="B269" s="441" t="str">
        <f>CONCATENATE("Irrigated peanut yield is ",'Strip-Till'!$D$7," lbs. and irrigated corn yield is ",'Strip-Till'!$F$7," bu.")</f>
        <v>Irrigated peanut yield is 4700 lbs. and irrigated corn yield is 200 bu.</v>
      </c>
      <c r="C269" s="441"/>
      <c r="D269" s="441"/>
      <c r="E269" s="441"/>
      <c r="F269" s="441"/>
      <c r="G269" s="441"/>
      <c r="H269" s="441"/>
      <c r="I269" s="174"/>
      <c r="J269" s="174"/>
      <c r="K269" s="174"/>
    </row>
    <row r="270" spans="1:13" x14ac:dyDescent="0.2">
      <c r="A270" s="230" t="s">
        <v>88</v>
      </c>
      <c r="B270" s="441" t="str">
        <f>CONCATENATE("Non-irrigated peanut yield is ",'Strip-Till'!$N$7," lbs. and non-irrigated corn yield is ",'Strip-Till'!$P$7," bu.")</f>
        <v>Non-irrigated peanut yield is 3400 lbs. and non-irrigated corn yield is 85 bu.</v>
      </c>
      <c r="C270" s="441"/>
      <c r="D270" s="441"/>
      <c r="E270" s="441"/>
      <c r="F270" s="441"/>
      <c r="G270" s="441"/>
      <c r="H270" s="441"/>
      <c r="I270" s="441"/>
      <c r="J270" s="174"/>
      <c r="K270" s="174"/>
    </row>
    <row r="271" spans="1:13" x14ac:dyDescent="0.2">
      <c r="A271" s="230" t="s">
        <v>89</v>
      </c>
      <c r="B271" s="441" t="s">
        <v>103</v>
      </c>
      <c r="C271" s="441"/>
      <c r="D271" s="441"/>
      <c r="E271" s="441"/>
      <c r="F271" s="441"/>
      <c r="G271" s="441"/>
      <c r="H271" s="441"/>
      <c r="I271" s="441"/>
      <c r="J271" s="441"/>
      <c r="K271" s="441"/>
      <c r="L271" s="441"/>
      <c r="M271" s="441"/>
    </row>
    <row r="301" spans="1:12" x14ac:dyDescent="0.2">
      <c r="A301" s="441" t="s">
        <v>93</v>
      </c>
      <c r="B301" s="441"/>
      <c r="C301" s="441"/>
      <c r="D301" s="441"/>
      <c r="E301" s="441"/>
      <c r="F301" s="441"/>
    </row>
    <row r="302" spans="1:12" x14ac:dyDescent="0.2">
      <c r="A302" s="230" t="s">
        <v>86</v>
      </c>
      <c r="B302" s="441" t="s">
        <v>99</v>
      </c>
      <c r="C302" s="441"/>
      <c r="D302" s="441"/>
      <c r="E302" s="441"/>
      <c r="F302" s="441"/>
      <c r="G302" s="441"/>
      <c r="H302" s="441"/>
      <c r="I302" s="441"/>
      <c r="J302" s="441"/>
      <c r="K302" s="441"/>
      <c r="L302" s="441"/>
    </row>
    <row r="303" spans="1:12" x14ac:dyDescent="0.2">
      <c r="A303" s="230" t="s">
        <v>87</v>
      </c>
      <c r="B303" s="441" t="str">
        <f>CONCATENATE("Irrigated soybean yield is ",'Strip-Till'!$H$7," bu. and irrigated corn yield is ",'Strip-Till'!$F$7," bu.")</f>
        <v>Irrigated soybean yield is 60 bu. and irrigated corn yield is 200 bu.</v>
      </c>
      <c r="C303" s="441"/>
      <c r="D303" s="441"/>
      <c r="E303" s="441"/>
      <c r="F303" s="441"/>
      <c r="G303" s="441"/>
      <c r="H303" s="441"/>
      <c r="I303" s="174"/>
      <c r="J303" s="174"/>
      <c r="K303" s="174"/>
    </row>
    <row r="304" spans="1:12" x14ac:dyDescent="0.2">
      <c r="A304" s="230" t="s">
        <v>88</v>
      </c>
      <c r="B304" s="441" t="str">
        <f>CONCATENATE("Non-irrigated soybean yield is ",'Strip-Till'!$R$7," bu. and non-irrigated corn yield is ",'Strip-Till'!$P$7," bu.")</f>
        <v>Non-irrigated soybean yield is 30 bu. and non-irrigated corn yield is 85 bu.</v>
      </c>
      <c r="C304" s="441"/>
      <c r="D304" s="441"/>
      <c r="E304" s="441"/>
      <c r="F304" s="441"/>
      <c r="G304" s="441"/>
      <c r="H304" s="441"/>
      <c r="I304" s="441"/>
      <c r="J304" s="174"/>
      <c r="K304" s="174"/>
    </row>
    <row r="305" spans="1:13" x14ac:dyDescent="0.2">
      <c r="A305" s="230" t="s">
        <v>89</v>
      </c>
      <c r="B305" s="441" t="s">
        <v>103</v>
      </c>
      <c r="C305" s="441"/>
      <c r="D305" s="441"/>
      <c r="E305" s="441"/>
      <c r="F305" s="441"/>
      <c r="G305" s="441"/>
      <c r="H305" s="441"/>
      <c r="I305" s="441"/>
      <c r="J305" s="441"/>
      <c r="K305" s="441"/>
      <c r="L305" s="441"/>
      <c r="M305" s="441"/>
    </row>
    <row r="334" spans="1:12" x14ac:dyDescent="0.2">
      <c r="A334" s="442" t="s">
        <v>93</v>
      </c>
      <c r="B334" s="442"/>
      <c r="C334" s="442"/>
      <c r="D334" s="442"/>
      <c r="E334" s="442"/>
      <c r="F334" s="442"/>
    </row>
    <row r="335" spans="1:12" x14ac:dyDescent="0.2">
      <c r="A335" s="230" t="s">
        <v>86</v>
      </c>
      <c r="B335" s="441" t="s">
        <v>100</v>
      </c>
      <c r="C335" s="441"/>
      <c r="D335" s="441"/>
      <c r="E335" s="441"/>
      <c r="F335" s="441"/>
      <c r="G335" s="441"/>
      <c r="H335" s="441"/>
      <c r="I335" s="441"/>
      <c r="J335" s="441"/>
      <c r="K335" s="441"/>
      <c r="L335" s="441"/>
    </row>
    <row r="336" spans="1:12" x14ac:dyDescent="0.2">
      <c r="A336" s="230" t="s">
        <v>87</v>
      </c>
      <c r="B336" s="441" t="str">
        <f>CONCATENATE("Irrigated cotton yield is ",'Strip-Till'!$B$7," lbs. and irrigated soybean yield is ",'Strip-Till'!$H$7," bu.")</f>
        <v>Irrigated cotton yield is 1200 lbs. and irrigated soybean yield is 60 bu.</v>
      </c>
      <c r="C336" s="441"/>
      <c r="D336" s="441"/>
      <c r="E336" s="441"/>
      <c r="F336" s="441"/>
      <c r="G336" s="441"/>
      <c r="H336" s="441"/>
      <c r="I336" s="174"/>
      <c r="J336" s="174"/>
      <c r="K336" s="174"/>
    </row>
    <row r="337" spans="1:13" x14ac:dyDescent="0.2">
      <c r="A337" s="230" t="s">
        <v>88</v>
      </c>
      <c r="B337" s="441" t="str">
        <f>CONCATENATE("Non-irrigated cotton yield is ",'Strip-Till'!$L$7," lbs. and non-irrigated soybean yield is ",'Strip-Till'!$R$7," bu.")</f>
        <v>Non-irrigated cotton yield is 750 lbs. and non-irrigated soybean yield is 30 bu.</v>
      </c>
      <c r="C337" s="441"/>
      <c r="D337" s="441"/>
      <c r="E337" s="441"/>
      <c r="F337" s="441"/>
      <c r="G337" s="441"/>
      <c r="H337" s="441"/>
      <c r="I337" s="441"/>
      <c r="J337" s="174"/>
      <c r="K337" s="174"/>
    </row>
    <row r="338" spans="1:13" x14ac:dyDescent="0.2">
      <c r="A338" s="230" t="s">
        <v>89</v>
      </c>
      <c r="B338" s="441" t="s">
        <v>103</v>
      </c>
      <c r="C338" s="441"/>
      <c r="D338" s="441"/>
      <c r="E338" s="441"/>
      <c r="F338" s="441"/>
      <c r="G338" s="441"/>
      <c r="H338" s="441"/>
      <c r="I338" s="441"/>
      <c r="J338" s="441"/>
      <c r="K338" s="441"/>
      <c r="L338" s="441"/>
      <c r="M338" s="441"/>
    </row>
    <row r="369" spans="1:13" x14ac:dyDescent="0.2">
      <c r="A369" s="441" t="s">
        <v>93</v>
      </c>
      <c r="B369" s="441"/>
      <c r="C369" s="441"/>
      <c r="D369" s="441"/>
      <c r="E369" s="441"/>
      <c r="F369" s="441"/>
    </row>
    <row r="370" spans="1:13" x14ac:dyDescent="0.2">
      <c r="A370" s="230" t="s">
        <v>86</v>
      </c>
      <c r="B370" s="441" t="s">
        <v>101</v>
      </c>
      <c r="C370" s="441"/>
      <c r="D370" s="441"/>
      <c r="E370" s="441"/>
      <c r="F370" s="441"/>
      <c r="G370" s="441"/>
      <c r="H370" s="441"/>
      <c r="I370" s="441"/>
      <c r="J370" s="441"/>
      <c r="K370" s="441"/>
      <c r="L370" s="441"/>
    </row>
    <row r="371" spans="1:13" x14ac:dyDescent="0.2">
      <c r="A371" s="230" t="s">
        <v>87</v>
      </c>
      <c r="B371" s="441" t="str">
        <f>CONCATENATE("Irrigated peanut yield is ",'Strip-Till'!$D$7," lbs. and irrigated soybean yield is ",'Strip-Till'!$H$7," bu.")</f>
        <v>Irrigated peanut yield is 4700 lbs. and irrigated soybean yield is 60 bu.</v>
      </c>
      <c r="C371" s="441"/>
      <c r="D371" s="441"/>
      <c r="E371" s="441"/>
      <c r="F371" s="441"/>
      <c r="G371" s="441"/>
      <c r="H371" s="441"/>
      <c r="I371" s="174"/>
      <c r="J371" s="174"/>
      <c r="K371" s="174"/>
    </row>
    <row r="372" spans="1:13" x14ac:dyDescent="0.2">
      <c r="A372" s="230" t="s">
        <v>88</v>
      </c>
      <c r="B372" s="441" t="str">
        <f>CONCATENATE("Non-irrigated peanut yield is ",'Strip-Till'!$N$7," lbs. and non-irrigated soybean yield is ",'Strip-Till'!$R$7," bu.")</f>
        <v>Non-irrigated peanut yield is 3400 lbs. and non-irrigated soybean yield is 30 bu.</v>
      </c>
      <c r="C372" s="441"/>
      <c r="D372" s="441"/>
      <c r="E372" s="441"/>
      <c r="F372" s="441"/>
      <c r="G372" s="441"/>
      <c r="H372" s="441"/>
      <c r="I372" s="441"/>
      <c r="J372" s="174"/>
      <c r="K372" s="174"/>
    </row>
    <row r="373" spans="1:13" x14ac:dyDescent="0.2">
      <c r="A373" s="230" t="s">
        <v>89</v>
      </c>
      <c r="B373" s="441" t="s">
        <v>103</v>
      </c>
      <c r="C373" s="441"/>
      <c r="D373" s="441"/>
      <c r="E373" s="441"/>
      <c r="F373" s="441"/>
      <c r="G373" s="441"/>
      <c r="H373" s="441"/>
      <c r="I373" s="441"/>
      <c r="J373" s="441"/>
      <c r="K373" s="441"/>
      <c r="L373" s="441"/>
      <c r="M373" s="441"/>
    </row>
    <row r="403" spans="1:13" x14ac:dyDescent="0.2">
      <c r="A403" s="441" t="s">
        <v>93</v>
      </c>
      <c r="B403" s="441"/>
      <c r="C403" s="441"/>
      <c r="D403" s="441"/>
      <c r="E403" s="441"/>
      <c r="F403" s="441"/>
    </row>
    <row r="404" spans="1:13" x14ac:dyDescent="0.2">
      <c r="A404" s="230" t="s">
        <v>86</v>
      </c>
      <c r="B404" s="441" t="s">
        <v>102</v>
      </c>
      <c r="C404" s="441"/>
      <c r="D404" s="441"/>
      <c r="E404" s="441"/>
      <c r="F404" s="441"/>
      <c r="G404" s="441"/>
      <c r="H404" s="441"/>
      <c r="I404" s="441"/>
      <c r="J404" s="441"/>
      <c r="K404" s="441"/>
      <c r="L404" s="441"/>
    </row>
    <row r="405" spans="1:13" x14ac:dyDescent="0.2">
      <c r="A405" s="230" t="s">
        <v>87</v>
      </c>
      <c r="B405" s="441" t="str">
        <f>CONCATENATE("Irrigated corn yield is ",'Strip-Till'!$F$7," bu. and irrigated soybean yield is ",'Strip-Till'!$H$7," bu.")</f>
        <v>Irrigated corn yield is 200 bu. and irrigated soybean yield is 60 bu.</v>
      </c>
      <c r="C405" s="441"/>
      <c r="D405" s="441"/>
      <c r="E405" s="441"/>
      <c r="F405" s="441"/>
      <c r="G405" s="441"/>
      <c r="H405" s="441"/>
      <c r="I405" s="174"/>
      <c r="J405" s="174"/>
      <c r="K405" s="174"/>
    </row>
    <row r="406" spans="1:13" x14ac:dyDescent="0.2">
      <c r="A406" s="230" t="s">
        <v>88</v>
      </c>
      <c r="B406" s="441" t="str">
        <f>CONCATENATE("Non-irrigated corn yield is ",'Strip-Till'!$P$7," bu. and non-irrigated soybean yield is ",'Strip-Till'!$R$7," bu.")</f>
        <v>Non-irrigated corn yield is 85 bu. and non-irrigated soybean yield is 30 bu.</v>
      </c>
      <c r="C406" s="441"/>
      <c r="D406" s="441"/>
      <c r="E406" s="441"/>
      <c r="F406" s="441"/>
      <c r="G406" s="441"/>
      <c r="H406" s="441"/>
      <c r="I406" s="441"/>
      <c r="J406" s="174"/>
      <c r="K406" s="174"/>
    </row>
    <row r="407" spans="1:13" x14ac:dyDescent="0.2">
      <c r="A407" s="230" t="s">
        <v>89</v>
      </c>
      <c r="B407" s="441" t="s">
        <v>103</v>
      </c>
      <c r="C407" s="441"/>
      <c r="D407" s="441"/>
      <c r="E407" s="441"/>
      <c r="F407" s="441"/>
      <c r="G407" s="441"/>
      <c r="H407" s="441"/>
      <c r="I407" s="441"/>
      <c r="J407" s="441"/>
      <c r="K407" s="441"/>
      <c r="L407" s="441"/>
      <c r="M407" s="441"/>
    </row>
  </sheetData>
  <sheetProtection sheet="1" objects="1" scenarios="1"/>
  <mergeCells count="60">
    <mergeCell ref="A29:F29"/>
    <mergeCell ref="B30:K30"/>
    <mergeCell ref="B31:H31"/>
    <mergeCell ref="B32:I32"/>
    <mergeCell ref="A63:F63"/>
    <mergeCell ref="B33:M33"/>
    <mergeCell ref="B64:K64"/>
    <mergeCell ref="B65:H65"/>
    <mergeCell ref="B66:I66"/>
    <mergeCell ref="A97:F97"/>
    <mergeCell ref="B98:L98"/>
    <mergeCell ref="B67:M67"/>
    <mergeCell ref="B99:H99"/>
    <mergeCell ref="B100:I100"/>
    <mergeCell ref="A131:F131"/>
    <mergeCell ref="B132:K132"/>
    <mergeCell ref="B133:H133"/>
    <mergeCell ref="B101:M101"/>
    <mergeCell ref="B134:I134"/>
    <mergeCell ref="A165:F165"/>
    <mergeCell ref="B166:K166"/>
    <mergeCell ref="B167:H167"/>
    <mergeCell ref="B168:I168"/>
    <mergeCell ref="B135:M135"/>
    <mergeCell ref="B169:M169"/>
    <mergeCell ref="A233:F233"/>
    <mergeCell ref="B234:K234"/>
    <mergeCell ref="B235:H235"/>
    <mergeCell ref="B236:I236"/>
    <mergeCell ref="A199:F199"/>
    <mergeCell ref="B200:L200"/>
    <mergeCell ref="B201:H201"/>
    <mergeCell ref="B202:I202"/>
    <mergeCell ref="B203:M203"/>
    <mergeCell ref="A267:F267"/>
    <mergeCell ref="B237:M237"/>
    <mergeCell ref="B268:K268"/>
    <mergeCell ref="B269:H269"/>
    <mergeCell ref="B270:I270"/>
    <mergeCell ref="B302:L302"/>
    <mergeCell ref="B271:M271"/>
    <mergeCell ref="B303:H303"/>
    <mergeCell ref="B304:I304"/>
    <mergeCell ref="B338:M338"/>
    <mergeCell ref="A334:F334"/>
    <mergeCell ref="B335:L335"/>
    <mergeCell ref="B336:H336"/>
    <mergeCell ref="B305:M305"/>
    <mergeCell ref="B337:I337"/>
    <mergeCell ref="A301:F301"/>
    <mergeCell ref="B407:M407"/>
    <mergeCell ref="A369:F369"/>
    <mergeCell ref="B370:L370"/>
    <mergeCell ref="B371:H371"/>
    <mergeCell ref="B372:I372"/>
    <mergeCell ref="B373:M373"/>
    <mergeCell ref="A403:F403"/>
    <mergeCell ref="B404:L404"/>
    <mergeCell ref="B405:H405"/>
    <mergeCell ref="B406:I406"/>
  </mergeCells>
  <phoneticPr fontId="2" type="noConversion"/>
  <printOptions horizontalCentered="1" verticalCentered="1"/>
  <pageMargins left="0.7" right="0.7" top="0.75" bottom="0.75" header="0.3" footer="0.3"/>
  <pageSetup scale="105" fitToWidth="3" fitToHeight="3" orientation="landscape"/>
  <headerFooter>
    <oddHeader>&amp;LStrip Tillage Chart</oddHeader>
    <oddFooter>&amp;L&amp;G&amp;CCharts by A.R. Smith, W. D. Shurley, and N.B. Smith&amp;RAg and Applied Economics,1/2016</oddFooter>
  </headerFooter>
  <rowBreaks count="11" manualBreakCount="11">
    <brk id="34" max="12" man="1"/>
    <brk id="68" max="12" man="1"/>
    <brk id="102" max="12" man="1"/>
    <brk id="136" max="12" man="1"/>
    <brk id="170" max="12" man="1"/>
    <brk id="204" max="12" man="1"/>
    <brk id="238" max="12" man="1"/>
    <brk id="272" max="12" man="1"/>
    <brk id="306" max="12" man="1"/>
    <brk id="340" max="12" man="1"/>
    <brk id="374" max="12" man="1"/>
  </rowBreaks>
  <colBreaks count="2" manualBreakCount="2">
    <brk id="13" max="216" man="1"/>
    <brk id="26" max="216" man="1"/>
  </colBreaks>
  <drawing r:id="rId1"/>
  <legacyDrawingHF r:id="rId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8" tint="0.59999389629810485"/>
  </sheetPr>
  <dimension ref="A1:M59"/>
  <sheetViews>
    <sheetView topLeftCell="A7" workbookViewId="0">
      <selection sqref="A1:I1"/>
    </sheetView>
  </sheetViews>
  <sheetFormatPr defaultColWidth="9.28515625" defaultRowHeight="12.75" x14ac:dyDescent="0.2"/>
  <cols>
    <col min="1" max="8" width="9.28515625" style="75" customWidth="1"/>
    <col min="9" max="16384" width="9.28515625" style="75"/>
  </cols>
  <sheetData>
    <row r="1" spans="1:13" s="62" customFormat="1" ht="12" hidden="1" x14ac:dyDescent="0.2">
      <c r="A1" s="61"/>
      <c r="B1" s="448" t="s">
        <v>45</v>
      </c>
      <c r="C1" s="448"/>
      <c r="D1" s="448"/>
      <c r="E1" s="448"/>
      <c r="F1" s="448"/>
      <c r="G1" s="448"/>
      <c r="H1" s="61"/>
    </row>
    <row r="2" spans="1:13" s="62" customFormat="1" ht="12" hidden="1" x14ac:dyDescent="0.2">
      <c r="A2" s="63" t="s">
        <v>40</v>
      </c>
      <c r="B2" s="64" t="str">
        <f>Conventional!B6</f>
        <v>Cotton</v>
      </c>
      <c r="C2" s="64" t="str">
        <f>Conventional!D6</f>
        <v>Peanuts</v>
      </c>
      <c r="D2" s="64" t="str">
        <f>Conventional!F6</f>
        <v>Corn</v>
      </c>
      <c r="E2" s="64" t="str">
        <f>Conventional!H6</f>
        <v>Soybeans</v>
      </c>
      <c r="F2" s="64" t="str">
        <f>Conventional!J6</f>
        <v>Sorghum</v>
      </c>
      <c r="G2" s="64" t="str">
        <f>Conventional!V6</f>
        <v>Wheat</v>
      </c>
      <c r="H2" s="61"/>
    </row>
    <row r="3" spans="1:13" s="62" customFormat="1" ht="12" hidden="1" x14ac:dyDescent="0.2">
      <c r="A3" s="63" t="s">
        <v>41</v>
      </c>
      <c r="B3" s="65">
        <f>Conventional!B7</f>
        <v>1200</v>
      </c>
      <c r="C3" s="65">
        <f>Conventional!D7</f>
        <v>4700</v>
      </c>
      <c r="D3" s="65">
        <f>Conventional!F7</f>
        <v>200</v>
      </c>
      <c r="E3" s="65">
        <f>Conventional!H7</f>
        <v>60</v>
      </c>
      <c r="F3" s="65">
        <f>Conventional!J7</f>
        <v>100</v>
      </c>
      <c r="G3" s="65">
        <f>Conventional!V7</f>
        <v>75</v>
      </c>
      <c r="H3" s="66"/>
    </row>
    <row r="4" spans="1:13" s="62" customFormat="1" ht="12" hidden="1" x14ac:dyDescent="0.2">
      <c r="A4" s="62" t="s">
        <v>42</v>
      </c>
      <c r="B4" s="67">
        <f>Conventional!B8</f>
        <v>0.7</v>
      </c>
      <c r="C4" s="68">
        <f>Conventional!D8</f>
        <v>369.89361702127661</v>
      </c>
      <c r="D4" s="69">
        <f>Conventional!F8</f>
        <v>4.25</v>
      </c>
      <c r="E4" s="69">
        <f>Conventional!H8</f>
        <v>8.6</v>
      </c>
      <c r="F4" s="69">
        <f>Conventional!J8</f>
        <v>4.04</v>
      </c>
      <c r="G4" s="69">
        <f>Conventional!V8</f>
        <v>5</v>
      </c>
      <c r="H4" s="69"/>
    </row>
    <row r="5" spans="1:13" s="62" customFormat="1" ht="12" hidden="1" x14ac:dyDescent="0.2">
      <c r="A5" s="70" t="s">
        <v>44</v>
      </c>
      <c r="B5" s="71">
        <f>B3*B4</f>
        <v>840</v>
      </c>
      <c r="C5" s="71">
        <f>C3*C4/2000</f>
        <v>869.25</v>
      </c>
      <c r="D5" s="71">
        <f>D3*D4</f>
        <v>850</v>
      </c>
      <c r="E5" s="71">
        <f>E3*E4</f>
        <v>516</v>
      </c>
      <c r="F5" s="71">
        <f>F3*F4</f>
        <v>404</v>
      </c>
      <c r="G5" s="71">
        <f>G3*G4</f>
        <v>375</v>
      </c>
      <c r="H5" s="72"/>
    </row>
    <row r="6" spans="1:13" s="62" customFormat="1" ht="12" hidden="1" x14ac:dyDescent="0.2">
      <c r="A6" s="70" t="s">
        <v>43</v>
      </c>
      <c r="B6" s="73">
        <f>Conventional!B30</f>
        <v>537.13299908333329</v>
      </c>
      <c r="C6" s="73">
        <f>Conventional!D30</f>
        <v>616.90632500000004</v>
      </c>
      <c r="D6" s="73">
        <f>Conventional!F30</f>
        <v>586.25909999999999</v>
      </c>
      <c r="E6" s="73">
        <f>Conventional!H30</f>
        <v>268.29929629999998</v>
      </c>
      <c r="F6" s="73">
        <f>Conventional!J30</f>
        <v>310.82659999999998</v>
      </c>
      <c r="G6" s="73">
        <f>Conventional!V30</f>
        <v>280.83875912499997</v>
      </c>
      <c r="H6" s="68"/>
    </row>
    <row r="7" spans="1:13" s="62" customFormat="1" ht="15.75" x14ac:dyDescent="0.25">
      <c r="A7" s="449" t="s">
        <v>128</v>
      </c>
      <c r="B7" s="449"/>
      <c r="C7" s="449"/>
      <c r="D7" s="449"/>
      <c r="E7" s="449"/>
      <c r="F7" s="449"/>
      <c r="G7" s="449"/>
      <c r="H7" s="449"/>
      <c r="I7" s="449"/>
      <c r="J7" s="449"/>
      <c r="K7" s="449"/>
      <c r="L7" s="449"/>
      <c r="M7" s="449"/>
    </row>
    <row r="8" spans="1:13" s="62" customFormat="1" ht="15.75" x14ac:dyDescent="0.25">
      <c r="A8" s="60" t="s">
        <v>35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</row>
    <row r="9" spans="1:13" x14ac:dyDescent="0.2">
      <c r="A9" s="450" t="s">
        <v>154</v>
      </c>
      <c r="B9" s="450"/>
      <c r="C9" s="450"/>
      <c r="D9" s="450"/>
      <c r="E9" s="450"/>
      <c r="F9" s="450"/>
      <c r="G9" s="450"/>
      <c r="H9" s="450"/>
      <c r="I9" s="450"/>
      <c r="J9" s="450"/>
      <c r="K9" s="450"/>
      <c r="L9" s="450"/>
      <c r="M9" s="450"/>
    </row>
    <row r="10" spans="1:13" x14ac:dyDescent="0.2">
      <c r="A10" s="444" t="s">
        <v>47</v>
      </c>
      <c r="B10" s="444"/>
      <c r="C10" s="444"/>
      <c r="D10" s="444"/>
      <c r="E10" s="444"/>
      <c r="F10" s="444"/>
      <c r="H10" s="444" t="s">
        <v>50</v>
      </c>
      <c r="I10" s="444"/>
      <c r="J10" s="444"/>
      <c r="K10" s="444"/>
      <c r="L10" s="444"/>
      <c r="M10" s="444"/>
    </row>
    <row r="11" spans="1:13" s="62" customFormat="1" ht="12" x14ac:dyDescent="0.2">
      <c r="A11" s="443" t="s">
        <v>36</v>
      </c>
      <c r="B11" s="443"/>
      <c r="C11" s="443"/>
      <c r="D11" s="443"/>
      <c r="E11" s="443"/>
      <c r="F11" s="443"/>
      <c r="H11" s="447" t="s">
        <v>36</v>
      </c>
      <c r="I11" s="447"/>
      <c r="J11" s="447"/>
      <c r="K11" s="447"/>
      <c r="L11" s="447"/>
      <c r="M11" s="447"/>
    </row>
    <row r="12" spans="1:13" x14ac:dyDescent="0.2">
      <c r="A12" s="76" t="s">
        <v>41</v>
      </c>
      <c r="B12" s="77">
        <v>-0.25</v>
      </c>
      <c r="C12" s="77">
        <v>-0.1</v>
      </c>
      <c r="D12" s="78" t="s">
        <v>37</v>
      </c>
      <c r="E12" s="79" t="s">
        <v>38</v>
      </c>
      <c r="F12" s="79" t="s">
        <v>39</v>
      </c>
      <c r="H12" s="76" t="s">
        <v>41</v>
      </c>
      <c r="I12" s="80">
        <v>-0.25</v>
      </c>
      <c r="J12" s="80">
        <v>-0.1</v>
      </c>
      <c r="K12" s="81" t="s">
        <v>37</v>
      </c>
      <c r="L12" s="82" t="s">
        <v>38</v>
      </c>
      <c r="M12" s="82" t="s">
        <v>39</v>
      </c>
    </row>
    <row r="13" spans="1:13" x14ac:dyDescent="0.2">
      <c r="A13" s="83" t="s">
        <v>42</v>
      </c>
      <c r="B13" s="78">
        <f>0.75*D13</f>
        <v>150</v>
      </c>
      <c r="C13" s="78">
        <f>0.9*D13</f>
        <v>180</v>
      </c>
      <c r="D13" s="78">
        <f>D3</f>
        <v>200</v>
      </c>
      <c r="E13" s="78">
        <f>D13*1.1</f>
        <v>220.00000000000003</v>
      </c>
      <c r="F13" s="78">
        <f>D13*1.25</f>
        <v>250</v>
      </c>
      <c r="H13" s="83" t="s">
        <v>42</v>
      </c>
      <c r="I13" s="78">
        <f>0.75*K13</f>
        <v>900</v>
      </c>
      <c r="J13" s="78">
        <f>0.9*K13</f>
        <v>1080</v>
      </c>
      <c r="K13" s="78">
        <f>B3</f>
        <v>1200</v>
      </c>
      <c r="L13" s="78">
        <f>K13*1.1</f>
        <v>1320</v>
      </c>
      <c r="M13" s="78">
        <f>K13*1.25</f>
        <v>1500</v>
      </c>
    </row>
    <row r="14" spans="1:13" x14ac:dyDescent="0.2">
      <c r="A14" s="84">
        <f>A16*0.7</f>
        <v>2.9749999999999996</v>
      </c>
      <c r="B14" s="85">
        <f>$A$14*B$13-$D$6</f>
        <v>-140.00910000000005</v>
      </c>
      <c r="C14" s="85">
        <f>$A$14*C$13-$D$6</f>
        <v>-50.759100000000103</v>
      </c>
      <c r="D14" s="85">
        <f>$A$14*D$13-$D$6</f>
        <v>8.7408999999998969</v>
      </c>
      <c r="E14" s="85">
        <f>$A$14*E$13-$D$6</f>
        <v>68.240900000000011</v>
      </c>
      <c r="F14" s="85">
        <f>$A$14*F$13-$D$6</f>
        <v>157.4908999999999</v>
      </c>
      <c r="H14" s="84">
        <f>H16*0.7</f>
        <v>0.48999999999999994</v>
      </c>
      <c r="I14" s="87">
        <f>$H$14*$I$13-$B$6</f>
        <v>-96.132999083333345</v>
      </c>
      <c r="J14" s="87">
        <f>$H$14*J13-$B$6</f>
        <v>-7.9329990833333568</v>
      </c>
      <c r="K14" s="87">
        <f>$H$14*K13-$B$6</f>
        <v>50.867000916666598</v>
      </c>
      <c r="L14" s="87">
        <f>$H$14*L13-$B$6</f>
        <v>109.66700091666667</v>
      </c>
      <c r="M14" s="87">
        <f>$H$14*M13-$B$6</f>
        <v>197.8670009166666</v>
      </c>
    </row>
    <row r="15" spans="1:13" x14ac:dyDescent="0.2">
      <c r="A15" s="86">
        <f>A16*0.85</f>
        <v>3.6124999999999998</v>
      </c>
      <c r="B15" s="87">
        <f>$A$15*B$13-$D$6</f>
        <v>-44.384099999999989</v>
      </c>
      <c r="C15" s="87">
        <f>$A$15*C$13-$D$6</f>
        <v>63.990900000000011</v>
      </c>
      <c r="D15" s="87">
        <f>$A$15*D$13-$D$6</f>
        <v>136.24090000000001</v>
      </c>
      <c r="E15" s="87">
        <f>$A$15*E$13-$D$6</f>
        <v>208.49090000000012</v>
      </c>
      <c r="F15" s="87">
        <f>$A$15*F$13-$D$6</f>
        <v>316.86590000000001</v>
      </c>
      <c r="H15" s="86">
        <f>H16*0.85</f>
        <v>0.59499999999999997</v>
      </c>
      <c r="I15" s="87">
        <f>$H$15*$I$13-$B$6</f>
        <v>-1.6329990833332886</v>
      </c>
      <c r="J15" s="87">
        <f>$H$15*J13-$B$6</f>
        <v>105.46700091666673</v>
      </c>
      <c r="K15" s="87">
        <f>$H$15*K13-$B$6</f>
        <v>176.86700091666671</v>
      </c>
      <c r="L15" s="87">
        <f>$H$15*L13-$B$6</f>
        <v>248.26700091666669</v>
      </c>
      <c r="M15" s="87">
        <f>$H$15*M13-$B$6</f>
        <v>355.36700091666671</v>
      </c>
    </row>
    <row r="16" spans="1:13" x14ac:dyDescent="0.2">
      <c r="A16" s="86">
        <f>D4</f>
        <v>4.25</v>
      </c>
      <c r="B16" s="87">
        <f>$A$16*B$13-$D$6</f>
        <v>51.240900000000011</v>
      </c>
      <c r="C16" s="87">
        <f>$A$16*C$13-$D$6</f>
        <v>178.74090000000001</v>
      </c>
      <c r="D16" s="87">
        <f>$A$16*D$13-$D$6</f>
        <v>263.74090000000001</v>
      </c>
      <c r="E16" s="87">
        <f>$A$16*E$13-$D$6</f>
        <v>348.74090000000012</v>
      </c>
      <c r="F16" s="87">
        <f>$A$16*F$13-$D$6</f>
        <v>476.24090000000001</v>
      </c>
      <c r="H16" s="86">
        <f>B4</f>
        <v>0.7</v>
      </c>
      <c r="I16" s="87">
        <f>$H$16*$I$13-$B$6</f>
        <v>92.867000916666711</v>
      </c>
      <c r="J16" s="87">
        <f>$H$16*J13-$B$6</f>
        <v>218.86700091666671</v>
      </c>
      <c r="K16" s="87">
        <f>$H$16*K13-$B$6</f>
        <v>302.86700091666671</v>
      </c>
      <c r="L16" s="87">
        <f>$H$16*L13-$B$6</f>
        <v>386.8670009166666</v>
      </c>
      <c r="M16" s="87">
        <f>$H$16*M13-$B$6</f>
        <v>512.86700091666671</v>
      </c>
    </row>
    <row r="17" spans="1:13" x14ac:dyDescent="0.2">
      <c r="A17" s="86">
        <f>A16*1.15</f>
        <v>4.8874999999999993</v>
      </c>
      <c r="B17" s="87">
        <f>$A$17*B$13-$D$6</f>
        <v>146.8658999999999</v>
      </c>
      <c r="C17" s="87">
        <f>$A$17*C$13-$D$6</f>
        <v>293.4908999999999</v>
      </c>
      <c r="D17" s="87">
        <f>$A$17*D$13-$D$6</f>
        <v>391.2408999999999</v>
      </c>
      <c r="E17" s="87">
        <f>$A$17*E$13-$D$6</f>
        <v>488.99090000000001</v>
      </c>
      <c r="F17" s="87">
        <f>$A$17*F$13-$D$6</f>
        <v>635.61589999999978</v>
      </c>
      <c r="H17" s="86">
        <f>H16*1.15</f>
        <v>0.80499999999999994</v>
      </c>
      <c r="I17" s="87">
        <f>$H$17*$I$13-$B$6</f>
        <v>187.36700091666671</v>
      </c>
      <c r="J17" s="87">
        <f>$H$17*J13-$B$6</f>
        <v>332.26700091666669</v>
      </c>
      <c r="K17" s="87">
        <f>$H$17*K13-$B$6</f>
        <v>428.8670009166666</v>
      </c>
      <c r="L17" s="87">
        <f>$H$17*L13-$B$6</f>
        <v>525.46700091666662</v>
      </c>
      <c r="M17" s="87">
        <f>$H$17*M13-$B$6</f>
        <v>670.36700091666671</v>
      </c>
    </row>
    <row r="18" spans="1:13" x14ac:dyDescent="0.2">
      <c r="A18" s="88">
        <f>A16*1.3</f>
        <v>5.5250000000000004</v>
      </c>
      <c r="B18" s="89">
        <f>$A$18*B$13-$D$6</f>
        <v>242.49090000000001</v>
      </c>
      <c r="C18" s="89">
        <f>$A$18*C$13-$D$6</f>
        <v>408.24090000000012</v>
      </c>
      <c r="D18" s="89">
        <f>$A$18*D$13-$D$6</f>
        <v>518.74090000000001</v>
      </c>
      <c r="E18" s="89">
        <f>$A$18*E$13-$D$6</f>
        <v>629.24090000000024</v>
      </c>
      <c r="F18" s="89">
        <f>$A$18*F$13-$D$6</f>
        <v>794.99090000000001</v>
      </c>
      <c r="H18" s="88">
        <f>H16*1.3</f>
        <v>0.90999999999999992</v>
      </c>
      <c r="I18" s="89">
        <f>$H$18*$I$13-$B$6</f>
        <v>281.8670009166666</v>
      </c>
      <c r="J18" s="89">
        <f>$H$18*J13-$B$6</f>
        <v>445.66700091666667</v>
      </c>
      <c r="K18" s="89">
        <f>$H$18*K13-$B$6</f>
        <v>554.86700091666671</v>
      </c>
      <c r="L18" s="89">
        <f>$H$18*L13-$B$6</f>
        <v>664.06700091666653</v>
      </c>
      <c r="M18" s="89">
        <f>$H$18*M13-$B$6</f>
        <v>827.86700091666648</v>
      </c>
    </row>
    <row r="20" spans="1:13" x14ac:dyDescent="0.2">
      <c r="A20" s="444" t="s">
        <v>48</v>
      </c>
      <c r="B20" s="444"/>
      <c r="C20" s="444"/>
      <c r="D20" s="444"/>
      <c r="E20" s="444"/>
      <c r="F20" s="444"/>
      <c r="H20" s="445" t="s">
        <v>120</v>
      </c>
      <c r="I20" s="445"/>
      <c r="J20" s="445"/>
      <c r="K20" s="445"/>
      <c r="L20" s="445"/>
      <c r="M20" s="445"/>
    </row>
    <row r="21" spans="1:13" s="62" customFormat="1" ht="12" x14ac:dyDescent="0.2">
      <c r="A21" s="443" t="s">
        <v>36</v>
      </c>
      <c r="B21" s="443"/>
      <c r="C21" s="443"/>
      <c r="D21" s="443"/>
      <c r="E21" s="443"/>
      <c r="F21" s="443"/>
      <c r="H21" s="446" t="s">
        <v>36</v>
      </c>
      <c r="I21" s="446"/>
      <c r="J21" s="446"/>
      <c r="K21" s="446"/>
      <c r="L21" s="446"/>
      <c r="M21" s="446"/>
    </row>
    <row r="22" spans="1:13" x14ac:dyDescent="0.2">
      <c r="A22" s="76" t="s">
        <v>41</v>
      </c>
      <c r="B22" s="77">
        <v>-0.25</v>
      </c>
      <c r="C22" s="77">
        <v>-0.1</v>
      </c>
      <c r="D22" s="78" t="s">
        <v>37</v>
      </c>
      <c r="E22" s="79" t="s">
        <v>38</v>
      </c>
      <c r="F22" s="79" t="s">
        <v>39</v>
      </c>
      <c r="H22" s="76" t="s">
        <v>41</v>
      </c>
      <c r="I22" s="77">
        <v>-0.25</v>
      </c>
      <c r="J22" s="77">
        <v>-0.1</v>
      </c>
      <c r="K22" s="78" t="s">
        <v>37</v>
      </c>
      <c r="L22" s="79" t="s">
        <v>38</v>
      </c>
      <c r="M22" s="79" t="s">
        <v>39</v>
      </c>
    </row>
    <row r="23" spans="1:13" x14ac:dyDescent="0.2">
      <c r="A23" s="83" t="s">
        <v>42</v>
      </c>
      <c r="B23" s="78">
        <f>0.75*D23</f>
        <v>75</v>
      </c>
      <c r="C23" s="78">
        <f>0.9*D23</f>
        <v>90</v>
      </c>
      <c r="D23" s="78">
        <f>F3</f>
        <v>100</v>
      </c>
      <c r="E23" s="78">
        <f>D23*1.1</f>
        <v>110.00000000000001</v>
      </c>
      <c r="F23" s="78">
        <f>D23*1.25</f>
        <v>125</v>
      </c>
      <c r="H23" s="83" t="s">
        <v>42</v>
      </c>
      <c r="I23" s="78">
        <f>0.75*K23</f>
        <v>3525</v>
      </c>
      <c r="J23" s="78">
        <f>0.9*K23</f>
        <v>4230</v>
      </c>
      <c r="K23" s="78">
        <f>C3</f>
        <v>4700</v>
      </c>
      <c r="L23" s="78">
        <f>K23*1.1</f>
        <v>5170</v>
      </c>
      <c r="M23" s="78">
        <f>K23*1.25</f>
        <v>5875</v>
      </c>
    </row>
    <row r="24" spans="1:13" x14ac:dyDescent="0.2">
      <c r="A24" s="84">
        <f>A26*0.7</f>
        <v>2.8279999999999998</v>
      </c>
      <c r="B24" s="85">
        <f>$A$24*B$23-$F$6</f>
        <v>-98.726599999999991</v>
      </c>
      <c r="C24" s="85">
        <f>$A$24*C$23-$F$6</f>
        <v>-56.306600000000003</v>
      </c>
      <c r="D24" s="85">
        <f>$A$24*D$23-$F$6</f>
        <v>-28.026599999999974</v>
      </c>
      <c r="E24" s="85">
        <f>$A$24*E$23-$F$6</f>
        <v>0.25340000000005602</v>
      </c>
      <c r="F24" s="85">
        <f>$A$24*F$23-$F$6</f>
        <v>42.673400000000015</v>
      </c>
      <c r="H24" s="90">
        <f>H26*0.7</f>
        <v>258.92553191489361</v>
      </c>
      <c r="I24" s="85">
        <f>$H$24*I$23/2000-$C$6</f>
        <v>-160.55007500000005</v>
      </c>
      <c r="J24" s="85">
        <f>$H$24*J$23/2000-$C$6</f>
        <v>-69.278824999999983</v>
      </c>
      <c r="K24" s="85">
        <f>$H$24*K$23/2000-$C$6</f>
        <v>-8.4313250000000153</v>
      </c>
      <c r="L24" s="85">
        <f>$H$24*L$23/2000-$C$6</f>
        <v>52.416174999999953</v>
      </c>
      <c r="M24" s="85">
        <f>$H$24*M$23/2000-$C$6</f>
        <v>143.68742499999996</v>
      </c>
    </row>
    <row r="25" spans="1:13" x14ac:dyDescent="0.2">
      <c r="A25" s="86">
        <f>A26*0.85</f>
        <v>3.4339999999999997</v>
      </c>
      <c r="B25" s="87">
        <f>$A$25*B$23-$F$6</f>
        <v>-53.27660000000003</v>
      </c>
      <c r="C25" s="87">
        <f>$A$25*C$23-$F$6</f>
        <v>-1.7665999999999826</v>
      </c>
      <c r="D25" s="87">
        <f>$A$25*D$23-$F$6</f>
        <v>32.573399999999992</v>
      </c>
      <c r="E25" s="87">
        <f>$A$25*E$23-$F$6</f>
        <v>66.913400000000024</v>
      </c>
      <c r="F25" s="87">
        <f>$A$25*F$23-$F$6</f>
        <v>118.42339999999996</v>
      </c>
      <c r="H25" s="91">
        <f>H26*0.85</f>
        <v>314.40957446808511</v>
      </c>
      <c r="I25" s="87">
        <f>$H$25*I$23/2000-$C$6</f>
        <v>-62.759450000000015</v>
      </c>
      <c r="J25" s="87">
        <f>$H$25*J$23/2000-$C$6</f>
        <v>48.069925000000012</v>
      </c>
      <c r="K25" s="87">
        <f>$H$25*K$23/2000-$C$6</f>
        <v>121.95617499999992</v>
      </c>
      <c r="L25" s="87">
        <f>$H$25*L$23/2000-$C$6</f>
        <v>195.84242499999993</v>
      </c>
      <c r="M25" s="87">
        <f>$H$25*M$23/2000-$C$6</f>
        <v>306.67179999999996</v>
      </c>
    </row>
    <row r="26" spans="1:13" x14ac:dyDescent="0.2">
      <c r="A26" s="86">
        <f>F4</f>
        <v>4.04</v>
      </c>
      <c r="B26" s="87">
        <f>$A$26*B$23-$F$6</f>
        <v>-7.8265999999999849</v>
      </c>
      <c r="C26" s="87">
        <f>$A$26*C$23-$F$6</f>
        <v>52.773400000000038</v>
      </c>
      <c r="D26" s="87">
        <f>$A$26*D$23-$F$6</f>
        <v>93.173400000000015</v>
      </c>
      <c r="E26" s="87">
        <f>$A$26*E$23-$F$6</f>
        <v>133.57340000000005</v>
      </c>
      <c r="F26" s="87">
        <f>$A$26*F$23-$F$6</f>
        <v>194.17340000000002</v>
      </c>
      <c r="H26" s="91">
        <f>C4</f>
        <v>369.89361702127661</v>
      </c>
      <c r="I26" s="87">
        <f>$H$26*I$23/2000-$C$6</f>
        <v>35.031174999999962</v>
      </c>
      <c r="J26" s="87">
        <f>$H$26*J$23/2000-$C$6</f>
        <v>165.41867500000001</v>
      </c>
      <c r="K26" s="87">
        <f>$H$26*K$23/2000-$C$6</f>
        <v>252.34367499999996</v>
      </c>
      <c r="L26" s="87">
        <f>$H$26*L$23/2000-$C$6</f>
        <v>339.26867499999992</v>
      </c>
      <c r="M26" s="87">
        <f>$H$26*M$23/2000-$C$6</f>
        <v>469.65617499999996</v>
      </c>
    </row>
    <row r="27" spans="1:13" x14ac:dyDescent="0.2">
      <c r="A27" s="86">
        <f>A26*1.15</f>
        <v>4.6459999999999999</v>
      </c>
      <c r="B27" s="87">
        <f>$A$27*B$23-$F$6</f>
        <v>37.623400000000004</v>
      </c>
      <c r="C27" s="87">
        <f>$A$27*C$23-$F$6</f>
        <v>107.3134</v>
      </c>
      <c r="D27" s="87">
        <f>$A$27*D$23-$F$6</f>
        <v>153.77339999999998</v>
      </c>
      <c r="E27" s="87">
        <f>$A$27*E$23-$F$6</f>
        <v>200.23340000000007</v>
      </c>
      <c r="F27" s="87">
        <f>$A$27*F$23-$F$6</f>
        <v>269.92340000000002</v>
      </c>
      <c r="H27" s="91">
        <f>H26*1.15</f>
        <v>425.37765957446805</v>
      </c>
      <c r="I27" s="87">
        <f>$H$27*I$23/2000-$C$6</f>
        <v>132.82179999999994</v>
      </c>
      <c r="J27" s="87">
        <f>$H$27*J$23/2000-$C$6</f>
        <v>282.76742499999989</v>
      </c>
      <c r="K27" s="87">
        <f>$H$27*K$23/2000-$C$6</f>
        <v>382.73117499999989</v>
      </c>
      <c r="L27" s="87">
        <f>$H$27*L$23/2000-$C$6</f>
        <v>482.6949249999999</v>
      </c>
      <c r="M27" s="87">
        <f>$H$27*M$23/2000-$C$6</f>
        <v>632.64054999999996</v>
      </c>
    </row>
    <row r="28" spans="1:13" x14ac:dyDescent="0.2">
      <c r="A28" s="88">
        <f>A26*1.3</f>
        <v>5.2520000000000007</v>
      </c>
      <c r="B28" s="89">
        <f>$A$28*B$23-$F$6</f>
        <v>83.073400000000049</v>
      </c>
      <c r="C28" s="89">
        <f>$A$28*C$23-$F$6</f>
        <v>161.85340000000008</v>
      </c>
      <c r="D28" s="89">
        <f>$A$28*D$23-$F$6</f>
        <v>214.37340000000006</v>
      </c>
      <c r="E28" s="89">
        <f>$A$28*E$23-$F$6</f>
        <v>266.89340000000016</v>
      </c>
      <c r="F28" s="89">
        <f>$A$28*F$23-$F$6</f>
        <v>345.67340000000013</v>
      </c>
      <c r="H28" s="92">
        <f>H26*1.3</f>
        <v>480.86170212765961</v>
      </c>
      <c r="I28" s="89">
        <f>$H$28*I$23/2000-$C$6</f>
        <v>230.61242500000003</v>
      </c>
      <c r="J28" s="89">
        <f>$H$28*J$23/2000-$C$6</f>
        <v>400.11617500000011</v>
      </c>
      <c r="K28" s="89">
        <f>$H$28*K$23/2000-$C$6</f>
        <v>513.11867500000005</v>
      </c>
      <c r="L28" s="89">
        <f>$H$28*L$23/2000-$C$6</f>
        <v>626.12117499999988</v>
      </c>
      <c r="M28" s="89">
        <f>$H$28*M$23/2000-$C$6</f>
        <v>795.62492499999996</v>
      </c>
    </row>
    <row r="30" spans="1:13" x14ac:dyDescent="0.2">
      <c r="A30" s="444" t="s">
        <v>49</v>
      </c>
      <c r="B30" s="444"/>
      <c r="C30" s="444"/>
      <c r="D30" s="444"/>
      <c r="E30" s="444"/>
      <c r="F30" s="444"/>
      <c r="H30" s="444" t="s">
        <v>64</v>
      </c>
      <c r="I30" s="444"/>
      <c r="J30" s="444"/>
      <c r="K30" s="444"/>
      <c r="L30" s="444"/>
      <c r="M30" s="444"/>
    </row>
    <row r="31" spans="1:13" s="62" customFormat="1" ht="12" x14ac:dyDescent="0.2">
      <c r="A31" s="443" t="s">
        <v>36</v>
      </c>
      <c r="B31" s="443"/>
      <c r="C31" s="443"/>
      <c r="D31" s="443"/>
      <c r="E31" s="443"/>
      <c r="F31" s="443"/>
      <c r="H31" s="443" t="s">
        <v>36</v>
      </c>
      <c r="I31" s="443"/>
      <c r="J31" s="443"/>
      <c r="K31" s="443"/>
      <c r="L31" s="443"/>
      <c r="M31" s="443"/>
    </row>
    <row r="32" spans="1:13" x14ac:dyDescent="0.2">
      <c r="A32" s="76" t="s">
        <v>41</v>
      </c>
      <c r="B32" s="77">
        <v>-0.25</v>
      </c>
      <c r="C32" s="77">
        <v>-0.1</v>
      </c>
      <c r="D32" s="78" t="s">
        <v>37</v>
      </c>
      <c r="E32" s="79" t="s">
        <v>38</v>
      </c>
      <c r="F32" s="79" t="s">
        <v>39</v>
      </c>
      <c r="H32" s="76" t="s">
        <v>41</v>
      </c>
      <c r="I32" s="77">
        <v>-0.25</v>
      </c>
      <c r="J32" s="77">
        <v>-0.1</v>
      </c>
      <c r="K32" s="78" t="s">
        <v>37</v>
      </c>
      <c r="L32" s="79" t="s">
        <v>38</v>
      </c>
      <c r="M32" s="79" t="s">
        <v>39</v>
      </c>
    </row>
    <row r="33" spans="1:13" x14ac:dyDescent="0.2">
      <c r="A33" s="83" t="s">
        <v>42</v>
      </c>
      <c r="B33" s="78">
        <f>0.75*D33</f>
        <v>45</v>
      </c>
      <c r="C33" s="78">
        <f>0.9*D33</f>
        <v>54</v>
      </c>
      <c r="D33" s="78">
        <f>E3</f>
        <v>60</v>
      </c>
      <c r="E33" s="78">
        <f>D33*1.1</f>
        <v>66</v>
      </c>
      <c r="F33" s="78">
        <f>D33*1.25</f>
        <v>75</v>
      </c>
      <c r="H33" s="83" t="s">
        <v>42</v>
      </c>
      <c r="I33" s="78">
        <f>0.75*K33</f>
        <v>56.25</v>
      </c>
      <c r="J33" s="78">
        <f>0.9*K33</f>
        <v>67.5</v>
      </c>
      <c r="K33" s="78">
        <f>G3</f>
        <v>75</v>
      </c>
      <c r="L33" s="78">
        <f>K33*1.1</f>
        <v>82.5</v>
      </c>
      <c r="M33" s="78">
        <f>K33*1.25</f>
        <v>93.75</v>
      </c>
    </row>
    <row r="34" spans="1:13" x14ac:dyDescent="0.2">
      <c r="A34" s="84">
        <f>A36*0.7</f>
        <v>6.02</v>
      </c>
      <c r="B34" s="85">
        <f>$A$34*B$33-$E$6</f>
        <v>2.6007036999999968</v>
      </c>
      <c r="C34" s="85">
        <f>$A$34*C$33-$E$6</f>
        <v>56.780703700000004</v>
      </c>
      <c r="D34" s="85">
        <f>$A$34*D$33-$E$6</f>
        <v>92.900703700000008</v>
      </c>
      <c r="E34" s="85">
        <f>$A$34*E$33-$E$6</f>
        <v>129.02070370000001</v>
      </c>
      <c r="F34" s="85">
        <f>$A$34*F$33-$E$6</f>
        <v>183.20070369999996</v>
      </c>
      <c r="H34" s="84">
        <f>H36*0.7</f>
        <v>3.5</v>
      </c>
      <c r="I34" s="85">
        <f>$H$34*I$33-$G$6</f>
        <v>-83.963759124999967</v>
      </c>
      <c r="J34" s="85">
        <f>$H$34*J$33-$G$6</f>
        <v>-44.588759124999967</v>
      </c>
      <c r="K34" s="85">
        <f>$H$34*K$33-$G$6</f>
        <v>-18.338759124999967</v>
      </c>
      <c r="L34" s="85">
        <f>$H$34*L$33-$G$6</f>
        <v>7.9112408750000327</v>
      </c>
      <c r="M34" s="85">
        <f>$H$34*M$33-$G$6</f>
        <v>47.286240875000033</v>
      </c>
    </row>
    <row r="35" spans="1:13" x14ac:dyDescent="0.2">
      <c r="A35" s="86">
        <f>A36*0.85</f>
        <v>7.31</v>
      </c>
      <c r="B35" s="87">
        <f>$A$35*B$33-$E$6</f>
        <v>60.650703700000008</v>
      </c>
      <c r="C35" s="87">
        <f>$A$35*C$33-$E$6</f>
        <v>126.44070369999997</v>
      </c>
      <c r="D35" s="87">
        <f>$A$35*D$33-$E$6</f>
        <v>170.30070369999999</v>
      </c>
      <c r="E35" s="87">
        <f>$A$35*E$33-$E$6</f>
        <v>214.1607037</v>
      </c>
      <c r="F35" s="87">
        <f>$A$35*F$33-$E$6</f>
        <v>279.95070370000002</v>
      </c>
      <c r="H35" s="86">
        <f>H36*0.85</f>
        <v>4.25</v>
      </c>
      <c r="I35" s="87">
        <f>$H$35*I$33-$G$6</f>
        <v>-41.776259124999967</v>
      </c>
      <c r="J35" s="87">
        <f>$H$35*J$33-$G$6</f>
        <v>6.0362408750000327</v>
      </c>
      <c r="K35" s="87">
        <f>$H$35*K$33-$G$6</f>
        <v>37.911240875000033</v>
      </c>
      <c r="L35" s="87">
        <f>$H$35*L$33-$G$6</f>
        <v>69.786240875000033</v>
      </c>
      <c r="M35" s="87">
        <f>$H$35*M$33-$G$6</f>
        <v>117.59874087500003</v>
      </c>
    </row>
    <row r="36" spans="1:13" x14ac:dyDescent="0.2">
      <c r="A36" s="86">
        <f>E4</f>
        <v>8.6</v>
      </c>
      <c r="B36" s="87">
        <f>$A$36*B$33-$E$6</f>
        <v>118.70070370000002</v>
      </c>
      <c r="C36" s="87">
        <f>$A$36*C$33-$E$6</f>
        <v>196.1007037</v>
      </c>
      <c r="D36" s="87">
        <f>$A$36*D$33-$E$6</f>
        <v>247.70070370000002</v>
      </c>
      <c r="E36" s="87">
        <f>$A$36*E$33-$E$6</f>
        <v>299.30070370000004</v>
      </c>
      <c r="F36" s="87">
        <f>$A$36*F$33-$E$6</f>
        <v>376.70070370000002</v>
      </c>
      <c r="H36" s="86">
        <f>G4</f>
        <v>5</v>
      </c>
      <c r="I36" s="87">
        <f>$H$36*I$33-$G$6</f>
        <v>0.4112408750000327</v>
      </c>
      <c r="J36" s="87">
        <f>$H$36*J$33-$G$6</f>
        <v>56.661240875000033</v>
      </c>
      <c r="K36" s="87">
        <f>$H$36*K$33-$G$6</f>
        <v>94.161240875000033</v>
      </c>
      <c r="L36" s="87">
        <f>$H$36*L$33-$G$6</f>
        <v>131.66124087500003</v>
      </c>
      <c r="M36" s="87">
        <f>$H$36*M$33-$G$6</f>
        <v>187.91124087500003</v>
      </c>
    </row>
    <row r="37" spans="1:13" x14ac:dyDescent="0.2">
      <c r="A37" s="86">
        <f>A36*1.15</f>
        <v>9.8899999999999988</v>
      </c>
      <c r="B37" s="87">
        <f>$A$37*B$33-$E$6</f>
        <v>176.75070369999997</v>
      </c>
      <c r="C37" s="87">
        <f>$A$37*C$33-$E$6</f>
        <v>265.76070369999997</v>
      </c>
      <c r="D37" s="87">
        <f>$A$37*D$33-$E$6</f>
        <v>325.1007037</v>
      </c>
      <c r="E37" s="87">
        <f>$A$37*E$33-$E$6</f>
        <v>384.44070369999991</v>
      </c>
      <c r="F37" s="87">
        <f>$A$37*F$33-$E$6</f>
        <v>473.45070369999991</v>
      </c>
      <c r="H37" s="86">
        <f>H36*1.15</f>
        <v>5.75</v>
      </c>
      <c r="I37" s="87">
        <f>$H$37*I$33-$G$6</f>
        <v>42.598740875000033</v>
      </c>
      <c r="J37" s="87">
        <f>$H$37*J$33-$G$6</f>
        <v>107.28624087500003</v>
      </c>
      <c r="K37" s="87">
        <f>$H$37*K$33-$G$6</f>
        <v>150.41124087500003</v>
      </c>
      <c r="L37" s="87">
        <f>$H$37*L$33-$G$6</f>
        <v>193.53624087500003</v>
      </c>
      <c r="M37" s="87">
        <f>$H$37*M$33-$G$6</f>
        <v>258.22374087500003</v>
      </c>
    </row>
    <row r="38" spans="1:13" x14ac:dyDescent="0.2">
      <c r="A38" s="88">
        <f>A36*1.3</f>
        <v>11.18</v>
      </c>
      <c r="B38" s="89">
        <f>$A$38*B$33-$E$6</f>
        <v>234.80070369999999</v>
      </c>
      <c r="C38" s="89">
        <f>$A$38*C$33-$E$6</f>
        <v>335.42070370000005</v>
      </c>
      <c r="D38" s="89">
        <f>$A$38*D$33-$E$6</f>
        <v>402.50070369999997</v>
      </c>
      <c r="E38" s="89">
        <f>$A$38*E$33-$E$6</f>
        <v>469.58070370000002</v>
      </c>
      <c r="F38" s="89">
        <f>$A$38*F$33-$E$6</f>
        <v>570.20070370000008</v>
      </c>
      <c r="H38" s="88">
        <f>H36*1.3</f>
        <v>6.5</v>
      </c>
      <c r="I38" s="89">
        <f>$H$38*I$33-$G$6</f>
        <v>84.786240875000033</v>
      </c>
      <c r="J38" s="89">
        <f>$H$38*J$33-$G$6</f>
        <v>157.91124087500003</v>
      </c>
      <c r="K38" s="89">
        <f>$H$38*K$33-$G$6</f>
        <v>206.66124087500003</v>
      </c>
      <c r="L38" s="89">
        <f>$H$38*L$33-$G$6</f>
        <v>255.41124087500003</v>
      </c>
      <c r="M38" s="89">
        <f>$H$38*M$33-$G$6</f>
        <v>328.53624087500003</v>
      </c>
    </row>
    <row r="39" spans="1:13" s="62" customFormat="1" ht="12" x14ac:dyDescent="0.2"/>
    <row r="49" s="62" customFormat="1" ht="12" x14ac:dyDescent="0.2"/>
    <row r="59" s="62" customFormat="1" ht="12" x14ac:dyDescent="0.2"/>
  </sheetData>
  <sheetProtection sheet="1" objects="1" scenarios="1"/>
  <mergeCells count="15">
    <mergeCell ref="A10:F10"/>
    <mergeCell ref="A11:F11"/>
    <mergeCell ref="H11:M11"/>
    <mergeCell ref="B1:G1"/>
    <mergeCell ref="H10:M10"/>
    <mergeCell ref="A7:M7"/>
    <mergeCell ref="A9:M9"/>
    <mergeCell ref="H31:M31"/>
    <mergeCell ref="A30:F30"/>
    <mergeCell ref="A31:F31"/>
    <mergeCell ref="A20:F20"/>
    <mergeCell ref="A21:F21"/>
    <mergeCell ref="H20:M20"/>
    <mergeCell ref="H21:M21"/>
    <mergeCell ref="H30:M30"/>
  </mergeCells>
  <phoneticPr fontId="2" type="noConversion"/>
  <conditionalFormatting sqref="B14:F18 I14:M18 I24:M28 I34:M38 B24:F28 B34:F38">
    <cfRule type="cellIs" dxfId="3" priority="1" stopIfTrue="1" operator="greaterThanOrEqual">
      <formula>0</formula>
    </cfRule>
  </conditionalFormatting>
  <printOptions horizontalCentered="1" verticalCentered="1"/>
  <pageMargins left="0.5" right="0.5" top="0.5" bottom="0.5" header="0.5" footer="0.5"/>
  <pageSetup orientation="landscape" horizontalDpi="300" verticalDpi="300"/>
  <headerFooter alignWithMargins="0">
    <oddFooter xml:space="preserve">&amp;L&amp;G&amp;C
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10</vt:i4>
      </vt:variant>
    </vt:vector>
  </HeadingPairs>
  <TitlesOfParts>
    <vt:vector size="22" baseType="lpstr">
      <vt:lpstr>Sheet1</vt:lpstr>
      <vt:lpstr>Conventional</vt:lpstr>
      <vt:lpstr>Prices</vt:lpstr>
      <vt:lpstr>Strip-Till</vt:lpstr>
      <vt:lpstr>Peanut Price Calculator</vt:lpstr>
      <vt:lpstr>Price Comparison</vt:lpstr>
      <vt:lpstr>CTillCharts</vt:lpstr>
      <vt:lpstr>STillCharts</vt:lpstr>
      <vt:lpstr>Irrigated</vt:lpstr>
      <vt:lpstr>Dryland</vt:lpstr>
      <vt:lpstr>Irrigated ST</vt:lpstr>
      <vt:lpstr>Dryland ST</vt:lpstr>
      <vt:lpstr>Conventional!Print_Area</vt:lpstr>
      <vt:lpstr>CTillCharts!Print_Area</vt:lpstr>
      <vt:lpstr>Dryland!Print_Area</vt:lpstr>
      <vt:lpstr>'Dryland ST'!Print_Area</vt:lpstr>
      <vt:lpstr>Irrigated!Print_Area</vt:lpstr>
      <vt:lpstr>'Irrigated ST'!Print_Area</vt:lpstr>
      <vt:lpstr>'Peanut Price Calculator'!Print_Area</vt:lpstr>
      <vt:lpstr>'Price Comparison'!Print_Area</vt:lpstr>
      <vt:lpstr>STillCharts!Print_Area</vt:lpstr>
      <vt:lpstr>'Strip-Till'!Print_Area</vt:lpstr>
    </vt:vector>
  </TitlesOfParts>
  <Company>UGA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 Smith</dc:creator>
  <cp:lastModifiedBy>Amanda R. Smith</cp:lastModifiedBy>
  <cp:lastPrinted>2016-01-18T16:33:56Z</cp:lastPrinted>
  <dcterms:created xsi:type="dcterms:W3CDTF">2007-11-26T00:37:18Z</dcterms:created>
  <dcterms:modified xsi:type="dcterms:W3CDTF">2016-01-18T20:15:53Z</dcterms:modified>
</cp:coreProperties>
</file>