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511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Dis'!$A$50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Dis'!$A$26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Dis'!$A$1:$F$50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Main!$F$38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45621"/>
</workbook>
</file>

<file path=xl/calcChain.xml><?xml version="1.0" encoding="utf-8"?>
<calcChain xmlns="http://schemas.openxmlformats.org/spreadsheetml/2006/main">
  <c r="D6" i="7" l="1"/>
  <c r="B69" i="6" l="1"/>
  <c r="B67" i="6"/>
  <c r="B68" i="6"/>
  <c r="B66" i="6"/>
  <c r="F21" i="6" l="1"/>
  <c r="G21" i="6" s="1"/>
  <c r="F19" i="6"/>
  <c r="G19" i="6"/>
  <c r="B60" i="6" l="1"/>
  <c r="E46" i="7" l="1"/>
  <c r="E6" i="7" l="1"/>
  <c r="F10" i="6" l="1"/>
  <c r="F11" i="6"/>
  <c r="E22" i="7" l="1"/>
  <c r="E23" i="7"/>
  <c r="E16" i="7" l="1"/>
  <c r="E17" i="7"/>
  <c r="E18" i="7"/>
  <c r="E19" i="7"/>
  <c r="E20" i="7"/>
  <c r="E15" i="7"/>
  <c r="F17" i="7" l="1"/>
  <c r="F46" i="7" l="1"/>
  <c r="G10" i="6"/>
  <c r="G11" i="6"/>
  <c r="F23" i="7"/>
  <c r="F16" i="7"/>
  <c r="F22" i="7"/>
  <c r="F19" i="7"/>
  <c r="F15" i="7"/>
  <c r="F18" i="7"/>
  <c r="F20" i="7"/>
  <c r="E37" i="6"/>
  <c r="D36" i="6"/>
  <c r="C36" i="6"/>
  <c r="D35" i="6"/>
  <c r="C35" i="6"/>
  <c r="D34" i="6"/>
  <c r="F34" i="6" s="1"/>
  <c r="G34" i="6" s="1"/>
  <c r="C34" i="6"/>
  <c r="E40" i="7" l="1"/>
  <c r="F40" i="7" s="1"/>
  <c r="E41" i="7"/>
  <c r="F41" i="7" s="1"/>
  <c r="E42" i="7"/>
  <c r="F42" i="7" s="1"/>
  <c r="E43" i="7"/>
  <c r="F43" i="7" s="1"/>
  <c r="E44" i="7"/>
  <c r="F44" i="7" s="1"/>
  <c r="F12" i="6" l="1"/>
  <c r="G12" i="6" s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C18" i="2" s="1"/>
  <c r="Y18" i="2"/>
  <c r="Z18" i="2" s="1"/>
  <c r="S18" i="2"/>
  <c r="G18" i="2"/>
  <c r="B18" i="2"/>
  <c r="AB18" i="2" l="1"/>
  <c r="AD18" i="2"/>
  <c r="AE18" i="2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F18" i="2" l="1"/>
  <c r="AG18" i="2" s="1"/>
  <c r="AA40" i="3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D21" i="3" s="1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D18" i="3" s="1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9" i="3" l="1"/>
  <c r="AD16" i="3"/>
  <c r="AD9" i="3"/>
  <c r="AD10" i="3"/>
  <c r="AD28" i="3"/>
  <c r="AD1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5" i="6" l="1"/>
  <c r="G35" i="6" s="1"/>
  <c r="F36" i="6"/>
  <c r="G36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45" i="7"/>
  <c r="F45" i="7" s="1"/>
  <c r="D13" i="6" l="1"/>
  <c r="N5" i="5" l="1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H5" i="5" s="1"/>
  <c r="X461" i="1"/>
  <c r="Y461" i="1" s="1"/>
  <c r="X460" i="1"/>
  <c r="Y460" i="1" s="1"/>
  <c r="X459" i="1"/>
  <c r="Y459" i="1" s="1"/>
  <c r="H6" i="5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I8" i="4"/>
  <c r="K8" i="4"/>
  <c r="M8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J6" i="5" s="1"/>
  <c r="AE458" i="1" l="1"/>
  <c r="AF458" i="1" s="1"/>
  <c r="AE462" i="1"/>
  <c r="AF462" i="1" s="1"/>
  <c r="J5" i="5" s="1"/>
  <c r="G9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F30" i="6"/>
  <c r="G30" i="6" s="1"/>
  <c r="F44" i="6"/>
  <c r="G44" i="6" s="1"/>
  <c r="B63" i="6"/>
  <c r="E49" i="7"/>
  <c r="F49" i="7" s="1"/>
  <c r="E48" i="7"/>
  <c r="F48" i="7" s="1"/>
  <c r="E47" i="7"/>
  <c r="F47" i="7" s="1"/>
  <c r="E39" i="7"/>
  <c r="F39" i="7" s="1"/>
  <c r="E38" i="7"/>
  <c r="F38" i="7" s="1"/>
  <c r="F37" i="7"/>
  <c r="E64" i="6"/>
  <c r="B62" i="6"/>
  <c r="G53" i="6"/>
  <c r="G52" i="6"/>
  <c r="F48" i="6"/>
  <c r="G48" i="6" s="1"/>
  <c r="F47" i="6"/>
  <c r="G47" i="6" s="1"/>
  <c r="F50" i="7" l="1"/>
  <c r="AE376" i="1"/>
  <c r="AF376" i="1" s="1"/>
  <c r="AE164" i="1"/>
  <c r="AF164" i="1" s="1"/>
  <c r="AD162" i="1"/>
  <c r="AC162" i="1"/>
  <c r="AE303" i="1"/>
  <c r="AF303" i="1" s="1"/>
  <c r="AC304" i="1"/>
  <c r="AD304" i="1"/>
  <c r="AC375" i="1"/>
  <c r="AD375" i="1"/>
  <c r="AE163" i="1"/>
  <c r="AF163" i="1" s="1"/>
  <c r="X4" i="3"/>
  <c r="Y4" i="3" s="1"/>
  <c r="AE4" i="3" s="1"/>
  <c r="E50" i="7"/>
  <c r="E22" i="6" s="1"/>
  <c r="F22" i="6" s="1"/>
  <c r="G22" i="6" s="1"/>
  <c r="C64" i="6"/>
  <c r="G64" i="6"/>
  <c r="D64" i="6"/>
  <c r="F64" i="6"/>
  <c r="F37" i="6"/>
  <c r="G37" i="6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7" i="7"/>
  <c r="F13" i="7"/>
  <c r="F2" i="7"/>
  <c r="E21" i="7"/>
  <c r="F21" i="7" s="1"/>
  <c r="E14" i="7"/>
  <c r="E17" i="6"/>
  <c r="E16" i="6"/>
  <c r="E15" i="6"/>
  <c r="E13" i="6"/>
  <c r="F32" i="6"/>
  <c r="G32" i="6" s="1"/>
  <c r="F31" i="6"/>
  <c r="G31" i="6" s="1"/>
  <c r="D17" i="6"/>
  <c r="D16" i="6"/>
  <c r="D15" i="6"/>
  <c r="E4" i="7"/>
  <c r="F4" i="7" s="1"/>
  <c r="E5" i="7"/>
  <c r="F5" i="7" s="1"/>
  <c r="F6" i="7"/>
  <c r="E7" i="7"/>
  <c r="F7" i="7" s="1"/>
  <c r="E8" i="7"/>
  <c r="F8" i="7" s="1"/>
  <c r="E9" i="7"/>
  <c r="F9" i="7" s="1"/>
  <c r="E3" i="7"/>
  <c r="G7" i="5"/>
  <c r="K7" i="5" s="1"/>
  <c r="G8" i="5"/>
  <c r="G9" i="5"/>
  <c r="K9" i="5" s="1"/>
  <c r="G10" i="5"/>
  <c r="AE162" i="1" l="1"/>
  <c r="AF162" i="1" s="1"/>
  <c r="AE304" i="1"/>
  <c r="AF304" i="1" s="1"/>
  <c r="E24" i="7"/>
  <c r="E18" i="6" s="1"/>
  <c r="F18" i="6" s="1"/>
  <c r="F14" i="7"/>
  <c r="F24" i="7" s="1"/>
  <c r="E34" i="7"/>
  <c r="E20" i="6" s="1"/>
  <c r="F20" i="6" s="1"/>
  <c r="G20" i="6" s="1"/>
  <c r="F28" i="7"/>
  <c r="F34" i="7" s="1"/>
  <c r="AE375" i="1"/>
  <c r="AF375" i="1" s="1"/>
  <c r="G3" i="5"/>
  <c r="Q3" i="5" s="1"/>
  <c r="G5" i="5"/>
  <c r="K5" i="5" s="1"/>
  <c r="G6" i="5"/>
  <c r="K6" i="5" s="1"/>
  <c r="G4" i="5"/>
  <c r="F13" i="6"/>
  <c r="G13" i="6" s="1"/>
  <c r="F16" i="6"/>
  <c r="G16" i="6" s="1"/>
  <c r="F15" i="6"/>
  <c r="G15" i="6" s="1"/>
  <c r="F17" i="6"/>
  <c r="G17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O5" i="5" l="1"/>
  <c r="O4" i="5"/>
  <c r="K3" i="5"/>
  <c r="G11" i="5"/>
  <c r="I3" i="5"/>
  <c r="R3" i="5" s="1"/>
  <c r="T3" i="5"/>
  <c r="O3" i="5"/>
  <c r="I6" i="5"/>
  <c r="U10" i="5"/>
  <c r="I5" i="5"/>
  <c r="O6" i="5"/>
  <c r="R10" i="5"/>
  <c r="R8" i="5"/>
  <c r="R7" i="5"/>
  <c r="R9" i="5"/>
  <c r="G18" i="6"/>
  <c r="U8" i="5"/>
  <c r="U3" i="5" l="1"/>
  <c r="O11" i="5"/>
  <c r="D27" i="6" s="1"/>
  <c r="F27" i="6" s="1"/>
  <c r="G27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U15" i="3"/>
  <c r="V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/>
  <c r="S20" i="3"/>
  <c r="U20" i="3" s="1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T24" i="3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U34" i="3" s="1"/>
  <c r="V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U40" i="3"/>
  <c r="V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/>
  <c r="AC13" i="2"/>
  <c r="AE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/>
  <c r="AA16" i="2"/>
  <c r="AB16" i="2" s="1"/>
  <c r="AC16" i="2"/>
  <c r="AD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AC26" i="2"/>
  <c r="AD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AC30" i="2"/>
  <c r="AD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H3" i="4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H6" i="4" s="1"/>
  <c r="I6" i="4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H5" i="4" s="1"/>
  <c r="I5" i="4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H4" i="5" l="1"/>
  <c r="I4" i="5" s="1"/>
  <c r="AC25" i="2"/>
  <c r="AD25" i="2" s="1"/>
  <c r="AC22" i="2"/>
  <c r="AD22" i="2" s="1"/>
  <c r="AC8" i="2"/>
  <c r="AD8" i="2" s="1"/>
  <c r="AC19" i="2"/>
  <c r="AC5" i="2"/>
  <c r="AE5" i="2" s="1"/>
  <c r="AC10" i="2"/>
  <c r="AC27" i="2"/>
  <c r="AC20" i="2"/>
  <c r="AD13" i="2"/>
  <c r="AF13" i="2" s="1"/>
  <c r="AG13" i="2" s="1"/>
  <c r="AB12" i="2"/>
  <c r="T43" i="3"/>
  <c r="T34" i="3"/>
  <c r="U27" i="3"/>
  <c r="V27" i="3" s="1"/>
  <c r="P4" i="4"/>
  <c r="Q4" i="4" s="1"/>
  <c r="P7" i="4"/>
  <c r="Q7" i="4" s="1"/>
  <c r="P6" i="5"/>
  <c r="Q6" i="5" s="1"/>
  <c r="R6" i="5" s="1"/>
  <c r="G85" i="6" s="1"/>
  <c r="T20" i="3"/>
  <c r="T18" i="3"/>
  <c r="U11" i="3"/>
  <c r="V11" i="3" s="1"/>
  <c r="U42" i="3"/>
  <c r="V42" i="3" s="1"/>
  <c r="U17" i="3"/>
  <c r="V17" i="3" s="1"/>
  <c r="P3" i="4"/>
  <c r="P4" i="5"/>
  <c r="Q4" i="5" s="1"/>
  <c r="R4" i="5" s="1"/>
  <c r="P5" i="4"/>
  <c r="Q5" i="4" s="1"/>
  <c r="P6" i="4"/>
  <c r="P5" i="5"/>
  <c r="Q5" i="5" s="1"/>
  <c r="R5" i="5" s="1"/>
  <c r="G84" i="6" s="1"/>
  <c r="H7" i="4"/>
  <c r="I7" i="4" s="1"/>
  <c r="H4" i="4"/>
  <c r="I4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E26" i="2"/>
  <c r="AF26" i="2" s="1"/>
  <c r="AG26" i="2" s="1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F16" i="2" s="1"/>
  <c r="AG16" i="2" s="1"/>
  <c r="AC14" i="2"/>
  <c r="AE8" i="2"/>
  <c r="AF8" i="2" s="1"/>
  <c r="AG8" i="2" s="1"/>
  <c r="AC6" i="2"/>
  <c r="U41" i="3"/>
  <c r="U37" i="3"/>
  <c r="V37" i="3" s="1"/>
  <c r="W20" i="3"/>
  <c r="AC32" i="2"/>
  <c r="AE25" i="2"/>
  <c r="AF25" i="2" s="1"/>
  <c r="AG25" i="2" s="1"/>
  <c r="AC24" i="2"/>
  <c r="U19" i="3"/>
  <c r="AC15" i="2"/>
  <c r="AC7" i="2"/>
  <c r="AE30" i="2"/>
  <c r="AF30" i="2" s="1"/>
  <c r="AG30" i="2" s="1"/>
  <c r="AC29" i="2"/>
  <c r="AE22" i="2"/>
  <c r="AF22" i="2" s="1"/>
  <c r="AG22" i="2" s="1"/>
  <c r="AC21" i="2"/>
  <c r="T16" i="3"/>
  <c r="V16" i="3"/>
  <c r="W16" i="3"/>
  <c r="V43" i="3"/>
  <c r="W43" i="3"/>
  <c r="V18" i="3"/>
  <c r="W18" i="3"/>
  <c r="U39" i="3"/>
  <c r="U38" i="3"/>
  <c r="W34" i="3"/>
  <c r="U28" i="3"/>
  <c r="W24" i="3"/>
  <c r="X24" i="3" s="1"/>
  <c r="Y24" i="3" s="1"/>
  <c r="AE24" i="3" s="1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U35" i="3"/>
  <c r="U25" i="3"/>
  <c r="W15" i="3"/>
  <c r="X15" i="3" s="1"/>
  <c r="Y15" i="3" s="1"/>
  <c r="AE15" i="3" s="1"/>
  <c r="U9" i="3"/>
  <c r="U36" i="3"/>
  <c r="U26" i="3"/>
  <c r="U10" i="3"/>
  <c r="U21" i="3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D39" i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D182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B369" i="1"/>
  <c r="AB367" i="1"/>
  <c r="AB365" i="1"/>
  <c r="AB363" i="1"/>
  <c r="AB361" i="1"/>
  <c r="AD360" i="1"/>
  <c r="AE360" i="1" s="1"/>
  <c r="AF360" i="1" s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D27" i="1"/>
  <c r="AE27" i="1" s="1"/>
  <c r="AF27" i="1" s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W27" i="3" l="1"/>
  <c r="X27" i="3" s="1"/>
  <c r="Y27" i="3" s="1"/>
  <c r="AE27" i="3" s="1"/>
  <c r="W11" i="3"/>
  <c r="X11" i="3" s="1"/>
  <c r="Y11" i="3" s="1"/>
  <c r="AE11" i="3" s="1"/>
  <c r="AD389" i="1"/>
  <c r="AE389" i="1" s="1"/>
  <c r="AF389" i="1" s="1"/>
  <c r="AD446" i="1"/>
  <c r="AD336" i="1"/>
  <c r="AD313" i="1"/>
  <c r="AE313" i="1" s="1"/>
  <c r="AF313" i="1" s="1"/>
  <c r="AD332" i="1"/>
  <c r="AE332" i="1" s="1"/>
  <c r="AF332" i="1" s="1"/>
  <c r="AD445" i="1"/>
  <c r="AE445" i="1" s="1"/>
  <c r="AF445" i="1" s="1"/>
  <c r="AD117" i="1"/>
  <c r="AE117" i="1" s="1"/>
  <c r="AF117" i="1" s="1"/>
  <c r="AD378" i="1"/>
  <c r="AE378" i="1" s="1"/>
  <c r="AF378" i="1" s="1"/>
  <c r="AD381" i="1"/>
  <c r="AE381" i="1" s="1"/>
  <c r="AF381" i="1" s="1"/>
  <c r="AD19" i="1"/>
  <c r="AE19" i="1" s="1"/>
  <c r="AF19" i="1" s="1"/>
  <c r="AD248" i="1"/>
  <c r="AE248" i="1" s="1"/>
  <c r="AF248" i="1" s="1"/>
  <c r="AD74" i="1"/>
  <c r="AE74" i="1" s="1"/>
  <c r="AF74" i="1" s="1"/>
  <c r="AD197" i="1"/>
  <c r="AE197" i="1" s="1"/>
  <c r="AF197" i="1" s="1"/>
  <c r="W29" i="3"/>
  <c r="X29" i="3" s="1"/>
  <c r="Y29" i="3" s="1"/>
  <c r="AE29" i="3" s="1"/>
  <c r="AF4" i="2"/>
  <c r="AG4" i="2" s="1"/>
  <c r="AF12" i="2"/>
  <c r="AG12" i="2" s="1"/>
  <c r="AD19" i="2"/>
  <c r="AE19" i="2"/>
  <c r="AD5" i="2"/>
  <c r="AF5" i="2" s="1"/>
  <c r="AG5" i="2" s="1"/>
  <c r="W42" i="3"/>
  <c r="X42" i="3" s="1"/>
  <c r="Y42" i="3" s="1"/>
  <c r="AE42" i="3" s="1"/>
  <c r="V14" i="3"/>
  <c r="X14" i="3" s="1"/>
  <c r="Y14" i="3" s="1"/>
  <c r="AE14" i="3" s="1"/>
  <c r="X34" i="3"/>
  <c r="Y34" i="3" s="1"/>
  <c r="AE34" i="3" s="1"/>
  <c r="V30" i="3"/>
  <c r="X30" i="3" s="1"/>
  <c r="Y30" i="3" s="1"/>
  <c r="AE30" i="3" s="1"/>
  <c r="AC447" i="1"/>
  <c r="AE447" i="1" s="1"/>
  <c r="AF447" i="1" s="1"/>
  <c r="AD466" i="1"/>
  <c r="AE466" i="1" s="1"/>
  <c r="AF466" i="1" s="1"/>
  <c r="AD400" i="1"/>
  <c r="AE400" i="1" s="1"/>
  <c r="AF400" i="1" s="1"/>
  <c r="AD57" i="1"/>
  <c r="AE57" i="1" s="1"/>
  <c r="AF57" i="1" s="1"/>
  <c r="AD395" i="1"/>
  <c r="AE395" i="1" s="1"/>
  <c r="AF395" i="1" s="1"/>
  <c r="AD185" i="1"/>
  <c r="AE185" i="1" s="1"/>
  <c r="AF185" i="1" s="1"/>
  <c r="AD66" i="1"/>
  <c r="AE66" i="1" s="1"/>
  <c r="AF66" i="1" s="1"/>
  <c r="AF11" i="2"/>
  <c r="AG11" i="2" s="1"/>
  <c r="AD20" i="2"/>
  <c r="AE20" i="2"/>
  <c r="AD27" i="2"/>
  <c r="AE27" i="2"/>
  <c r="AE10" i="2"/>
  <c r="AD10" i="2"/>
  <c r="G83" i="6"/>
  <c r="G86" i="6" s="1"/>
  <c r="R11" i="5"/>
  <c r="E28" i="6" s="1"/>
  <c r="F28" i="6" s="1"/>
  <c r="G28" i="6" s="1"/>
  <c r="S5" i="5"/>
  <c r="T5" i="5" s="1"/>
  <c r="U5" i="5" s="1"/>
  <c r="H84" i="6" s="1"/>
  <c r="S4" i="5"/>
  <c r="T4" i="5" s="1"/>
  <c r="S5" i="4"/>
  <c r="T5" i="4" s="1"/>
  <c r="S6" i="4"/>
  <c r="T6" i="4" s="1"/>
  <c r="W17" i="3"/>
  <c r="X17" i="3" s="1"/>
  <c r="Y17" i="3" s="1"/>
  <c r="AE17" i="3" s="1"/>
  <c r="X43" i="3"/>
  <c r="Y43" i="3" s="1"/>
  <c r="AE43" i="3" s="1"/>
  <c r="X20" i="3"/>
  <c r="Y20" i="3" s="1"/>
  <c r="AE20" i="3" s="1"/>
  <c r="X18" i="3"/>
  <c r="Y18" i="3" s="1"/>
  <c r="AE18" i="3" s="1"/>
  <c r="W32" i="3"/>
  <c r="X32" i="3" s="1"/>
  <c r="Y32" i="3" s="1"/>
  <c r="AE32" i="3" s="1"/>
  <c r="AD371" i="1"/>
  <c r="AE371" i="1" s="1"/>
  <c r="AF371" i="1" s="1"/>
  <c r="AD350" i="1"/>
  <c r="AE350" i="1" s="1"/>
  <c r="AF350" i="1" s="1"/>
  <c r="AD63" i="1"/>
  <c r="AE63" i="1" s="1"/>
  <c r="AF63" i="1" s="1"/>
  <c r="AD110" i="1"/>
  <c r="AE110" i="1" s="1"/>
  <c r="AF110" i="1" s="1"/>
  <c r="AD174" i="1"/>
  <c r="AE174" i="1" s="1"/>
  <c r="AF174" i="1" s="1"/>
  <c r="AD166" i="1"/>
  <c r="AE166" i="1" s="1"/>
  <c r="AF166" i="1" s="1"/>
  <c r="AD22" i="1"/>
  <c r="AE22" i="1" s="1"/>
  <c r="AF22" i="1" s="1"/>
  <c r="AD311" i="1"/>
  <c r="AE311" i="1" s="1"/>
  <c r="AF311" i="1" s="1"/>
  <c r="AD342" i="1"/>
  <c r="AE342" i="1" s="1"/>
  <c r="AF342" i="1" s="1"/>
  <c r="K24" i="4"/>
  <c r="AD386" i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86" i="1"/>
  <c r="AF386" i="1" s="1"/>
  <c r="AE336" i="1"/>
  <c r="AF336" i="1" s="1"/>
  <c r="AE182" i="1"/>
  <c r="AF182" i="1" s="1"/>
  <c r="V5" i="3"/>
  <c r="W5" i="3"/>
  <c r="AD465" i="1"/>
  <c r="AE465" i="1" s="1"/>
  <c r="AF465" i="1" s="1"/>
  <c r="AE446" i="1"/>
  <c r="AF446" i="1" s="1"/>
  <c r="AE39" i="1"/>
  <c r="AF39" i="1" s="1"/>
  <c r="G15" i="4"/>
  <c r="D29" i="6" s="1"/>
  <c r="F29" i="6" s="1"/>
  <c r="Q6" i="4"/>
  <c r="R6" i="4" s="1"/>
  <c r="G77" i="6" s="1"/>
  <c r="Q10" i="4"/>
  <c r="R10" i="4" s="1"/>
  <c r="T8" i="4"/>
  <c r="U8" i="4" s="1"/>
  <c r="T10" i="4"/>
  <c r="U10" i="4" s="1"/>
  <c r="O5" i="4"/>
  <c r="Q9" i="4"/>
  <c r="R9" i="4" s="1"/>
  <c r="O7" i="4"/>
  <c r="R7" i="4"/>
  <c r="G78" i="6" s="1"/>
  <c r="U9" i="4"/>
  <c r="R5" i="4"/>
  <c r="G76" i="6" s="1"/>
  <c r="R13" i="4"/>
  <c r="R11" i="4"/>
  <c r="R12" i="4"/>
  <c r="R4" i="4"/>
  <c r="G75" i="6" s="1"/>
  <c r="R8" i="4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E34" i="1"/>
  <c r="AF34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J5" i="4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E237" i="1" s="1"/>
  <c r="AF237" i="1" s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X10" i="3" l="1"/>
  <c r="Y10" i="3" s="1"/>
  <c r="AE10" i="3" s="1"/>
  <c r="AF6" i="2"/>
  <c r="AG6" i="2" s="1"/>
  <c r="AF19" i="2"/>
  <c r="AG19" i="2" s="1"/>
  <c r="X38" i="3"/>
  <c r="Y38" i="3" s="1"/>
  <c r="AE38" i="3" s="1"/>
  <c r="AF10" i="2"/>
  <c r="AG10" i="2" s="1"/>
  <c r="AF31" i="2"/>
  <c r="AG31" i="2" s="1"/>
  <c r="AF27" i="2"/>
  <c r="AG27" i="2" s="1"/>
  <c r="AF20" i="2"/>
  <c r="AG20" i="2" s="1"/>
  <c r="AF14" i="2"/>
  <c r="AG14" i="2" s="1"/>
  <c r="D84" i="6"/>
  <c r="B84" i="6"/>
  <c r="C84" i="6"/>
  <c r="F84" i="6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4" i="6" s="1"/>
  <c r="F24" i="6" s="1"/>
  <c r="G29" i="6"/>
  <c r="R3" i="4"/>
  <c r="G74" i="6" s="1"/>
  <c r="G79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J4" i="5" l="1"/>
  <c r="K4" i="5" s="1"/>
  <c r="U4" i="5" s="1"/>
  <c r="H83" i="6" s="1"/>
  <c r="J3" i="4"/>
  <c r="K3" i="4" s="1"/>
  <c r="M3" i="4" s="1"/>
  <c r="E84" i="6"/>
  <c r="AE25" i="3"/>
  <c r="S7" i="4"/>
  <c r="T7" i="4" s="1"/>
  <c r="S6" i="5"/>
  <c r="T6" i="5" s="1"/>
  <c r="U6" i="5" s="1"/>
  <c r="H85" i="6" s="1"/>
  <c r="S4" i="4"/>
  <c r="T4" i="4" s="1"/>
  <c r="S3" i="4"/>
  <c r="T3" i="4" s="1"/>
  <c r="G24" i="6"/>
  <c r="AF351" i="1"/>
  <c r="AF7" i="1"/>
  <c r="K5" i="4"/>
  <c r="M5" i="4" s="1"/>
  <c r="AF292" i="1"/>
  <c r="J6" i="4" s="1"/>
  <c r="K6" i="4" s="1"/>
  <c r="M6" i="4" s="1"/>
  <c r="AF158" i="1"/>
  <c r="R15" i="4"/>
  <c r="E25" i="6" s="1"/>
  <c r="F25" i="6" s="1"/>
  <c r="D33" i="6" s="1"/>
  <c r="F33" i="6" s="1"/>
  <c r="G33" i="6" s="1"/>
  <c r="U3" i="4" l="1"/>
  <c r="H74" i="6" s="1"/>
  <c r="F74" i="6" s="1"/>
  <c r="H86" i="6"/>
  <c r="U11" i="5"/>
  <c r="E43" i="6" s="1"/>
  <c r="F43" i="6" s="1"/>
  <c r="G43" i="6" s="1"/>
  <c r="F85" i="6"/>
  <c r="B85" i="6"/>
  <c r="C85" i="6"/>
  <c r="D85" i="6"/>
  <c r="J4" i="4"/>
  <c r="K4" i="4" s="1"/>
  <c r="M4" i="4" s="1"/>
  <c r="J7" i="4"/>
  <c r="K7" i="4" s="1"/>
  <c r="M7" i="4" s="1"/>
  <c r="F83" i="6"/>
  <c r="C83" i="6"/>
  <c r="D83" i="6"/>
  <c r="B83" i="6"/>
  <c r="F38" i="6"/>
  <c r="B74" i="6"/>
  <c r="U6" i="4"/>
  <c r="H77" i="6" s="1"/>
  <c r="U5" i="4"/>
  <c r="H76" i="6" s="1"/>
  <c r="G25" i="6"/>
  <c r="G38" i="6" s="1"/>
  <c r="C74" i="6" l="1"/>
  <c r="D74" i="6"/>
  <c r="U7" i="4"/>
  <c r="H78" i="6" s="1"/>
  <c r="B78" i="6" s="1"/>
  <c r="U4" i="4"/>
  <c r="H75" i="6" s="1"/>
  <c r="D75" i="6" s="1"/>
  <c r="F86" i="6"/>
  <c r="E85" i="6"/>
  <c r="E83" i="6"/>
  <c r="B77" i="6"/>
  <c r="D77" i="6"/>
  <c r="F77" i="6"/>
  <c r="C77" i="6"/>
  <c r="D76" i="6"/>
  <c r="C76" i="6"/>
  <c r="B76" i="6"/>
  <c r="F76" i="6"/>
  <c r="E74" i="6"/>
  <c r="C66" i="6"/>
  <c r="E66" i="6"/>
  <c r="G66" i="6"/>
  <c r="D67" i="6"/>
  <c r="F67" i="6"/>
  <c r="C68" i="6"/>
  <c r="E68" i="6"/>
  <c r="G68" i="6"/>
  <c r="D69" i="6"/>
  <c r="F69" i="6"/>
  <c r="D65" i="6"/>
  <c r="F65" i="6"/>
  <c r="C65" i="6"/>
  <c r="D66" i="6"/>
  <c r="F66" i="6"/>
  <c r="C67" i="6"/>
  <c r="E67" i="6"/>
  <c r="G67" i="6"/>
  <c r="D68" i="6"/>
  <c r="F68" i="6"/>
  <c r="C69" i="6"/>
  <c r="E69" i="6"/>
  <c r="G69" i="6"/>
  <c r="E65" i="6"/>
  <c r="G65" i="6"/>
  <c r="D45" i="6"/>
  <c r="F45" i="6" s="1"/>
  <c r="G45" i="6" s="1"/>
  <c r="D46" i="6"/>
  <c r="F46" i="6" s="1"/>
  <c r="G46" i="6" s="1"/>
  <c r="F75" i="6" l="1"/>
  <c r="B75" i="6"/>
  <c r="C75" i="6"/>
  <c r="E75" i="6" s="1"/>
  <c r="D78" i="6"/>
  <c r="C78" i="6"/>
  <c r="F78" i="6"/>
  <c r="U15" i="4"/>
  <c r="E42" i="6" s="1"/>
  <c r="F42" i="6" s="1"/>
  <c r="G42" i="6" s="1"/>
  <c r="G49" i="6" s="1"/>
  <c r="G51" i="6" s="1"/>
  <c r="H79" i="6"/>
  <c r="E86" i="6"/>
  <c r="E77" i="6"/>
  <c r="E76" i="6"/>
  <c r="F79" i="6" l="1"/>
  <c r="E78" i="6"/>
  <c r="F49" i="6"/>
  <c r="F51" i="6" s="1"/>
  <c r="E79" i="6"/>
</calcChain>
</file>

<file path=xl/sharedStrings.xml><?xml version="1.0" encoding="utf-8"?>
<sst xmlns="http://schemas.openxmlformats.org/spreadsheetml/2006/main" count="2057" uniqueCount="555">
  <si>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</si>
  <si>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</si>
  <si>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</si>
  <si>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</si>
  <si>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</si>
  <si>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</si>
  <si>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</si>
  <si>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</si>
  <si>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</si>
  <si>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</si>
  <si>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</si>
  <si>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</si>
  <si>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</si>
  <si>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</si>
  <si>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</si>
  <si>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</si>
  <si>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</si>
  <si>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</si>
  <si>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</si>
  <si>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</si>
  <si>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</si>
  <si>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</si>
  <si>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</si>
  <si>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</si>
  <si>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</si>
  <si>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</si>
  <si>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</si>
  <si>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</si>
  <si>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</si>
  <si>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</si>
  <si>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</si>
  <si>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</si>
  <si>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</si>
  <si>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</si>
  <si>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</si>
  <si>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</si>
  <si>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</si>
  <si>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</si>
  <si>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</si>
  <si>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</si>
  <si>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</si>
  <si>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</si>
  <si>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</si>
  <si>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</si>
  <si>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</si>
  <si>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</si>
  <si>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</si>
  <si>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</si>
  <si>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</si>
  <si>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</si>
  <si>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</si>
  <si>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</si>
  <si>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</si>
  <si>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</si>
  <si>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</si>
  <si>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</si>
  <si>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</si>
  <si>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</si>
  <si>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</si>
  <si>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</si>
  <si>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</si>
  <si>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</si>
  <si>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</si>
  <si>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</si>
  <si>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</si>
  <si>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</si>
  <si>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</si>
  <si>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</si>
  <si>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</si>
  <si>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</si>
  <si>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</si>
  <si>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</si>
  <si>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</si>
  <si>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</si>
  <si>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</si>
  <si>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</si>
  <si>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</si>
  <si>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</si>
  <si>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</si>
  <si>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</si>
  <si>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</si>
  <si>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</si>
  <si>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</si>
  <si>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</si>
  <si>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</si>
  <si>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</si>
  <si>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</si>
  <si>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</si>
  <si>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</si>
  <si>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</si>
  <si>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</si>
  <si>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</si>
  <si>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</si>
  <si>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</si>
  <si>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</si>
  <si>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</si>
  <si>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</si>
  <si>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</si>
  <si>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</si>
  <si>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</si>
  <si>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</si>
  <si>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</si>
  <si>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</si>
  <si>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</si>
  <si>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</si>
  <si>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</si>
  <si>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</si>
  <si>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</si>
  <si>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</si>
  <si>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</si>
  <si>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</si>
  <si>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</si>
  <si>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</si>
  <si>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</si>
  <si>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</si>
  <si>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</si>
  <si>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</si>
  <si>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</si>
  <si>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</si>
  <si>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</si>
  <si>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</si>
  <si>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</si>
  <si>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</si>
  <si>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</si>
  <si>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</si>
  <si>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</si>
  <si>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</si>
  <si>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</si>
  <si>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</si>
  <si>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</si>
  <si>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</si>
  <si>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</si>
  <si>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</si>
  <si>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</si>
  <si>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</si>
  <si>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</si>
  <si>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</si>
  <si>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</si>
  <si>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</si>
  <si>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</si>
  <si>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</si>
  <si>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</si>
  <si>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</si>
  <si>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</si>
  <si>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</si>
  <si>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</si>
  <si>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</si>
  <si>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</si>
  <si>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</si>
  <si>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</si>
  <si>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</si>
  <si>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</si>
  <si>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</si>
  <si>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</si>
  <si>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</si>
  <si>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</si>
  <si>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</si>
  <si>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</si>
  <si>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</si>
  <si>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</si>
  <si>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</si>
  <si>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</si>
  <si>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</si>
  <si>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</si>
  <si>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</si>
  <si>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</si>
  <si>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</si>
  <si>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</si>
  <si>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</si>
  <si>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</si>
  <si>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</si>
  <si>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</si>
  <si>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</si>
  <si>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</si>
  <si>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</si>
  <si>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</si>
  <si>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</si>
  <si>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</si>
  <si>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</si>
  <si>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</si>
  <si>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</si>
  <si>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</si>
  <si>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</si>
  <si>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</si>
  <si>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</si>
  <si>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</si>
  <si>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</si>
  <si>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</si>
  <si>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</si>
  <si>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</si>
  <si>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</si>
  <si>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</si>
  <si>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</si>
  <si>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</si>
  <si>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</si>
  <si>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</si>
  <si>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</si>
  <si>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</si>
  <si>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</si>
  <si>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</si>
  <si>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</si>
  <si>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</si>
  <si>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</si>
  <si>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</si>
  <si>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</si>
  <si>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</si>
  <si>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</si>
  <si>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</si>
  <si>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</si>
  <si>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</si>
  <si>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</si>
  <si>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</si>
  <si>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</si>
  <si>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</si>
  <si>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</si>
  <si>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</si>
  <si>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</si>
  <si>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</si>
  <si>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</si>
  <si>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</si>
  <si>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</si>
  <si>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</si>
  <si>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</si>
  <si>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</si>
  <si>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</si>
  <si>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</si>
  <si>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</si>
  <si>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</si>
  <si>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</si>
  <si>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</si>
  <si>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</si>
  <si>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</si>
  <si>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</si>
  <si>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</si>
  <si>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</si>
  <si>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</si>
  <si>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</si>
  <si>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</si>
  <si>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</si>
  <si>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</si>
  <si>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</si>
  <si>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</si>
  <si>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</si>
  <si>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</si>
  <si>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</si>
  <si>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</si>
  <si>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</si>
  <si>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</si>
  <si>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</si>
  <si>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</si>
  <si>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</si>
  <si>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</si>
  <si>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</si>
  <si>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</si>
  <si>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</si>
  <si>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</si>
  <si>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</si>
  <si>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</si>
  <si>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</si>
  <si>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</si>
  <si>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</si>
  <si>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</si>
  <si>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</si>
  <si>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</si>
  <si>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</si>
  <si>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</si>
  <si>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</si>
  <si>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</si>
  <si>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</si>
  <si>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</si>
  <si>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</si>
  <si>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</si>
  <si>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</si>
  <si>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</si>
  <si>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</si>
  <si>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</si>
  <si>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</si>
  <si>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</si>
  <si>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</si>
  <si>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</si>
  <si>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</si>
  <si>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</si>
  <si>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</si>
  <si>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</si>
  <si>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</si>
  <si>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</si>
  <si>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</si>
  <si>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</si>
  <si>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</si>
  <si>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</si>
  <si>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</si>
  <si>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</si>
  <si>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</si>
  <si>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</si>
  <si>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</si>
  <si>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</si>
  <si>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</si>
  <si>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</si>
  <si>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</si>
  <si>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</si>
  <si>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</si>
  <si>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</si>
  <si>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</si>
  <si>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</si>
  <si>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</si>
  <si>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</si>
  <si>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</si>
  <si>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</si>
  <si>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</si>
  <si>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</si>
  <si>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</si>
  <si>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</si>
  <si>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</si>
  <si>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</si>
  <si>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</si>
  <si>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</si>
  <si>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</si>
  <si>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</si>
  <si>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</si>
  <si>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</si>
  <si>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</si>
  <si>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</si>
  <si>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</si>
  <si>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</si>
  <si>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</si>
  <si>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</si>
  <si>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</si>
  <si>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</si>
  <si>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</si>
  <si>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</si>
  <si>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</si>
  <si>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</si>
  <si>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</si>
  <si>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</si>
  <si>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</si>
  <si>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</si>
  <si>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</si>
  <si>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</si>
  <si>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</si>
  <si>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</si>
  <si>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</si>
  <si>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</si>
  <si>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</si>
  <si>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</si>
  <si>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</si>
  <si>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</si>
  <si>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</si>
  <si>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</si>
  <si>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</si>
  <si>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</si>
  <si>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</si>
  <si>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</si>
  <si>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</si>
  <si>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</si>
  <si>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</si>
  <si>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</si>
  <si>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</si>
  <si>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</si>
  <si>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</si>
  <si>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</si>
  <si>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</si>
  <si>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</si>
  <si>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</si>
  <si>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</si>
  <si>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</si>
  <si>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</si>
  <si>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</si>
  <si>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</si>
  <si>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</si>
  <si>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</si>
  <si>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</si>
  <si>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</si>
  <si>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</si>
  <si>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</si>
  <si>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</si>
  <si>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</si>
  <si>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</si>
  <si>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</si>
  <si>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</si>
  <si>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</si>
  <si>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</si>
  <si>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</si>
  <si>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</si>
  <si>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</si>
  <si>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</si>
  <si>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</si>
  <si>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</si>
  <si>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</si>
  <si>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</si>
  <si>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</si>
  <si>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</si>
  <si>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</si>
  <si>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</si>
  <si>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</si>
  <si>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</si>
  <si>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</si>
  <si>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</si>
  <si>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</si>
  <si>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</si>
  <si>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</si>
  <si>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</si>
  <si>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</si>
  <si>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</si>
  <si>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</si>
  <si>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</si>
  <si>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</si>
  <si>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</si>
  <si>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</si>
  <si>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</si>
  <si>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</si>
  <si>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</si>
  <si>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</si>
  <si>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</si>
  <si>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</si>
  <si>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</si>
  <si>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</si>
  <si>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</si>
  <si>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</si>
  <si>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</si>
  <si>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</si>
  <si>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</si>
  <si>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</si>
  <si>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</si>
  <si>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</si>
  <si>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</si>
  <si>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</si>
  <si>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</si>
  <si>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</si>
  <si>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</si>
  <si>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</si>
  <si>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</si>
  <si>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</si>
  <si>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</si>
  <si>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</si>
  <si>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</si>
  <si>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</si>
  <si>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</si>
  <si>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</si>
  <si>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</si>
  <si>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</si>
  <si>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</si>
  <si>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</si>
  <si>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</si>
  <si>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</si>
  <si>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</si>
  <si>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</si>
  <si>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</si>
  <si>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</si>
  <si>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</si>
  <si>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</si>
  <si>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</si>
  <si>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</si>
  <si>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</si>
  <si>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</si>
  <si>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</si>
  <si>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</si>
  <si>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</si>
  <si>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</si>
  <si>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</si>
  <si>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</si>
  <si>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</si>
  <si>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</si>
  <si>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</si>
  <si>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</si>
  <si>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</si>
  <si>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</si>
  <si>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</si>
  <si>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</si>
  <si>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</si>
  <si>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</si>
  <si>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</si>
  <si>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</si>
  <si>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</si>
  <si>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</si>
  <si>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</si>
  <si>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</si>
  <si>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</si>
  <si>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</si>
  <si>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</si>
  <si>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</si>
  <si>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</si>
  <si>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</si>
  <si>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</si>
  <si>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</si>
  <si>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</si>
  <si>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</si>
  <si>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</si>
  <si>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</si>
  <si>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</si>
  <si>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</si>
  <si>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</si>
  <si>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</si>
  <si>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</si>
  <si>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</si>
  <si>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</si>
  <si>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</si>
  <si>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</si>
  <si>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</si>
  <si>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</si>
  <si>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</si>
  <si>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</si>
  <si>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</si>
  <si>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</si>
  <si>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</si>
  <si>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</si>
  <si>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</si>
  <si>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</si>
  <si>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</si>
  <si>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</si>
  <si>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</si>
  <si>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</si>
  <si>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</si>
  <si>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</si>
  <si>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</si>
  <si>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</si>
  <si>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</si>
  <si>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</si>
  <si>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Tilt/Bravo</t>
  </si>
  <si>
    <t>Bravo</t>
  </si>
  <si>
    <t>Artisan</t>
  </si>
  <si>
    <t>Abound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</si>
  <si>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</si>
  <si>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</si>
  <si>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Prowl</t>
  </si>
  <si>
    <t>Glyphosate</t>
  </si>
  <si>
    <t>qt</t>
  </si>
  <si>
    <t>2,4 D Amine</t>
  </si>
  <si>
    <t xml:space="preserve">Select </t>
  </si>
  <si>
    <t>Irrigated Peanut, Strip Tillage</t>
  </si>
  <si>
    <t>Irrigation****</t>
  </si>
  <si>
    <t>Cover Crop Seed</t>
  </si>
  <si>
    <t>bushel</t>
  </si>
  <si>
    <t>1.37, Grain Drill 15'</t>
  </si>
  <si>
    <t>3.78, Subsoiler low-till 6 shank</t>
  </si>
  <si>
    <t>applications</t>
  </si>
  <si>
    <t>Valor</t>
  </si>
  <si>
    <t>Your Yield</t>
  </si>
  <si>
    <t>Your Farm</t>
  </si>
  <si>
    <t xml:space="preserve"> 6-Row Equipment</t>
  </si>
  <si>
    <t>0.7, Peanut Dig/Inverter 6R-36</t>
  </si>
  <si>
    <t>0.78, Pull-type Peanut Combine 6R-36</t>
  </si>
  <si>
    <t>Developed by Amanda Smith and Nathan Smith.</t>
  </si>
  <si>
    <t>0.74, Peanut Wagon 21'</t>
  </si>
  <si>
    <t>Handweeding</t>
  </si>
  <si>
    <t>Scouting</t>
  </si>
  <si>
    <t>2,4 D B</t>
  </si>
  <si>
    <t>Seed *</t>
  </si>
  <si>
    <t>Lime/Gypsum **</t>
  </si>
  <si>
    <t>Disease Control ***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</si>
  <si>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</si>
  <si>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</si>
  <si>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* Seed treatment could add $0.12/lb or there may be an additional $0.03/lb carrying charge if not paid for with cash.</t>
  </si>
  <si>
    <t>South Georgia, 2016</t>
  </si>
  <si>
    <t>**** Average of diesel and electric irrigation application costs.  Electric is estimated at $7/appl and diesel is estimated at $9/appl when diesel costs $1.80/gal.</t>
  </si>
  <si>
    <t>Organophosphate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</si>
</sst>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Normal="100" workbookViewId="0">
      <selection activeCell="B1" sqref="B1:H1"/>
    </sheetView>
  </sheetViews>
  <sheetFormatPr defaultRowHeight="15" x14ac:dyDescent="0.25"/>
  <cols>
    <col min="1" max="1" width="16.42578125" bestFit="1" customWidth="1"/>
    <col min="2" max="2" width="37.7109375" bestFit="1" customWidth="1"/>
    <col min="3" max="3" width="11.7109375" bestFit="1" customWidth="1"/>
    <col min="4" max="5" width="9.42578125" bestFit="1" customWidth="1"/>
    <col min="6" max="6" width="11.42578125" bestFit="1" customWidth="1"/>
    <col min="7" max="7" width="9.85546875" bestFit="1" customWidth="1"/>
    <col min="8" max="8" width="10" bestFit="1" customWidth="1"/>
  </cols>
  <sheetData>
    <row r="1" spans="1:9" s="214" customFormat="1" x14ac:dyDescent="0.25">
      <c r="B1" s="262" t="s">
        <v>528</v>
      </c>
      <c r="C1" s="262"/>
      <c r="D1" s="262"/>
      <c r="E1" s="262"/>
      <c r="F1" s="262"/>
      <c r="G1" s="262"/>
      <c r="H1" s="262"/>
    </row>
    <row r="2" spans="1:9" x14ac:dyDescent="0.25">
      <c r="B2" s="262" t="s">
        <v>538</v>
      </c>
      <c r="C2" s="262"/>
      <c r="D2" s="262"/>
      <c r="E2" s="262"/>
      <c r="F2" s="262"/>
      <c r="G2" s="262"/>
      <c r="H2" s="262"/>
      <c r="I2" s="57"/>
    </row>
    <row r="3" spans="1:9" x14ac:dyDescent="0.25">
      <c r="B3" s="262" t="s">
        <v>552</v>
      </c>
      <c r="C3" s="262"/>
      <c r="D3" s="262"/>
      <c r="E3" s="262"/>
      <c r="F3" s="262"/>
      <c r="G3" s="262"/>
      <c r="H3" s="262"/>
      <c r="I3" s="51"/>
    </row>
    <row r="4" spans="1:9" ht="14.45" x14ac:dyDescent="0.3">
      <c r="B4" s="57"/>
      <c r="C4" s="57"/>
      <c r="D4" s="57"/>
      <c r="E4" s="57"/>
      <c r="F4" s="57"/>
      <c r="G4" s="57"/>
      <c r="H4" s="57"/>
      <c r="I4" s="57"/>
    </row>
    <row r="5" spans="1:9" ht="14.45" x14ac:dyDescent="0.3">
      <c r="B5" s="262" t="s">
        <v>369</v>
      </c>
      <c r="C5" s="262"/>
      <c r="D5" s="262"/>
      <c r="E5" s="262"/>
      <c r="F5" s="262"/>
      <c r="G5" s="262"/>
      <c r="H5" s="262"/>
      <c r="I5" s="57"/>
    </row>
    <row r="7" spans="1:9" x14ac:dyDescent="0.25">
      <c r="B7" s="77" t="s">
        <v>370</v>
      </c>
      <c r="C7" s="57">
        <v>2.35</v>
      </c>
      <c r="D7" t="s">
        <v>383</v>
      </c>
      <c r="E7" s="127" t="s">
        <v>536</v>
      </c>
    </row>
    <row r="8" spans="1:9" x14ac:dyDescent="0.25">
      <c r="E8" s="56"/>
      <c r="F8" s="259"/>
    </row>
    <row r="9" spans="1:9" x14ac:dyDescent="0.25">
      <c r="B9" s="108" t="s">
        <v>371</v>
      </c>
      <c r="C9" s="108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8" t="s">
        <v>537</v>
      </c>
    </row>
    <row r="10" spans="1:9" s="241" customFormat="1" x14ac:dyDescent="0.25">
      <c r="B10" s="254" t="s">
        <v>530</v>
      </c>
      <c r="C10" s="254" t="s">
        <v>531</v>
      </c>
      <c r="D10" s="255">
        <v>1.5</v>
      </c>
      <c r="E10" s="256">
        <v>15</v>
      </c>
      <c r="F10" s="242">
        <f t="shared" ref="F10:F11" si="0">E10*D10</f>
        <v>22.5</v>
      </c>
      <c r="G10" s="243">
        <f>F10/yield</f>
        <v>9.5744680851063819</v>
      </c>
    </row>
    <row r="11" spans="1:9" x14ac:dyDescent="0.25">
      <c r="B11" t="s">
        <v>546</v>
      </c>
      <c r="C11" t="s">
        <v>367</v>
      </c>
      <c r="D11">
        <v>150</v>
      </c>
      <c r="E11" s="41">
        <v>0.7</v>
      </c>
      <c r="F11" s="242">
        <f t="shared" si="0"/>
        <v>105</v>
      </c>
      <c r="G11" s="243">
        <f>F11/yield</f>
        <v>44.680851063829785</v>
      </c>
      <c r="H11" s="259"/>
    </row>
    <row r="12" spans="1:9" s="214" customFormat="1" x14ac:dyDescent="0.25">
      <c r="B12" s="214" t="s">
        <v>496</v>
      </c>
      <c r="C12" s="214" t="s">
        <v>367</v>
      </c>
      <c r="D12" s="214">
        <v>5</v>
      </c>
      <c r="E12" s="215">
        <v>1.6</v>
      </c>
      <c r="F12" s="215">
        <f>E12*D12</f>
        <v>8</v>
      </c>
      <c r="G12" s="216">
        <f>F12/yield</f>
        <v>3.4042553191489362</v>
      </c>
    </row>
    <row r="13" spans="1:9" x14ac:dyDescent="0.25">
      <c r="B13" t="s">
        <v>547</v>
      </c>
      <c r="C13" t="s">
        <v>383</v>
      </c>
      <c r="D13">
        <f>'Fert, Weed, Insct, Dis'!$C$6</f>
        <v>0.5</v>
      </c>
      <c r="E13" s="78">
        <f>'Fert, Weed, Insct, Dis'!$D$6</f>
        <v>107</v>
      </c>
      <c r="F13" s="41">
        <f>E13*D13</f>
        <v>53.5</v>
      </c>
      <c r="G13" s="78">
        <f>F13/yield</f>
        <v>22.76595744680851</v>
      </c>
      <c r="H13" s="259"/>
    </row>
    <row r="14" spans="1:9" x14ac:dyDescent="0.25">
      <c r="A14" s="146" t="s">
        <v>439</v>
      </c>
      <c r="B14" t="s">
        <v>374</v>
      </c>
      <c r="F14" s="41"/>
      <c r="G14" s="78"/>
    </row>
    <row r="15" spans="1:9" x14ac:dyDescent="0.25">
      <c r="B15" s="246" t="s">
        <v>510</v>
      </c>
      <c r="C15" t="s">
        <v>367</v>
      </c>
      <c r="D15">
        <f>'Fert, Weed, Insct, Dis'!$C$3</f>
        <v>0.5</v>
      </c>
      <c r="E15" s="78">
        <f>'Fert, Weed, Insct, Dis'!$D$3</f>
        <v>4.55</v>
      </c>
      <c r="F15" s="41">
        <f t="shared" ref="F15:F22" si="1">E15*D15</f>
        <v>2.2749999999999999</v>
      </c>
      <c r="G15" s="78">
        <f t="shared" ref="G15:G22" si="2">F15/yield</f>
        <v>0.96808510638297862</v>
      </c>
    </row>
    <row r="16" spans="1:9" x14ac:dyDescent="0.25">
      <c r="B16" s="106" t="s">
        <v>375</v>
      </c>
      <c r="C16" t="s">
        <v>367</v>
      </c>
      <c r="D16">
        <f>'Fert, Weed, Insct, Dis'!$C$4</f>
        <v>0</v>
      </c>
      <c r="E16" s="78">
        <f>'Fert, Weed, Insct, Dis'!$D$4</f>
        <v>0.42</v>
      </c>
      <c r="F16" s="41">
        <f t="shared" si="1"/>
        <v>0</v>
      </c>
      <c r="G16" s="78">
        <f t="shared" si="2"/>
        <v>0</v>
      </c>
      <c r="H16" s="259"/>
    </row>
    <row r="17" spans="1:8" x14ac:dyDescent="0.25">
      <c r="B17" s="106" t="s">
        <v>376</v>
      </c>
      <c r="C17" t="s">
        <v>367</v>
      </c>
      <c r="D17">
        <f>'Fert, Weed, Insct, Dis'!$C$5</f>
        <v>0</v>
      </c>
      <c r="E17" s="78">
        <f>'Fert, Weed, Insct, Dis'!$D$5</f>
        <v>0.34</v>
      </c>
      <c r="F17" s="41">
        <f t="shared" si="1"/>
        <v>0</v>
      </c>
      <c r="G17" s="78">
        <f t="shared" si="2"/>
        <v>0</v>
      </c>
    </row>
    <row r="18" spans="1:8" x14ac:dyDescent="0.25">
      <c r="A18" s="146" t="s">
        <v>440</v>
      </c>
      <c r="B18" t="s">
        <v>377</v>
      </c>
      <c r="C18" t="s">
        <v>384</v>
      </c>
      <c r="D18">
        <v>1</v>
      </c>
      <c r="E18" s="78">
        <f>'Fert, Weed, Insct, Dis'!$E$24</f>
        <v>52.493000000000002</v>
      </c>
      <c r="F18" s="41">
        <f t="shared" si="1"/>
        <v>52.493000000000002</v>
      </c>
      <c r="G18" s="78">
        <f t="shared" si="2"/>
        <v>22.337446808510638</v>
      </c>
      <c r="H18" s="259"/>
    </row>
    <row r="19" spans="1:8" x14ac:dyDescent="0.25">
      <c r="A19" s="146" t="s">
        <v>441</v>
      </c>
      <c r="B19" s="43" t="s">
        <v>543</v>
      </c>
      <c r="C19" s="241" t="s">
        <v>384</v>
      </c>
      <c r="D19" s="241">
        <v>1</v>
      </c>
      <c r="E19" s="243">
        <v>7.5</v>
      </c>
      <c r="F19" s="242">
        <f t="shared" ref="F19:F20" si="3">E19*D19</f>
        <v>7.5</v>
      </c>
      <c r="G19" s="243">
        <f t="shared" ref="G19:G20" si="4">F19/yield</f>
        <v>3.1914893617021276</v>
      </c>
      <c r="H19" s="259"/>
    </row>
    <row r="20" spans="1:8" x14ac:dyDescent="0.25">
      <c r="A20" s="146" t="s">
        <v>442</v>
      </c>
      <c r="B20" t="s">
        <v>378</v>
      </c>
      <c r="C20" t="s">
        <v>384</v>
      </c>
      <c r="D20">
        <v>1</v>
      </c>
      <c r="E20" s="78">
        <f>'Fert, Weed, Insct, Dis'!$E$34</f>
        <v>46.728500000000004</v>
      </c>
      <c r="F20" s="242">
        <f t="shared" si="3"/>
        <v>46.728500000000004</v>
      </c>
      <c r="G20" s="243">
        <f t="shared" si="4"/>
        <v>19.884468085106384</v>
      </c>
      <c r="H20" s="259"/>
    </row>
    <row r="21" spans="1:8" x14ac:dyDescent="0.25">
      <c r="A21" s="146" t="s">
        <v>444</v>
      </c>
      <c r="B21" s="241" t="s">
        <v>544</v>
      </c>
      <c r="C21" s="241" t="s">
        <v>384</v>
      </c>
      <c r="D21" s="241">
        <v>1</v>
      </c>
      <c r="E21" s="243">
        <v>10</v>
      </c>
      <c r="F21" s="242">
        <f t="shared" ref="F21" si="5">E21*D21</f>
        <v>10</v>
      </c>
      <c r="G21" s="243">
        <f t="shared" ref="G21" si="6">F21/yield</f>
        <v>4.2553191489361701</v>
      </c>
      <c r="H21" s="259"/>
    </row>
    <row r="22" spans="1:8" x14ac:dyDescent="0.25">
      <c r="B22" s="43" t="s">
        <v>548</v>
      </c>
      <c r="C22" t="s">
        <v>384</v>
      </c>
      <c r="D22">
        <v>1</v>
      </c>
      <c r="E22" s="78">
        <f>'Fert, Weed, Insct, Dis'!$E$50</f>
        <v>69.41</v>
      </c>
      <c r="F22" s="41">
        <f t="shared" si="1"/>
        <v>69.41</v>
      </c>
      <c r="G22" s="78">
        <f t="shared" si="2"/>
        <v>29.536170212765956</v>
      </c>
      <c r="H22" s="259"/>
    </row>
    <row r="23" spans="1:8" x14ac:dyDescent="0.25">
      <c r="B23" t="s">
        <v>379</v>
      </c>
      <c r="F23" s="41"/>
      <c r="G23" s="78"/>
    </row>
    <row r="24" spans="1:8" x14ac:dyDescent="0.25">
      <c r="A24" s="146" t="s">
        <v>443</v>
      </c>
      <c r="B24" s="106" t="s">
        <v>380</v>
      </c>
      <c r="C24" t="s">
        <v>385</v>
      </c>
      <c r="D24" s="197">
        <f>PreHarvest!O15+PreHarvest!I24</f>
        <v>5.2085227741752576</v>
      </c>
      <c r="E24" s="41">
        <v>1.8</v>
      </c>
      <c r="F24" s="41">
        <f>E24*D24</f>
        <v>9.3753409935154632</v>
      </c>
      <c r="G24" s="78">
        <f>F24/yield</f>
        <v>3.9895068057512608</v>
      </c>
    </row>
    <row r="25" spans="1:8" x14ac:dyDescent="0.25">
      <c r="B25" s="106" t="s">
        <v>381</v>
      </c>
      <c r="C25" t="s">
        <v>384</v>
      </c>
      <c r="D25">
        <v>1</v>
      </c>
      <c r="E25" s="41">
        <f>PreHarvest!$R$15+PreHarvest!$K$24</f>
        <v>10.826529445592003</v>
      </c>
      <c r="F25" s="41">
        <f>E25*D25</f>
        <v>10.826529445592003</v>
      </c>
      <c r="G25" s="78">
        <f>F25/yield</f>
        <v>4.6070338066348944</v>
      </c>
      <c r="H25" s="259"/>
    </row>
    <row r="26" spans="1:8" x14ac:dyDescent="0.25">
      <c r="B26" t="s">
        <v>382</v>
      </c>
      <c r="F26" s="41"/>
      <c r="G26" s="78"/>
    </row>
    <row r="27" spans="1:8" x14ac:dyDescent="0.25">
      <c r="B27" s="106" t="s">
        <v>380</v>
      </c>
      <c r="C27" t="s">
        <v>385</v>
      </c>
      <c r="D27" s="197">
        <f>Harvest!O11</f>
        <v>7.884718310657596</v>
      </c>
      <c r="E27" s="41">
        <v>1.8</v>
      </c>
      <c r="F27" s="41">
        <f t="shared" ref="F27:F37" si="7">E27*D27</f>
        <v>14.192492959183673</v>
      </c>
      <c r="G27" s="78">
        <f t="shared" ref="G27:G37" si="8">F27/yield</f>
        <v>6.0393587060356051</v>
      </c>
    </row>
    <row r="28" spans="1:8" x14ac:dyDescent="0.25">
      <c r="B28" s="106" t="s">
        <v>381</v>
      </c>
      <c r="C28" t="s">
        <v>384</v>
      </c>
      <c r="D28">
        <v>1</v>
      </c>
      <c r="E28" s="41">
        <f>Harvest!$R$11</f>
        <v>26.748201044703595</v>
      </c>
      <c r="F28" s="41">
        <f t="shared" si="7"/>
        <v>26.748201044703595</v>
      </c>
      <c r="G28" s="78">
        <f t="shared" si="8"/>
        <v>11.382213210512168</v>
      </c>
      <c r="H28" s="259"/>
    </row>
    <row r="29" spans="1:8" x14ac:dyDescent="0.25">
      <c r="B29" t="s">
        <v>386</v>
      </c>
      <c r="C29" t="s">
        <v>391</v>
      </c>
      <c r="D29" s="197">
        <f>1.25*((PreHarvest!G15+PreHarvest!G24)+Harvest!G11)</f>
        <v>2.0376590480996719</v>
      </c>
      <c r="E29" s="41">
        <v>12.5</v>
      </c>
      <c r="F29" s="41">
        <f t="shared" si="7"/>
        <v>25.4707381012459</v>
      </c>
      <c r="G29" s="78">
        <f t="shared" si="8"/>
        <v>10.838611957976978</v>
      </c>
    </row>
    <row r="30" spans="1:8" x14ac:dyDescent="0.25">
      <c r="B30" s="43" t="s">
        <v>529</v>
      </c>
      <c r="C30" t="s">
        <v>534</v>
      </c>
      <c r="D30">
        <v>5</v>
      </c>
      <c r="E30" s="41">
        <v>8</v>
      </c>
      <c r="F30" s="41">
        <f t="shared" ref="F30" si="9">E30*D30</f>
        <v>40</v>
      </c>
      <c r="G30" s="78">
        <f t="shared" si="8"/>
        <v>17.021276595744681</v>
      </c>
      <c r="H30" s="259"/>
    </row>
    <row r="31" spans="1:8" x14ac:dyDescent="0.25">
      <c r="B31" t="s">
        <v>387</v>
      </c>
      <c r="C31" t="s">
        <v>384</v>
      </c>
      <c r="D31">
        <v>1</v>
      </c>
      <c r="E31" s="41">
        <v>21</v>
      </c>
      <c r="F31" s="41">
        <f t="shared" si="7"/>
        <v>21</v>
      </c>
      <c r="G31" s="78">
        <f t="shared" si="8"/>
        <v>8.9361702127659566</v>
      </c>
    </row>
    <row r="32" spans="1:8" s="241" customFormat="1" x14ac:dyDescent="0.25">
      <c r="B32" t="s">
        <v>388</v>
      </c>
      <c r="C32" t="s">
        <v>384</v>
      </c>
      <c r="D32">
        <v>1</v>
      </c>
      <c r="E32" s="41">
        <v>0</v>
      </c>
      <c r="F32" s="41">
        <f t="shared" si="7"/>
        <v>0</v>
      </c>
      <c r="G32" s="78">
        <f t="shared" si="8"/>
        <v>0</v>
      </c>
      <c r="H32" s="259"/>
    </row>
    <row r="33" spans="1:8" s="214" customFormat="1" x14ac:dyDescent="0.25">
      <c r="B33" t="s">
        <v>389</v>
      </c>
      <c r="C33" t="s">
        <v>390</v>
      </c>
      <c r="D33" s="78">
        <f>SUM(F11:F32)*0.5</f>
        <v>251.25990127212035</v>
      </c>
      <c r="E33" s="105">
        <v>6.5000000000000002E-2</v>
      </c>
      <c r="F33" s="41">
        <f t="shared" si="7"/>
        <v>16.331893582687822</v>
      </c>
      <c r="G33" s="78">
        <f t="shared" si="8"/>
        <v>6.9497419500799245</v>
      </c>
      <c r="H33"/>
    </row>
    <row r="34" spans="1:8" s="214" customFormat="1" x14ac:dyDescent="0.25">
      <c r="B34" s="241" t="s">
        <v>460</v>
      </c>
      <c r="C34" s="253" t="str">
        <f>$D$7</f>
        <v>ton</v>
      </c>
      <c r="D34" s="252">
        <f>yield*0.33</f>
        <v>0.77550000000000008</v>
      </c>
      <c r="E34" s="242">
        <v>20</v>
      </c>
      <c r="F34" s="242">
        <f t="shared" ref="F34" si="10">E34*D34</f>
        <v>15.510000000000002</v>
      </c>
      <c r="G34" s="243">
        <f t="shared" ref="G34" si="11">F34/yield</f>
        <v>6.6000000000000005</v>
      </c>
      <c r="H34" s="259"/>
    </row>
    <row r="35" spans="1:8" x14ac:dyDescent="0.25">
      <c r="B35" s="241" t="s">
        <v>461</v>
      </c>
      <c r="C35" s="253" t="str">
        <f t="shared" ref="C35:C36" si="12">$D$7</f>
        <v>ton</v>
      </c>
      <c r="D35" s="252">
        <f>yield*0.67</f>
        <v>1.5745000000000002</v>
      </c>
      <c r="E35" s="215">
        <v>30</v>
      </c>
      <c r="F35" s="215">
        <f t="shared" si="7"/>
        <v>47.235000000000007</v>
      </c>
      <c r="G35" s="216">
        <f t="shared" si="8"/>
        <v>20.100000000000001</v>
      </c>
      <c r="H35" s="214"/>
    </row>
    <row r="36" spans="1:8" x14ac:dyDescent="0.25">
      <c r="B36" s="241" t="s">
        <v>459</v>
      </c>
      <c r="C36" s="253" t="str">
        <f t="shared" si="12"/>
        <v>ton</v>
      </c>
      <c r="D36" s="252">
        <f>yield</f>
        <v>2.35</v>
      </c>
      <c r="E36" s="215">
        <v>3</v>
      </c>
      <c r="F36" s="215">
        <f t="shared" si="7"/>
        <v>7.0500000000000007</v>
      </c>
      <c r="G36" s="216">
        <f t="shared" si="8"/>
        <v>3</v>
      </c>
      <c r="H36" s="259"/>
    </row>
    <row r="37" spans="1:8" x14ac:dyDescent="0.25">
      <c r="B37" t="s">
        <v>508</v>
      </c>
      <c r="C37" s="228" t="s">
        <v>509</v>
      </c>
      <c r="D37" s="242">
        <v>0.01</v>
      </c>
      <c r="E37" s="240">
        <f>yield*355</f>
        <v>834.25</v>
      </c>
      <c r="F37" s="41">
        <f t="shared" si="7"/>
        <v>8.3424999999999994</v>
      </c>
      <c r="G37" s="216">
        <f t="shared" si="8"/>
        <v>3.5499999999999994</v>
      </c>
    </row>
    <row r="38" spans="1:8" x14ac:dyDescent="0.25">
      <c r="B38" s="266" t="s">
        <v>392</v>
      </c>
      <c r="C38" s="266"/>
      <c r="D38" s="266"/>
      <c r="E38" s="266"/>
      <c r="F38" s="107">
        <f>SUM(F10:F37)</f>
        <v>619.4891961269285</v>
      </c>
      <c r="G38" s="107">
        <f>SUM(G10:G37)</f>
        <v>263.61242388379935</v>
      </c>
      <c r="H38" s="259"/>
    </row>
    <row r="40" spans="1:8" x14ac:dyDescent="0.25">
      <c r="B40" s="109" t="s">
        <v>397</v>
      </c>
      <c r="C40" s="109"/>
      <c r="D40" s="109"/>
      <c r="E40" s="109"/>
      <c r="F40" s="109"/>
      <c r="G40" s="109"/>
      <c r="H40" s="259"/>
    </row>
    <row r="41" spans="1:8" x14ac:dyDescent="0.25">
      <c r="B41" s="270" t="s">
        <v>398</v>
      </c>
      <c r="C41" s="270"/>
      <c r="D41" s="270"/>
      <c r="E41" s="270"/>
      <c r="F41" s="270"/>
      <c r="G41" s="270"/>
      <c r="H41" s="270"/>
    </row>
    <row r="42" spans="1:8" x14ac:dyDescent="0.25">
      <c r="A42" s="43"/>
      <c r="B42" s="106" t="s">
        <v>399</v>
      </c>
      <c r="C42" t="s">
        <v>384</v>
      </c>
      <c r="D42">
        <v>1</v>
      </c>
      <c r="E42" s="41">
        <f>PreHarvest!$U$15+PreHarvest!$M$24</f>
        <v>29.331842936501694</v>
      </c>
      <c r="F42" s="41">
        <f>E42*D42</f>
        <v>29.331842936501694</v>
      </c>
      <c r="G42" s="41">
        <f t="shared" ref="G42:G48" si="13">F42/yield</f>
        <v>12.481635292128379</v>
      </c>
    </row>
    <row r="43" spans="1:8" x14ac:dyDescent="0.25">
      <c r="B43" s="106" t="s">
        <v>400</v>
      </c>
      <c r="C43" t="s">
        <v>384</v>
      </c>
      <c r="D43">
        <v>1</v>
      </c>
      <c r="E43" s="41">
        <f>Harvest!$U$11</f>
        <v>81.212753412212493</v>
      </c>
      <c r="F43" s="41">
        <f t="shared" ref="F43:F48" si="14">E43*D43</f>
        <v>81.212753412212493</v>
      </c>
      <c r="G43" s="41">
        <f t="shared" si="13"/>
        <v>34.558618473281911</v>
      </c>
      <c r="H43" s="259"/>
    </row>
    <row r="44" spans="1:8" x14ac:dyDescent="0.25">
      <c r="B44" s="106" t="s">
        <v>430</v>
      </c>
      <c r="C44" t="s">
        <v>384</v>
      </c>
      <c r="D44">
        <v>1</v>
      </c>
      <c r="E44" s="41">
        <v>125</v>
      </c>
      <c r="F44" s="41">
        <f>E44*D44</f>
        <v>125</v>
      </c>
      <c r="G44" s="41">
        <f t="shared" si="13"/>
        <v>53.191489361702125</v>
      </c>
      <c r="H44" s="259"/>
    </row>
    <row r="45" spans="1:8" x14ac:dyDescent="0.25">
      <c r="B45" t="s">
        <v>401</v>
      </c>
      <c r="C45" t="s">
        <v>402</v>
      </c>
      <c r="D45" s="41">
        <f>tvc</f>
        <v>619.4891961269285</v>
      </c>
      <c r="E45" s="110">
        <v>0.05</v>
      </c>
      <c r="F45" s="41">
        <f t="shared" si="14"/>
        <v>30.974459806346427</v>
      </c>
      <c r="G45" s="41">
        <f t="shared" si="13"/>
        <v>13.180621194189969</v>
      </c>
      <c r="H45" s="259"/>
    </row>
    <row r="46" spans="1:8" x14ac:dyDescent="0.25">
      <c r="B46" t="s">
        <v>403</v>
      </c>
      <c r="C46" t="s">
        <v>402</v>
      </c>
      <c r="D46" s="41">
        <f>tvc</f>
        <v>619.4891961269285</v>
      </c>
      <c r="E46" s="110">
        <v>0.05</v>
      </c>
      <c r="F46" s="41">
        <f>E46*D46</f>
        <v>30.974459806346427</v>
      </c>
      <c r="G46" s="41">
        <f t="shared" si="13"/>
        <v>13.180621194189969</v>
      </c>
      <c r="H46" s="259"/>
    </row>
    <row r="47" spans="1:8" ht="30" x14ac:dyDescent="0.25">
      <c r="B47" s="111" t="s">
        <v>404</v>
      </c>
      <c r="C47" t="s">
        <v>384</v>
      </c>
      <c r="D47">
        <v>1</v>
      </c>
      <c r="E47" s="41">
        <v>0</v>
      </c>
      <c r="F47" s="41">
        <f t="shared" si="14"/>
        <v>0</v>
      </c>
      <c r="G47" s="41">
        <f t="shared" si="13"/>
        <v>0</v>
      </c>
      <c r="H47" s="259"/>
    </row>
    <row r="48" spans="1:8" x14ac:dyDescent="0.25">
      <c r="B48" s="56" t="s">
        <v>405</v>
      </c>
      <c r="C48" s="56" t="s">
        <v>384</v>
      </c>
      <c r="D48" s="56">
        <v>1</v>
      </c>
      <c r="E48" s="112">
        <v>0</v>
      </c>
      <c r="F48" s="112">
        <f t="shared" si="14"/>
        <v>0</v>
      </c>
      <c r="G48" s="41">
        <f t="shared" si="13"/>
        <v>0</v>
      </c>
      <c r="H48" s="259"/>
    </row>
    <row r="49" spans="2:8" x14ac:dyDescent="0.25">
      <c r="B49" s="266" t="s">
        <v>406</v>
      </c>
      <c r="C49" s="266"/>
      <c r="D49" s="266"/>
      <c r="E49" s="266"/>
      <c r="F49" s="107">
        <f>SUM(F42:F48)</f>
        <v>297.49351596140701</v>
      </c>
      <c r="G49" s="107">
        <f>SUM(G42:G48)</f>
        <v>126.59298551549236</v>
      </c>
      <c r="H49" s="259"/>
    </row>
    <row r="51" spans="2:8" ht="15.75" thickBot="1" x14ac:dyDescent="0.3">
      <c r="B51" s="113" t="s">
        <v>407</v>
      </c>
      <c r="C51" s="113"/>
      <c r="D51" s="113"/>
      <c r="E51" s="113"/>
      <c r="F51" s="114">
        <f>F38+F49</f>
        <v>916.98271208833557</v>
      </c>
      <c r="G51" s="114">
        <f>G38+G49</f>
        <v>390.20540939929174</v>
      </c>
      <c r="H51" s="259"/>
    </row>
    <row r="52" spans="2:8" ht="15" customHeight="1" x14ac:dyDescent="0.25">
      <c r="B52" s="115" t="s">
        <v>408</v>
      </c>
      <c r="C52" s="115"/>
      <c r="D52" s="115"/>
      <c r="E52" s="116" t="s">
        <v>409</v>
      </c>
      <c r="F52" s="122"/>
      <c r="G52" s="117" t="str">
        <f>CONCATENATE("/",$D$7)</f>
        <v>/ton</v>
      </c>
    </row>
    <row r="53" spans="2:8" ht="41.25" customHeight="1" thickBot="1" x14ac:dyDescent="0.3">
      <c r="B53" s="118" t="s">
        <v>410</v>
      </c>
      <c r="C53" s="118"/>
      <c r="D53" s="118"/>
      <c r="E53" s="119" t="s">
        <v>409</v>
      </c>
      <c r="F53" s="120"/>
      <c r="G53" s="121" t="str">
        <f>CONCATENATE("/",$D$7)</f>
        <v>/ton</v>
      </c>
    </row>
    <row r="54" spans="2:8" s="241" customFormat="1" x14ac:dyDescent="0.25">
      <c r="B54" s="267" t="s">
        <v>551</v>
      </c>
      <c r="C54" s="267"/>
      <c r="D54" s="267"/>
      <c r="E54" s="267"/>
      <c r="F54" s="267"/>
      <c r="G54" s="267"/>
      <c r="H54" s="267"/>
    </row>
    <row r="55" spans="2:8" x14ac:dyDescent="0.25">
      <c r="B55" s="263" t="s">
        <v>549</v>
      </c>
      <c r="C55" s="263"/>
      <c r="D55" s="263"/>
      <c r="E55" s="263"/>
      <c r="F55" s="263"/>
      <c r="G55" s="263"/>
      <c r="H55" s="263"/>
    </row>
    <row r="56" spans="2:8" ht="14.45" customHeight="1" x14ac:dyDescent="0.25">
      <c r="B56" s="263" t="s">
        <v>550</v>
      </c>
      <c r="C56" s="263"/>
      <c r="D56" s="263"/>
      <c r="E56" s="263"/>
      <c r="F56" s="263"/>
      <c r="G56" s="263"/>
      <c r="H56" s="263"/>
    </row>
    <row r="57" spans="2:8" ht="29.25" customHeight="1" x14ac:dyDescent="0.25">
      <c r="B57" s="263" t="s">
        <v>553</v>
      </c>
      <c r="C57" s="263"/>
      <c r="D57" s="263"/>
      <c r="E57" s="263"/>
      <c r="F57" s="263"/>
      <c r="G57" s="263"/>
      <c r="H57" s="263"/>
    </row>
    <row r="58" spans="2:8" x14ac:dyDescent="0.25">
      <c r="B58" s="268" t="s">
        <v>541</v>
      </c>
      <c r="C58" s="268"/>
      <c r="D58" s="268"/>
      <c r="E58" s="268"/>
      <c r="F58" s="268"/>
      <c r="G58" s="268"/>
      <c r="H58" s="268"/>
    </row>
    <row r="59" spans="2:8" x14ac:dyDescent="0.25">
      <c r="B59" s="269"/>
      <c r="C59" s="269"/>
      <c r="D59" s="269"/>
      <c r="E59" s="269"/>
      <c r="F59" s="269"/>
      <c r="G59" s="269"/>
      <c r="H59" s="269"/>
    </row>
    <row r="60" spans="2:8" x14ac:dyDescent="0.25">
      <c r="B60" s="265" t="str">
        <f>CONCATENATE("Sensitivity Analysis of ",B1)</f>
        <v>Sensitivity Analysis of Irrigated Peanut, Strip Tillage</v>
      </c>
      <c r="C60" s="265"/>
      <c r="D60" s="265"/>
      <c r="E60" s="265"/>
      <c r="F60" s="265"/>
      <c r="G60" s="265"/>
      <c r="H60" s="123"/>
    </row>
    <row r="61" spans="2:8" x14ac:dyDescent="0.25">
      <c r="B61" s="271" t="s">
        <v>411</v>
      </c>
      <c r="C61" s="271"/>
      <c r="D61" s="271"/>
      <c r="E61" s="271"/>
      <c r="F61" s="271"/>
      <c r="G61" s="271"/>
      <c r="H61" s="124"/>
    </row>
    <row r="62" spans="2:8" x14ac:dyDescent="0.25">
      <c r="B62" s="272" t="str">
        <f>CONCATENATE("Varying Prices and Yields ","(",(D7),")")</f>
        <v>Varying Prices and Yields (ton)</v>
      </c>
      <c r="C62" s="272"/>
      <c r="D62" s="272"/>
      <c r="E62" s="272"/>
      <c r="F62" s="272"/>
      <c r="G62" s="272"/>
      <c r="H62" s="124"/>
    </row>
    <row r="63" spans="2:8" x14ac:dyDescent="0.25">
      <c r="B63" s="274" t="str">
        <f>CONCATENATE("Price \ ",$D$7,"/Acre")</f>
        <v>Price \ ton/Acre</v>
      </c>
      <c r="C63" s="125" t="s">
        <v>412</v>
      </c>
      <c r="D63" s="125" t="s">
        <v>413</v>
      </c>
      <c r="E63" s="126" t="s">
        <v>414</v>
      </c>
      <c r="F63" s="125" t="s">
        <v>415</v>
      </c>
      <c r="G63" s="125" t="s">
        <v>416</v>
      </c>
      <c r="H63" s="127"/>
    </row>
    <row r="64" spans="2:8" x14ac:dyDescent="0.25">
      <c r="B64" s="275"/>
      <c r="C64" s="238">
        <f>E64*0.75</f>
        <v>1.7625000000000002</v>
      </c>
      <c r="D64" s="238">
        <f>E64*0.9</f>
        <v>2.1150000000000002</v>
      </c>
      <c r="E64" s="238">
        <f>yield</f>
        <v>2.35</v>
      </c>
      <c r="F64" s="238">
        <f>E64*1.1</f>
        <v>2.5850000000000004</v>
      </c>
      <c r="G64" s="238">
        <f>E64*1.25</f>
        <v>2.9375</v>
      </c>
    </row>
    <row r="65" spans="2:8" x14ac:dyDescent="0.25">
      <c r="B65" s="237">
        <v>350</v>
      </c>
      <c r="C65" s="128">
        <f t="shared" ref="C65:G69" si="15">$B65*C$64-tvc</f>
        <v>-2.6141961269283911</v>
      </c>
      <c r="D65" s="128">
        <f t="shared" si="15"/>
        <v>120.76080387307161</v>
      </c>
      <c r="E65" s="128">
        <f t="shared" si="15"/>
        <v>203.0108038730715</v>
      </c>
      <c r="F65" s="128">
        <f t="shared" si="15"/>
        <v>285.26080387307161</v>
      </c>
      <c r="G65" s="128">
        <f t="shared" si="15"/>
        <v>408.6358038730715</v>
      </c>
    </row>
    <row r="66" spans="2:8" x14ac:dyDescent="0.25">
      <c r="B66" s="236">
        <f>B65+25</f>
        <v>375</v>
      </c>
      <c r="C66" s="129">
        <f t="shared" si="15"/>
        <v>41.448303873071609</v>
      </c>
      <c r="D66" s="129">
        <f t="shared" si="15"/>
        <v>173.63580387307161</v>
      </c>
      <c r="E66" s="129">
        <f t="shared" si="15"/>
        <v>261.7608038730715</v>
      </c>
      <c r="F66" s="129">
        <f t="shared" si="15"/>
        <v>349.88580387307161</v>
      </c>
      <c r="G66" s="129">
        <f t="shared" si="15"/>
        <v>482.0733038730715</v>
      </c>
    </row>
    <row r="67" spans="2:8" x14ac:dyDescent="0.25">
      <c r="B67" s="236">
        <f t="shared" ref="B67:B68" si="16">B66+25</f>
        <v>400</v>
      </c>
      <c r="C67" s="129">
        <f t="shared" si="15"/>
        <v>85.510803873071609</v>
      </c>
      <c r="D67" s="129">
        <f t="shared" si="15"/>
        <v>226.51080387307161</v>
      </c>
      <c r="E67" s="129">
        <f t="shared" si="15"/>
        <v>320.5108038730715</v>
      </c>
      <c r="F67" s="129">
        <f t="shared" si="15"/>
        <v>414.51080387307172</v>
      </c>
      <c r="G67" s="129">
        <f t="shared" si="15"/>
        <v>555.5108038730715</v>
      </c>
    </row>
    <row r="68" spans="2:8" x14ac:dyDescent="0.25">
      <c r="B68" s="236">
        <f t="shared" si="16"/>
        <v>425</v>
      </c>
      <c r="C68" s="129">
        <f t="shared" si="15"/>
        <v>129.57330387307161</v>
      </c>
      <c r="D68" s="129">
        <f t="shared" si="15"/>
        <v>279.38580387307161</v>
      </c>
      <c r="E68" s="129">
        <f t="shared" si="15"/>
        <v>379.2608038730715</v>
      </c>
      <c r="F68" s="129">
        <f t="shared" si="15"/>
        <v>479.13580387307172</v>
      </c>
      <c r="G68" s="129">
        <f t="shared" si="15"/>
        <v>628.9483038730715</v>
      </c>
    </row>
    <row r="69" spans="2:8" x14ac:dyDescent="0.25">
      <c r="B69" s="239">
        <f>B68+25</f>
        <v>450</v>
      </c>
      <c r="C69" s="130">
        <f t="shared" si="15"/>
        <v>173.63580387307161</v>
      </c>
      <c r="D69" s="130">
        <f t="shared" si="15"/>
        <v>332.26080387307161</v>
      </c>
      <c r="E69" s="130">
        <f t="shared" si="15"/>
        <v>438.0108038730715</v>
      </c>
      <c r="F69" s="130">
        <f t="shared" si="15"/>
        <v>543.76080387307172</v>
      </c>
      <c r="G69" s="130">
        <f t="shared" si="15"/>
        <v>702.3858038730715</v>
      </c>
    </row>
    <row r="71" spans="2:8" x14ac:dyDescent="0.25">
      <c r="B71" s="264" t="s">
        <v>417</v>
      </c>
      <c r="C71" s="264"/>
      <c r="D71" s="264"/>
      <c r="E71" s="264"/>
      <c r="F71" s="264"/>
      <c r="G71" s="264"/>
      <c r="H71" s="264"/>
    </row>
    <row r="72" spans="2:8" x14ac:dyDescent="0.25">
      <c r="B72" s="265" t="s">
        <v>418</v>
      </c>
      <c r="C72" s="265"/>
      <c r="D72" s="265"/>
      <c r="E72" s="265"/>
      <c r="F72" s="265"/>
      <c r="G72" s="265"/>
      <c r="H72" s="265"/>
    </row>
    <row r="73" spans="2:8" ht="45" x14ac:dyDescent="0.25">
      <c r="B73" s="131" t="s">
        <v>419</v>
      </c>
      <c r="C73" s="132" t="s">
        <v>420</v>
      </c>
      <c r="D73" s="132" t="s">
        <v>421</v>
      </c>
      <c r="E73" s="132" t="s">
        <v>521</v>
      </c>
      <c r="F73" s="132" t="s">
        <v>422</v>
      </c>
      <c r="G73" s="132" t="s">
        <v>423</v>
      </c>
      <c r="H73" s="132" t="s">
        <v>424</v>
      </c>
    </row>
    <row r="74" spans="2:8" ht="30" x14ac:dyDescent="0.25">
      <c r="B74" s="152" t="str">
        <f>IF(H74&gt;0,(CONCATENATE(PreHarvest!$C3," with ",PreHarvest!$M3))," ")</f>
        <v>Grain Drill 15' with Tractor (120-139 hp) 2WD 130</v>
      </c>
      <c r="C74" s="196">
        <f>IF(H74&gt;0,(1/PreHarvest!$E3)," ")</f>
        <v>7.9545454545454541</v>
      </c>
      <c r="D74" s="133">
        <f>IF(H74&gt;0,(PreHarvest!$F3)," ")</f>
        <v>1</v>
      </c>
      <c r="E74" s="134">
        <f>IF(H74&gt;0,(D74*1/C74*1.25)," ")</f>
        <v>0.15714285714285714</v>
      </c>
      <c r="F74" s="134">
        <f>IF(H74&gt;0, (PreHarvest!$O3)," ")</f>
        <v>0.84120457142857141</v>
      </c>
      <c r="G74" s="217">
        <f>PreHarvest!$R3</f>
        <v>2.3486436734693878</v>
      </c>
      <c r="H74" s="217">
        <f>PreHarvest!$U3</f>
        <v>6.5312319151020413</v>
      </c>
    </row>
    <row r="75" spans="2:8" s="214" customFormat="1" ht="30" x14ac:dyDescent="0.25">
      <c r="B75" s="221" t="str">
        <f>IF(H75&gt;0,(CONCATENATE(PreHarvest!$C4," with ",PreHarvest!$M4))," ")</f>
        <v>Spray (Broadcast) 60' with Tractor (120-139 hp) 2WD 130</v>
      </c>
      <c r="C75" s="225">
        <f>IF(H75&gt;0,(1/PreHarvest!$E4)," ")</f>
        <v>35.454545454545453</v>
      </c>
      <c r="D75" s="135">
        <f>IF(H75&gt;0,(PreHarvest!$F4)," ")</f>
        <v>1</v>
      </c>
      <c r="E75" s="218">
        <f t="shared" ref="E75" si="17">IF(H75&gt;0,(D75*1/C75*1.25)," ")</f>
        <v>3.5256410256410256E-2</v>
      </c>
      <c r="F75" s="218">
        <f>IF(H75&gt;0, (PreHarvest!$O4)," ")</f>
        <v>0.18873179487179487</v>
      </c>
      <c r="G75" s="219">
        <f>PreHarvest!$R4</f>
        <v>0.33274697802197806</v>
      </c>
      <c r="H75" s="219">
        <f>PreHarvest!$U4</f>
        <v>0.80236316043956046</v>
      </c>
    </row>
    <row r="76" spans="2:8" s="214" customFormat="1" ht="30" x14ac:dyDescent="0.25">
      <c r="B76" s="221" t="str">
        <f>IF(H76&gt;0,(CONCATENATE(PreHarvest!$C5," with ",PreHarvest!$M5))," ")</f>
        <v>Subsoiler low-till 6 shank with Tractor (180-199 hp) MFWD 190</v>
      </c>
      <c r="C76" s="225">
        <f>IF(H76&gt;0,(1/PreHarvest!$E5)," ")</f>
        <v>9.7878787878787872</v>
      </c>
      <c r="D76" s="135">
        <f>IF(H76&gt;0,(PreHarvest!$F5)," ")</f>
        <v>1</v>
      </c>
      <c r="E76" s="218">
        <f t="shared" ref="E76:E78" si="18">IF(H76&gt;0,(D76*1/C76*1.25)," ")</f>
        <v>0.12770897832817341</v>
      </c>
      <c r="F76" s="218">
        <f>IF(H76&gt;0, (PreHarvest!$O5)," ")</f>
        <v>0.99917461300309607</v>
      </c>
      <c r="G76" s="219">
        <f>PreHarvest!$R5</f>
        <v>1.7571879699248123</v>
      </c>
      <c r="H76" s="219">
        <f>PreHarvest!$U5</f>
        <v>5.5040069774436091</v>
      </c>
    </row>
    <row r="77" spans="2:8" ht="30" x14ac:dyDescent="0.25">
      <c r="B77" s="221" t="str">
        <f>IF(H77&gt;0,(CONCATENATE(PreHarvest!$C6," with ",PreHarvest!$M6))," ")</f>
        <v>Plant &amp; Pre-Rigid  6R-36 with Tractor (180-199 hp) MFWD 190</v>
      </c>
      <c r="C77" s="225">
        <f>IF(H77&gt;0,(1/PreHarvest!$E6)," ")</f>
        <v>8.8636363636363633</v>
      </c>
      <c r="D77" s="135">
        <f>IF(H77&gt;0,(PreHarvest!$F6)," ")</f>
        <v>1</v>
      </c>
      <c r="E77" s="218">
        <f t="shared" si="18"/>
        <v>0.14102564102564102</v>
      </c>
      <c r="F77" s="218">
        <f>IF(H77&gt;0, (PreHarvest!$O6)," ")</f>
        <v>1.1033620512820512</v>
      </c>
      <c r="G77" s="219">
        <f>PreHarvest!$R6</f>
        <v>2.7277340659340661</v>
      </c>
      <c r="H77" s="219">
        <f>PreHarvest!$U6</f>
        <v>7.6682461186813189</v>
      </c>
    </row>
    <row r="78" spans="2:8" ht="30" x14ac:dyDescent="0.25">
      <c r="B78" s="221" t="str">
        <f>IF(H78&gt;0,(CONCATENATE(PreHarvest!$C7," with ",PreHarvest!$M7))," ")</f>
        <v>Spray (Broadcast) 60' with Tractor (120-139 hp) 2WD 130</v>
      </c>
      <c r="C78" s="225">
        <f>IF(H78&gt;0,(1/PreHarvest!$E7)," ")</f>
        <v>35.454545454545453</v>
      </c>
      <c r="D78" s="135">
        <f>IF(H78&gt;0,(PreHarvest!$F7)," ")</f>
        <v>11</v>
      </c>
      <c r="E78" s="218">
        <f t="shared" si="18"/>
        <v>0.38782051282051283</v>
      </c>
      <c r="F78" s="218">
        <f>IF(H78&gt;0, (PreHarvest!$O7)," ")</f>
        <v>2.0760497435897434</v>
      </c>
      <c r="G78" s="219">
        <f>PreHarvest!$R7</f>
        <v>3.6602167582417584</v>
      </c>
      <c r="H78" s="219">
        <f>PreHarvest!$U7</f>
        <v>8.8259947648351655</v>
      </c>
    </row>
    <row r="79" spans="2:8" x14ac:dyDescent="0.25">
      <c r="B79" s="148" t="s">
        <v>425</v>
      </c>
      <c r="C79" s="149"/>
      <c r="D79" s="149"/>
      <c r="E79" s="150">
        <f>SUM(E74:E78)</f>
        <v>0.84895439957359464</v>
      </c>
      <c r="F79" s="150">
        <f>SUM(F74:F78)</f>
        <v>5.2085227741752576</v>
      </c>
      <c r="G79" s="151">
        <f>SUM(G74:G78)</f>
        <v>10.826529445592003</v>
      </c>
      <c r="H79" s="151">
        <f>SUM(H74:H78)</f>
        <v>29.331842936501694</v>
      </c>
    </row>
    <row r="81" spans="2:8" s="214" customFormat="1" x14ac:dyDescent="0.25">
      <c r="B81" s="57" t="s">
        <v>426</v>
      </c>
      <c r="C81"/>
      <c r="D81"/>
      <c r="E81"/>
      <c r="F81"/>
      <c r="G81"/>
      <c r="H81"/>
    </row>
    <row r="82" spans="2:8" s="214" customFormat="1" ht="45" x14ac:dyDescent="0.25">
      <c r="B82" s="131" t="s">
        <v>419</v>
      </c>
      <c r="C82" s="132" t="s">
        <v>420</v>
      </c>
      <c r="D82" s="132" t="s">
        <v>421</v>
      </c>
      <c r="E82" s="247" t="s">
        <v>521</v>
      </c>
      <c r="F82" s="132" t="s">
        <v>422</v>
      </c>
      <c r="G82" s="132" t="s">
        <v>423</v>
      </c>
      <c r="H82" s="132" t="s">
        <v>424</v>
      </c>
    </row>
    <row r="83" spans="2:8" s="214" customFormat="1" ht="30" x14ac:dyDescent="0.25">
      <c r="B83" s="221" t="str">
        <f>IF(H83&gt;0,(CONCATENATE(Harvest!$C4," with ",Harvest!$M4))," ")</f>
        <v>Peanut Dig/Inverter 6R-36 with Tractor (180-199 hp) MFWD 190</v>
      </c>
      <c r="C83" s="195">
        <f>IF(H83&gt;0,(1/Harvest!$E4)," ")</f>
        <v>5.3454545454545457</v>
      </c>
      <c r="D83" s="147">
        <f>IF(H83&gt;0,(Harvest!$F4)," ")</f>
        <v>1</v>
      </c>
      <c r="E83" s="194">
        <f t="shared" ref="E83:E84" si="19">IF(H83&gt;0,(1/C83*D83*1.25)," ")</f>
        <v>0.23384353741496597</v>
      </c>
      <c r="F83" s="194">
        <f>IF(H83&gt;0,(Harvest!$O4)," ")</f>
        <v>1.8295544217687074</v>
      </c>
      <c r="G83" s="220">
        <f>Harvest!$R4</f>
        <v>7.1610641399416908</v>
      </c>
      <c r="H83" s="220">
        <f>Harvest!$U4</f>
        <v>16.371499261418851</v>
      </c>
    </row>
    <row r="84" spans="2:8" ht="14.45" customHeight="1" x14ac:dyDescent="0.25">
      <c r="B84" s="221" t="str">
        <f>IF(H84&gt;0,(CONCATENATE(Harvest!$C5," with ",Harvest!$M5))," ")</f>
        <v>Pull-type Peanut Combine 6R-36 with Tractor (180-199 hp) MFWD 190</v>
      </c>
      <c r="C84" s="195">
        <f>IF(H84&gt;0,(1/Harvest!$E5)," ")</f>
        <v>3.2727272727272729</v>
      </c>
      <c r="D84" s="147">
        <f>IF(H84&gt;0,(Harvest!$F5)," ")</f>
        <v>1</v>
      </c>
      <c r="E84" s="194">
        <f t="shared" si="19"/>
        <v>0.38194444444444442</v>
      </c>
      <c r="F84" s="194">
        <f>IF(H84&gt;0,(Harvest!$O5)," ")</f>
        <v>2.9882722222222218</v>
      </c>
      <c r="G84" s="220">
        <f>Harvest!$R5</f>
        <v>14.937738095238094</v>
      </c>
      <c r="H84" s="220">
        <f>Harvest!$U5</f>
        <v>52.51669412698412</v>
      </c>
    </row>
    <row r="85" spans="2:8" s="198" customFormat="1" ht="30" x14ac:dyDescent="0.25">
      <c r="B85" s="221" t="str">
        <f>IF(H85&gt;0,(CONCATENATE(Harvest!$C6," with ",Harvest!$M6))," ")</f>
        <v>Peanut Wagon 21' with Tractor (120-139 hp) 2WD 130</v>
      </c>
      <c r="C85" s="195">
        <f>IF(H85&gt;0,(1/Harvest!$E6)," ")</f>
        <v>2.1818181818181817</v>
      </c>
      <c r="D85" s="147">
        <f>IF(H85&gt;0,(Harvest!$F6)," ")</f>
        <v>1</v>
      </c>
      <c r="E85" s="194">
        <f t="shared" ref="E85" si="20">IF(H85&gt;0,(1/C85*D85*1.25)," ")</f>
        <v>0.57291666666666674</v>
      </c>
      <c r="F85" s="194">
        <f>IF(H85&gt;0,(Harvest!$O6)," ")</f>
        <v>3.0668916666666668</v>
      </c>
      <c r="G85" s="220">
        <f>Harvest!$R6</f>
        <v>4.6493988095238103</v>
      </c>
      <c r="H85" s="220">
        <f>Harvest!$U6</f>
        <v>12.324560023809523</v>
      </c>
    </row>
    <row r="86" spans="2:8" ht="28.9" customHeight="1" x14ac:dyDescent="0.25">
      <c r="B86" s="148" t="s">
        <v>427</v>
      </c>
      <c r="C86" s="149"/>
      <c r="D86" s="149"/>
      <c r="E86" s="150">
        <f>SUM(E83:E85)</f>
        <v>1.1887046485260773</v>
      </c>
      <c r="F86" s="150">
        <f>SUM(F83:F85)</f>
        <v>7.884718310657596</v>
      </c>
      <c r="G86" s="151">
        <f>SUM(G83:G85)</f>
        <v>26.748201044703595</v>
      </c>
      <c r="H86" s="151">
        <f>SUM(H83:H85)</f>
        <v>81.212753412212493</v>
      </c>
    </row>
    <row r="87" spans="2:8" ht="21.75" customHeight="1" x14ac:dyDescent="0.25">
      <c r="B87" s="199"/>
      <c r="C87" s="200"/>
      <c r="D87" s="200"/>
      <c r="E87" s="201"/>
      <c r="F87" s="201"/>
      <c r="G87" s="202"/>
      <c r="H87" s="202"/>
    </row>
    <row r="88" spans="2:8" ht="30.75" customHeight="1" x14ac:dyDescent="0.25">
      <c r="B88" s="273" t="s">
        <v>522</v>
      </c>
      <c r="C88" s="273"/>
      <c r="D88" s="273"/>
      <c r="E88" s="273"/>
      <c r="F88" s="273"/>
      <c r="G88" s="273"/>
      <c r="H88" s="273"/>
    </row>
    <row r="89" spans="2:8" ht="3" customHeight="1" x14ac:dyDescent="0.25">
      <c r="B89" s="203"/>
      <c r="C89" s="203"/>
      <c r="D89" s="203"/>
      <c r="E89" s="203"/>
      <c r="F89" s="203"/>
      <c r="G89" s="203"/>
      <c r="H89" s="203"/>
    </row>
    <row r="90" spans="2:8" x14ac:dyDescent="0.25">
      <c r="B90" s="268" t="s">
        <v>541</v>
      </c>
      <c r="C90" s="268"/>
      <c r="D90" s="268"/>
      <c r="E90" s="268"/>
      <c r="F90" s="268"/>
      <c r="G90" s="268"/>
      <c r="H90" s="268"/>
    </row>
    <row r="91" spans="2:8" x14ac:dyDescent="0.25">
      <c r="B91" s="269"/>
      <c r="C91" s="269"/>
      <c r="D91" s="269"/>
      <c r="E91" s="269"/>
      <c r="F91" s="269"/>
      <c r="G91" s="269"/>
      <c r="H91" s="269"/>
    </row>
    <row r="92" spans="2:8" x14ac:dyDescent="0.25">
      <c r="B92" s="144"/>
      <c r="C92" s="144"/>
      <c r="D92" s="144"/>
      <c r="E92" s="144"/>
      <c r="F92" s="144"/>
      <c r="G92" s="144"/>
      <c r="H92" s="144"/>
    </row>
  </sheetData>
  <mergeCells count="20">
    <mergeCell ref="B90:H91"/>
    <mergeCell ref="B41:H41"/>
    <mergeCell ref="B49:E49"/>
    <mergeCell ref="B60:G60"/>
    <mergeCell ref="B61:G61"/>
    <mergeCell ref="B62:G62"/>
    <mergeCell ref="B58:H59"/>
    <mergeCell ref="B88:H88"/>
    <mergeCell ref="B56:H56"/>
    <mergeCell ref="B63:B64"/>
    <mergeCell ref="B1:H1"/>
    <mergeCell ref="B55:H55"/>
    <mergeCell ref="B57:H57"/>
    <mergeCell ref="B71:H71"/>
    <mergeCell ref="B72:H72"/>
    <mergeCell ref="B2:H2"/>
    <mergeCell ref="B5:H5"/>
    <mergeCell ref="B38:E38"/>
    <mergeCell ref="B3:H3"/>
    <mergeCell ref="B54:H54"/>
  </mergeCells>
  <conditionalFormatting sqref="C65:G6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/>
    <hyperlink ref="A18" location="weed" display="Weed Detail"/>
    <hyperlink ref="A19" location="insect" display="Insect Detail"/>
    <hyperlink ref="A20" location="disdetail" display="Disease Detail"/>
    <hyperlink ref="A21" location="preharvmachdet" display="Preharvest Detail"/>
    <hyperlink ref="A24" location="harvmachdet" display="Harvest Detail"/>
  </hyperlinks>
  <printOptions horizontalCentered="1"/>
  <pageMargins left="0.7" right="0.7" top="0.75" bottom="0.75" header="0.3" footer="0.3"/>
  <pageSetup scale="74" orientation="portrait" r:id="rId1"/>
  <headerFooter>
    <oddFooter>&amp;LAg and Applied Economics, 1/2015&amp;R&amp;G</oddFooter>
  </headerFooter>
  <rowBreaks count="1" manualBreakCount="1">
    <brk id="59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sqref="A1:F1"/>
    </sheetView>
  </sheetViews>
  <sheetFormatPr defaultColWidth="13.5703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5" width="9" bestFit="1" customWidth="1"/>
    <col min="6" max="6" width="8" bestFit="1" customWidth="1"/>
    <col min="8" max="8" width="20" bestFit="1" customWidth="1"/>
  </cols>
  <sheetData>
    <row r="1" spans="1:8" ht="14.45" x14ac:dyDescent="0.3">
      <c r="A1" s="276" t="s">
        <v>359</v>
      </c>
      <c r="B1" s="276"/>
      <c r="C1" s="276"/>
      <c r="D1" s="276"/>
      <c r="E1" s="276"/>
      <c r="F1" s="276"/>
    </row>
    <row r="2" spans="1:8" ht="14.45" x14ac:dyDescent="0.3">
      <c r="A2" s="97" t="s">
        <v>363</v>
      </c>
      <c r="B2" s="97" t="s">
        <v>364</v>
      </c>
      <c r="C2" s="97" t="s">
        <v>365</v>
      </c>
      <c r="D2" s="97" t="s">
        <v>366</v>
      </c>
      <c r="E2" s="97" t="s">
        <v>373</v>
      </c>
      <c r="F2" s="97" t="str">
        <f>CONCATENATE("$/",Main!$D$7)</f>
        <v>$/ton</v>
      </c>
    </row>
    <row r="3" spans="1:8" x14ac:dyDescent="0.25">
      <c r="A3" s="98" t="s">
        <v>497</v>
      </c>
      <c r="B3" s="98" t="s">
        <v>499</v>
      </c>
      <c r="C3" s="98">
        <v>0.5</v>
      </c>
      <c r="D3" s="99">
        <v>4.55</v>
      </c>
      <c r="E3" s="100">
        <f>D3*C3</f>
        <v>2.2749999999999999</v>
      </c>
      <c r="F3" s="101">
        <f t="shared" ref="F3:F9" si="0">E3/yield</f>
        <v>0.96808510638297862</v>
      </c>
    </row>
    <row r="4" spans="1:8" x14ac:dyDescent="0.25">
      <c r="A4" s="102" t="s">
        <v>360</v>
      </c>
      <c r="B4" s="102" t="s">
        <v>499</v>
      </c>
      <c r="C4" s="102"/>
      <c r="D4" s="100">
        <v>0.42</v>
      </c>
      <c r="E4" s="100">
        <f t="shared" ref="E4:E9" si="1">D4*C4</f>
        <v>0</v>
      </c>
      <c r="F4" s="101">
        <f t="shared" si="0"/>
        <v>0</v>
      </c>
    </row>
    <row r="5" spans="1:8" x14ac:dyDescent="0.25">
      <c r="A5" s="102" t="s">
        <v>361</v>
      </c>
      <c r="B5" s="102" t="s">
        <v>499</v>
      </c>
      <c r="C5" s="102"/>
      <c r="D5" s="100">
        <v>0.34</v>
      </c>
      <c r="E5" s="100">
        <f t="shared" si="1"/>
        <v>0</v>
      </c>
      <c r="F5" s="101">
        <f t="shared" si="0"/>
        <v>0</v>
      </c>
    </row>
    <row r="6" spans="1:8" x14ac:dyDescent="0.25">
      <c r="A6" s="102" t="s">
        <v>498</v>
      </c>
      <c r="B6" s="102" t="s">
        <v>383</v>
      </c>
      <c r="C6" s="102">
        <v>0.5</v>
      </c>
      <c r="D6" s="100">
        <f>45+62</f>
        <v>107</v>
      </c>
      <c r="E6" s="100">
        <f t="shared" si="1"/>
        <v>53.5</v>
      </c>
      <c r="F6" s="101">
        <f t="shared" si="0"/>
        <v>22.76595744680851</v>
      </c>
    </row>
    <row r="7" spans="1:8" ht="14.45" x14ac:dyDescent="0.3">
      <c r="A7" s="102" t="s">
        <v>362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ht="14.45" x14ac:dyDescent="0.3">
      <c r="A8" s="102" t="s">
        <v>362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5">
      <c r="A9" s="103" t="s">
        <v>362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5">
      <c r="A10" s="276" t="s">
        <v>368</v>
      </c>
      <c r="B10" s="276"/>
      <c r="C10" s="276"/>
      <c r="D10" s="276"/>
      <c r="E10" s="79">
        <f>SUM(E3:E9)</f>
        <v>55.774999999999999</v>
      </c>
      <c r="F10" s="79">
        <f>SUM(F3:F9)</f>
        <v>23.73404255319149</v>
      </c>
      <c r="H10" s="146" t="s">
        <v>445</v>
      </c>
    </row>
    <row r="12" spans="1:8" x14ac:dyDescent="0.25">
      <c r="A12" s="277" t="s">
        <v>393</v>
      </c>
      <c r="B12" s="277"/>
      <c r="C12" s="277"/>
      <c r="D12" s="277"/>
      <c r="E12" s="277"/>
      <c r="F12" s="277"/>
    </row>
    <row r="13" spans="1:8" x14ac:dyDescent="0.25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5">
      <c r="A14" s="245" t="s">
        <v>523</v>
      </c>
      <c r="B14" s="91" t="s">
        <v>502</v>
      </c>
      <c r="C14" s="91">
        <v>2.1</v>
      </c>
      <c r="D14" s="92">
        <v>4.13</v>
      </c>
      <c r="E14" s="93">
        <f>D14*C14</f>
        <v>8.673</v>
      </c>
      <c r="F14" s="94">
        <f t="shared" ref="F14:F21" si="2">E14/yield</f>
        <v>3.6906382978723404</v>
      </c>
      <c r="G14" s="243"/>
    </row>
    <row r="15" spans="1:8" x14ac:dyDescent="0.25">
      <c r="A15" s="245" t="s">
        <v>535</v>
      </c>
      <c r="B15" s="245" t="s">
        <v>503</v>
      </c>
      <c r="C15" s="245">
        <v>3</v>
      </c>
      <c r="D15" s="244">
        <v>4.7300000000000004</v>
      </c>
      <c r="E15" s="244">
        <f t="shared" ref="E15" si="3">D15*C15</f>
        <v>14.190000000000001</v>
      </c>
      <c r="F15" s="94">
        <f t="shared" ref="F15" si="4">E15/yield</f>
        <v>6.0382978723404257</v>
      </c>
      <c r="G15" s="243"/>
    </row>
    <row r="16" spans="1:8" x14ac:dyDescent="0.25">
      <c r="A16" s="245" t="s">
        <v>501</v>
      </c>
      <c r="B16" s="245" t="s">
        <v>503</v>
      </c>
      <c r="C16" s="245">
        <v>4</v>
      </c>
      <c r="D16" s="244">
        <v>1.86</v>
      </c>
      <c r="E16" s="244">
        <f t="shared" ref="E16:E20" si="5">D16*C16</f>
        <v>7.44</v>
      </c>
      <c r="F16" s="94">
        <f t="shared" ref="F16:F20" si="6">E16/yield</f>
        <v>3.1659574468085108</v>
      </c>
      <c r="G16" s="243"/>
    </row>
    <row r="17" spans="1:8" x14ac:dyDescent="0.25">
      <c r="A17" s="245" t="s">
        <v>500</v>
      </c>
      <c r="B17" s="245" t="s">
        <v>502</v>
      </c>
      <c r="C17" s="245">
        <v>1</v>
      </c>
      <c r="D17" s="244">
        <v>8.34</v>
      </c>
      <c r="E17" s="244">
        <f t="shared" si="5"/>
        <v>8.34</v>
      </c>
      <c r="F17" s="94">
        <f t="shared" si="6"/>
        <v>3.548936170212766</v>
      </c>
      <c r="G17" s="243"/>
    </row>
    <row r="18" spans="1:8" s="241" customFormat="1" x14ac:dyDescent="0.25">
      <c r="A18" s="245" t="s">
        <v>524</v>
      </c>
      <c r="B18" s="245" t="s">
        <v>525</v>
      </c>
      <c r="C18" s="245">
        <v>1</v>
      </c>
      <c r="D18" s="244">
        <v>4.0999999999999996</v>
      </c>
      <c r="E18" s="244">
        <f t="shared" si="5"/>
        <v>4.0999999999999996</v>
      </c>
      <c r="F18" s="94">
        <f t="shared" si="6"/>
        <v>1.7446808510638296</v>
      </c>
      <c r="G18" s="243"/>
    </row>
    <row r="19" spans="1:8" s="241" customFormat="1" x14ac:dyDescent="0.25">
      <c r="A19" s="245" t="s">
        <v>526</v>
      </c>
      <c r="B19" s="245" t="s">
        <v>502</v>
      </c>
      <c r="C19" s="245">
        <v>1</v>
      </c>
      <c r="D19" s="244">
        <v>1.71</v>
      </c>
      <c r="E19" s="244">
        <f t="shared" si="5"/>
        <v>1.71</v>
      </c>
      <c r="F19" s="94">
        <f t="shared" si="6"/>
        <v>0.72765957446808505</v>
      </c>
      <c r="G19" s="243"/>
    </row>
    <row r="20" spans="1:8" s="241" customFormat="1" x14ac:dyDescent="0.25">
      <c r="A20" s="245" t="s">
        <v>527</v>
      </c>
      <c r="B20" s="245" t="s">
        <v>503</v>
      </c>
      <c r="C20" s="245">
        <v>8</v>
      </c>
      <c r="D20" s="244">
        <v>0.45</v>
      </c>
      <c r="E20" s="244">
        <f t="shared" si="5"/>
        <v>3.6</v>
      </c>
      <c r="F20" s="94">
        <f t="shared" si="6"/>
        <v>1.5319148936170213</v>
      </c>
      <c r="G20" s="243"/>
    </row>
    <row r="21" spans="1:8" s="241" customFormat="1" x14ac:dyDescent="0.25">
      <c r="A21" s="245" t="s">
        <v>515</v>
      </c>
      <c r="B21" s="245" t="s">
        <v>516</v>
      </c>
      <c r="C21" s="245">
        <v>1</v>
      </c>
      <c r="D21" s="244">
        <v>1.8</v>
      </c>
      <c r="E21" s="93">
        <f t="shared" ref="E21" si="7">D21*C21</f>
        <v>1.8</v>
      </c>
      <c r="F21" s="94">
        <f t="shared" si="2"/>
        <v>0.76595744680851063</v>
      </c>
      <c r="G21" s="243"/>
    </row>
    <row r="22" spans="1:8" s="241" customFormat="1" x14ac:dyDescent="0.25">
      <c r="A22" s="245" t="s">
        <v>545</v>
      </c>
      <c r="B22" s="245" t="s">
        <v>502</v>
      </c>
      <c r="C22" s="245">
        <v>1</v>
      </c>
      <c r="D22" s="244">
        <v>2.64</v>
      </c>
      <c r="E22" s="244">
        <f t="shared" ref="E22:E23" si="8">D22*C22</f>
        <v>2.64</v>
      </c>
      <c r="F22" s="94">
        <f t="shared" ref="F22:F23" si="9">E22/yield</f>
        <v>1.123404255319149</v>
      </c>
      <c r="G22" s="243"/>
    </row>
    <row r="23" spans="1:8" s="241" customFormat="1" x14ac:dyDescent="0.25">
      <c r="A23" s="95" t="s">
        <v>362</v>
      </c>
      <c r="B23" s="95"/>
      <c r="C23" s="95"/>
      <c r="D23" s="96"/>
      <c r="E23" s="244">
        <f t="shared" si="8"/>
        <v>0</v>
      </c>
      <c r="F23" s="94">
        <f t="shared" si="9"/>
        <v>0</v>
      </c>
    </row>
    <row r="24" spans="1:8" s="241" customFormat="1" x14ac:dyDescent="0.25">
      <c r="A24" s="277" t="s">
        <v>394</v>
      </c>
      <c r="B24" s="277"/>
      <c r="C24" s="277"/>
      <c r="D24" s="277"/>
      <c r="E24" s="80">
        <f>SUM(E14:E23)</f>
        <v>52.493000000000002</v>
      </c>
      <c r="F24" s="80">
        <f>SUM(F14:F23)</f>
        <v>22.337446808510638</v>
      </c>
    </row>
    <row r="25" spans="1:8" s="241" customFormat="1" x14ac:dyDescent="0.25">
      <c r="A25"/>
      <c r="B25"/>
      <c r="C25"/>
      <c r="D25"/>
      <c r="E25"/>
      <c r="F25"/>
    </row>
    <row r="26" spans="1:8" x14ac:dyDescent="0.25">
      <c r="A26" s="279" t="s">
        <v>395</v>
      </c>
      <c r="B26" s="279"/>
      <c r="C26" s="279"/>
      <c r="D26" s="279"/>
      <c r="E26" s="279"/>
      <c r="F26" s="279"/>
    </row>
    <row r="27" spans="1:8" x14ac:dyDescent="0.25">
      <c r="A27" s="82" t="s">
        <v>363</v>
      </c>
      <c r="B27" s="82" t="s">
        <v>364</v>
      </c>
      <c r="C27" s="82" t="s">
        <v>365</v>
      </c>
      <c r="D27" s="82" t="s">
        <v>366</v>
      </c>
      <c r="E27" s="82" t="s">
        <v>373</v>
      </c>
      <c r="F27" s="82" t="str">
        <f>CONCATENATE("$/",Main!$D$7)</f>
        <v>$/ton</v>
      </c>
      <c r="H27" s="146" t="s">
        <v>445</v>
      </c>
    </row>
    <row r="28" spans="1:8" x14ac:dyDescent="0.25">
      <c r="A28" s="83" t="s">
        <v>554</v>
      </c>
      <c r="B28" s="83" t="s">
        <v>499</v>
      </c>
      <c r="C28" s="83">
        <v>7.5</v>
      </c>
      <c r="D28" s="84">
        <v>3.0300000000000002</v>
      </c>
      <c r="E28" s="85">
        <f>D28*C28</f>
        <v>22.725000000000001</v>
      </c>
      <c r="F28" s="86">
        <f t="shared" ref="F28:F33" si="10">E28/yield</f>
        <v>9.6702127659574462</v>
      </c>
      <c r="G28" s="243"/>
    </row>
    <row r="29" spans="1:8" x14ac:dyDescent="0.25">
      <c r="A29" s="87" t="s">
        <v>504</v>
      </c>
      <c r="B29" s="87" t="s">
        <v>503</v>
      </c>
      <c r="C29" s="87">
        <v>1.5</v>
      </c>
      <c r="D29" s="85">
        <v>1.2625</v>
      </c>
      <c r="E29" s="85">
        <f t="shared" ref="E29:E33" si="11">D29*C29</f>
        <v>1.8937499999999998</v>
      </c>
      <c r="F29" s="86">
        <f t="shared" si="10"/>
        <v>0.80585106382978711</v>
      </c>
      <c r="G29" s="243"/>
    </row>
    <row r="30" spans="1:8" x14ac:dyDescent="0.25">
      <c r="A30" s="87" t="s">
        <v>504</v>
      </c>
      <c r="B30" s="87" t="s">
        <v>503</v>
      </c>
      <c r="C30" s="87">
        <v>1.5</v>
      </c>
      <c r="D30" s="85">
        <v>1.2625</v>
      </c>
      <c r="E30" s="85">
        <f t="shared" si="11"/>
        <v>1.8937499999999998</v>
      </c>
      <c r="F30" s="86">
        <f t="shared" si="10"/>
        <v>0.80585106382978711</v>
      </c>
      <c r="G30" s="243"/>
    </row>
    <row r="31" spans="1:8" x14ac:dyDescent="0.25">
      <c r="A31" s="87" t="s">
        <v>505</v>
      </c>
      <c r="B31" s="87" t="s">
        <v>499</v>
      </c>
      <c r="C31" s="87">
        <v>13.3</v>
      </c>
      <c r="D31" s="85">
        <v>1.52</v>
      </c>
      <c r="E31" s="85">
        <f t="shared" si="11"/>
        <v>20.216000000000001</v>
      </c>
      <c r="F31" s="86">
        <f t="shared" si="10"/>
        <v>8.6025531914893616</v>
      </c>
      <c r="G31" s="243"/>
    </row>
    <row r="32" spans="1:8" x14ac:dyDescent="0.25">
      <c r="A32" s="87" t="s">
        <v>362</v>
      </c>
      <c r="B32" s="87"/>
      <c r="C32" s="87"/>
      <c r="D32" s="85"/>
      <c r="E32" s="85">
        <f t="shared" si="11"/>
        <v>0</v>
      </c>
      <c r="F32" s="86">
        <f t="shared" si="10"/>
        <v>0</v>
      </c>
      <c r="G32" s="243"/>
    </row>
    <row r="33" spans="1:8" x14ac:dyDescent="0.25">
      <c r="A33" s="88" t="s">
        <v>362</v>
      </c>
      <c r="B33" s="88"/>
      <c r="C33" s="88"/>
      <c r="D33" s="89"/>
      <c r="E33" s="85">
        <f t="shared" si="11"/>
        <v>0</v>
      </c>
      <c r="F33" s="86">
        <f t="shared" si="10"/>
        <v>0</v>
      </c>
      <c r="G33" s="243"/>
    </row>
    <row r="34" spans="1:8" x14ac:dyDescent="0.25">
      <c r="A34" s="279" t="s">
        <v>396</v>
      </c>
      <c r="B34" s="279"/>
      <c r="C34" s="279"/>
      <c r="D34" s="279"/>
      <c r="E34" s="81">
        <f>SUM(E28:E33)</f>
        <v>46.728500000000004</v>
      </c>
      <c r="F34" s="81">
        <f>SUM(F28:F33)</f>
        <v>19.884468085106381</v>
      </c>
      <c r="G34" s="243"/>
    </row>
    <row r="35" spans="1:8" x14ac:dyDescent="0.25">
      <c r="G35" s="243"/>
    </row>
    <row r="36" spans="1:8" x14ac:dyDescent="0.25">
      <c r="A36" s="278" t="s">
        <v>428</v>
      </c>
      <c r="B36" s="278"/>
      <c r="C36" s="278"/>
      <c r="D36" s="278"/>
      <c r="E36" s="278"/>
      <c r="F36" s="278"/>
      <c r="G36" s="243"/>
    </row>
    <row r="37" spans="1:8" x14ac:dyDescent="0.25">
      <c r="A37" s="137" t="s">
        <v>363</v>
      </c>
      <c r="B37" s="137" t="s">
        <v>364</v>
      </c>
      <c r="C37" s="137" t="s">
        <v>365</v>
      </c>
      <c r="D37" s="137" t="s">
        <v>366</v>
      </c>
      <c r="E37" s="137" t="s">
        <v>373</v>
      </c>
      <c r="F37" s="137" t="str">
        <f>CONCATENATE("$/",Main!$D$7)</f>
        <v>$/ton</v>
      </c>
      <c r="H37" s="146" t="s">
        <v>445</v>
      </c>
    </row>
    <row r="38" spans="1:8" x14ac:dyDescent="0.25">
      <c r="A38" s="248" t="s">
        <v>517</v>
      </c>
      <c r="B38" s="248" t="s">
        <v>502</v>
      </c>
      <c r="C38" s="248">
        <v>1.5</v>
      </c>
      <c r="D38" s="138">
        <v>5.71</v>
      </c>
      <c r="E38" s="139">
        <f>D38*C38</f>
        <v>8.5649999999999995</v>
      </c>
      <c r="F38" s="140">
        <f t="shared" ref="F38:F49" si="12">E38/yield</f>
        <v>3.6446808510638293</v>
      </c>
      <c r="G38" s="243"/>
    </row>
    <row r="39" spans="1:8" x14ac:dyDescent="0.25">
      <c r="A39" s="250" t="s">
        <v>518</v>
      </c>
      <c r="B39" s="250" t="s">
        <v>502</v>
      </c>
      <c r="C39" s="250">
        <v>1.5</v>
      </c>
      <c r="D39" s="139">
        <v>5.22</v>
      </c>
      <c r="E39" s="139">
        <f t="shared" ref="E39:E49" si="13">D39*C39</f>
        <v>7.83</v>
      </c>
      <c r="F39" s="140">
        <f t="shared" si="12"/>
        <v>3.3319148936170211</v>
      </c>
      <c r="G39" s="243"/>
    </row>
    <row r="40" spans="1:8" x14ac:dyDescent="0.25">
      <c r="A40" s="250" t="s">
        <v>506</v>
      </c>
      <c r="B40" s="250" t="s">
        <v>502</v>
      </c>
      <c r="C40" s="250">
        <v>1</v>
      </c>
      <c r="D40" s="249">
        <v>4.28</v>
      </c>
      <c r="E40" s="139">
        <f t="shared" ref="E40:E44" si="14">D40*C40</f>
        <v>4.28</v>
      </c>
      <c r="F40" s="140">
        <f t="shared" ref="F40:F44" si="15">E40/yield</f>
        <v>1.8212765957446808</v>
      </c>
      <c r="G40" s="243"/>
    </row>
    <row r="41" spans="1:8" x14ac:dyDescent="0.25">
      <c r="A41" s="250" t="s">
        <v>506</v>
      </c>
      <c r="B41" s="250" t="s">
        <v>502</v>
      </c>
      <c r="C41" s="250">
        <v>1</v>
      </c>
      <c r="D41" s="249">
        <v>4.28</v>
      </c>
      <c r="E41" s="139">
        <f t="shared" si="14"/>
        <v>4.28</v>
      </c>
      <c r="F41" s="140">
        <f t="shared" si="15"/>
        <v>1.8212765957446808</v>
      </c>
      <c r="G41" s="243"/>
    </row>
    <row r="42" spans="1:8" x14ac:dyDescent="0.25">
      <c r="A42" s="250" t="s">
        <v>506</v>
      </c>
      <c r="B42" s="250" t="s">
        <v>502</v>
      </c>
      <c r="C42" s="250">
        <v>1</v>
      </c>
      <c r="D42" s="249">
        <v>4.28</v>
      </c>
      <c r="E42" s="139">
        <f t="shared" si="14"/>
        <v>4.28</v>
      </c>
      <c r="F42" s="140">
        <f t="shared" si="15"/>
        <v>1.8212765957446808</v>
      </c>
      <c r="G42" s="243"/>
    </row>
    <row r="43" spans="1:8" s="214" customFormat="1" x14ac:dyDescent="0.25">
      <c r="A43" s="250" t="s">
        <v>507</v>
      </c>
      <c r="B43" s="250" t="s">
        <v>503</v>
      </c>
      <c r="C43" s="250">
        <v>7.2</v>
      </c>
      <c r="D43" s="139">
        <v>0.38</v>
      </c>
      <c r="E43" s="139">
        <f t="shared" si="14"/>
        <v>2.7360000000000002</v>
      </c>
      <c r="F43" s="140">
        <f t="shared" si="15"/>
        <v>1.1642553191489362</v>
      </c>
      <c r="G43" s="243"/>
    </row>
    <row r="44" spans="1:8" s="214" customFormat="1" x14ac:dyDescent="0.25">
      <c r="A44" s="250" t="s">
        <v>507</v>
      </c>
      <c r="B44" s="250" t="s">
        <v>503</v>
      </c>
      <c r="C44" s="250">
        <v>7.2</v>
      </c>
      <c r="D44" s="139">
        <v>0.38</v>
      </c>
      <c r="E44" s="139">
        <f t="shared" si="14"/>
        <v>2.7360000000000002</v>
      </c>
      <c r="F44" s="140">
        <f t="shared" si="15"/>
        <v>1.1642553191489362</v>
      </c>
      <c r="G44" s="243"/>
    </row>
    <row r="45" spans="1:8" s="214" customFormat="1" x14ac:dyDescent="0.25">
      <c r="A45" s="250" t="s">
        <v>519</v>
      </c>
      <c r="B45" s="250" t="s">
        <v>503</v>
      </c>
      <c r="C45" s="250">
        <v>16</v>
      </c>
      <c r="D45" s="139">
        <v>0.80800000000000005</v>
      </c>
      <c r="E45" s="139">
        <f t="shared" ref="E45:E46" si="16">D45*C45</f>
        <v>12.928000000000001</v>
      </c>
      <c r="F45" s="140">
        <f t="shared" ref="F45:F46" si="17">E45/yield</f>
        <v>5.501276595744681</v>
      </c>
      <c r="G45" s="243"/>
    </row>
    <row r="46" spans="1:8" s="214" customFormat="1" x14ac:dyDescent="0.25">
      <c r="A46" s="250" t="s">
        <v>520</v>
      </c>
      <c r="B46" s="250" t="s">
        <v>503</v>
      </c>
      <c r="C46" s="250">
        <v>18.5</v>
      </c>
      <c r="D46" s="139">
        <v>0.83</v>
      </c>
      <c r="E46" s="139">
        <f t="shared" si="16"/>
        <v>15.354999999999999</v>
      </c>
      <c r="F46" s="140">
        <f t="shared" si="17"/>
        <v>6.5340425531914885</v>
      </c>
      <c r="G46" s="243"/>
    </row>
    <row r="47" spans="1:8" x14ac:dyDescent="0.25">
      <c r="A47" s="250" t="s">
        <v>506</v>
      </c>
      <c r="B47" s="250" t="s">
        <v>502</v>
      </c>
      <c r="C47" s="250">
        <v>1.5</v>
      </c>
      <c r="D47" s="249">
        <v>4.28</v>
      </c>
      <c r="E47" s="139">
        <f t="shared" si="13"/>
        <v>6.42</v>
      </c>
      <c r="F47" s="140">
        <f t="shared" si="12"/>
        <v>2.731914893617021</v>
      </c>
      <c r="G47" s="243"/>
    </row>
    <row r="48" spans="1:8" x14ac:dyDescent="0.25">
      <c r="A48" s="141" t="s">
        <v>362</v>
      </c>
      <c r="B48" s="141"/>
      <c r="C48" s="141"/>
      <c r="D48" s="139"/>
      <c r="E48" s="139">
        <f t="shared" si="13"/>
        <v>0</v>
      </c>
      <c r="F48" s="140">
        <f t="shared" si="12"/>
        <v>0</v>
      </c>
    </row>
    <row r="49" spans="1:8" x14ac:dyDescent="0.25">
      <c r="A49" s="142" t="s">
        <v>362</v>
      </c>
      <c r="B49" s="142"/>
      <c r="C49" s="142"/>
      <c r="D49" s="143"/>
      <c r="E49" s="139">
        <f t="shared" si="13"/>
        <v>0</v>
      </c>
      <c r="F49" s="140">
        <f t="shared" si="12"/>
        <v>0</v>
      </c>
    </row>
    <row r="50" spans="1:8" x14ac:dyDescent="0.25">
      <c r="A50" s="278" t="s">
        <v>429</v>
      </c>
      <c r="B50" s="278"/>
      <c r="C50" s="278"/>
      <c r="D50" s="278"/>
      <c r="E50" s="136">
        <f>SUM(E38:E49)</f>
        <v>69.41</v>
      </c>
      <c r="F50" s="136">
        <f>SUM(F38:F49)</f>
        <v>29.536170212765956</v>
      </c>
    </row>
    <row r="53" spans="1:8" x14ac:dyDescent="0.25">
      <c r="H53" s="146" t="s">
        <v>445</v>
      </c>
    </row>
  </sheetData>
  <mergeCells count="8">
    <mergeCell ref="A1:F1"/>
    <mergeCell ref="A10:D10"/>
    <mergeCell ref="A12:F12"/>
    <mergeCell ref="A36:F36"/>
    <mergeCell ref="A50:D50"/>
    <mergeCell ref="A24:D24"/>
    <mergeCell ref="A26:F26"/>
    <mergeCell ref="A34:D34"/>
  </mergeCells>
  <hyperlinks>
    <hyperlink ref="H10" location="main" display="Back to Budget Detail"/>
    <hyperlink ref="H27" location="main" display="Back to Budget Detail"/>
    <hyperlink ref="H37" location="main" display="Back to Budget Detail"/>
    <hyperlink ref="H53" location="main" display="Back to Budget Detail"/>
  </hyperlinks>
  <pageMargins left="0.7" right="0.7" top="0.75" bottom="0.75" header="0.3" footer="0.3"/>
  <pageSetup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64" bestFit="1" customWidth="1"/>
    <col min="13" max="13" width="22.5703125" style="16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5" t="s">
        <v>185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6" customFormat="1" ht="38.25" x14ac:dyDescent="0.2">
      <c r="A2" s="281" t="s">
        <v>172</v>
      </c>
      <c r="B2" s="42" t="s">
        <v>184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454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431</v>
      </c>
      <c r="S2" s="44" t="s">
        <v>175</v>
      </c>
      <c r="T2" s="44" t="s">
        <v>174</v>
      </c>
      <c r="U2" s="42" t="s">
        <v>171</v>
      </c>
    </row>
    <row r="3" spans="1:21" x14ac:dyDescent="0.25">
      <c r="A3" s="282"/>
      <c r="B3" s="167" t="s">
        <v>532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11.66625</v>
      </c>
      <c r="I3" s="59">
        <f>H3*G3</f>
        <v>1.4666142857142859</v>
      </c>
      <c r="J3" s="59">
        <f t="shared" ref="J3:J14" si="4">IF(B3&gt;0,VLOOKUP($B3,pre_implement,31),0)</f>
        <v>31.400359999999999</v>
      </c>
      <c r="K3" s="60">
        <f>J3*G3</f>
        <v>3.9474738285714288</v>
      </c>
      <c r="L3" s="164" t="s">
        <v>514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7.0161428571428575</v>
      </c>
      <c r="Q3" s="59">
        <f>P3*G3</f>
        <v>0.88202938775510209</v>
      </c>
      <c r="R3" s="59">
        <f>I3+Q3</f>
        <v>2.3486436734693878</v>
      </c>
      <c r="S3" s="59">
        <f t="shared" ref="S3:S14" si="8">IF(L3&gt;0,VLOOKUP($L3,tractor_data,24),0)</f>
        <v>20.552621142857141</v>
      </c>
      <c r="T3" s="59">
        <f>S3*G3</f>
        <v>2.5837580865306125</v>
      </c>
      <c r="U3" s="59">
        <f>T3+K3</f>
        <v>6.5312319151020413</v>
      </c>
    </row>
    <row r="4" spans="1:21" x14ac:dyDescent="0.25">
      <c r="A4" s="282"/>
      <c r="B4" s="167" t="s">
        <v>512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4.78125</v>
      </c>
      <c r="I4" s="59">
        <f t="shared" ref="I4:I14" si="10">H4*G4</f>
        <v>0.13485576923076922</v>
      </c>
      <c r="J4" s="59">
        <f t="shared" si="4"/>
        <v>7.8948</v>
      </c>
      <c r="K4" s="60">
        <f t="shared" ref="K4:K14" si="11">J4*G4</f>
        <v>0.22267384615384617</v>
      </c>
      <c r="L4" s="164" t="s">
        <v>514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7.0161428571428575</v>
      </c>
      <c r="Q4" s="59">
        <f t="shared" ref="Q4:Q14" si="13">P4*G4</f>
        <v>0.19789120879120881</v>
      </c>
      <c r="R4" s="59">
        <f t="shared" ref="R4:R14" si="14">I4+Q4</f>
        <v>0.33274697802197806</v>
      </c>
      <c r="S4" s="59">
        <f t="shared" si="8"/>
        <v>20.552621142857141</v>
      </c>
      <c r="T4" s="59">
        <f t="shared" ref="T4:T14" si="15">S4*G4</f>
        <v>0.57968931428571424</v>
      </c>
      <c r="U4" s="59">
        <f t="shared" ref="U4:U14" si="16">T4+K4</f>
        <v>0.80236316043956046</v>
      </c>
    </row>
    <row r="5" spans="1:21" x14ac:dyDescent="0.25">
      <c r="A5" s="282"/>
      <c r="B5" s="167" t="s">
        <v>533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5.032</v>
      </c>
      <c r="I5" s="59">
        <f t="shared" si="10"/>
        <v>0.51410526315789484</v>
      </c>
      <c r="J5" s="59">
        <f t="shared" si="4"/>
        <v>18.230936</v>
      </c>
      <c r="K5" s="60">
        <f t="shared" si="11"/>
        <v>1.8626033684210528</v>
      </c>
      <c r="L5" s="164" t="s">
        <v>513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12.167142857142858</v>
      </c>
      <c r="Q5" s="59">
        <f t="shared" si="13"/>
        <v>1.2430827067669175</v>
      </c>
      <c r="R5" s="59">
        <f t="shared" si="14"/>
        <v>1.7571879699248123</v>
      </c>
      <c r="S5" s="59">
        <f t="shared" si="8"/>
        <v>35.641617142857143</v>
      </c>
      <c r="T5" s="59">
        <f t="shared" si="15"/>
        <v>3.6414036090225568</v>
      </c>
      <c r="U5" s="59">
        <f t="shared" si="16"/>
        <v>5.5040069774436091</v>
      </c>
    </row>
    <row r="6" spans="1:21" x14ac:dyDescent="0.25">
      <c r="A6" s="282"/>
      <c r="B6" s="251" t="s">
        <v>511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12.0105</v>
      </c>
      <c r="I6" s="59">
        <f t="shared" si="10"/>
        <v>1.3550307692307693</v>
      </c>
      <c r="J6" s="59">
        <f t="shared" si="4"/>
        <v>32.326928000000002</v>
      </c>
      <c r="K6" s="60">
        <f t="shared" si="11"/>
        <v>3.6471405948717952</v>
      </c>
      <c r="L6" s="164" t="s">
        <v>513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12.167142857142858</v>
      </c>
      <c r="Q6" s="59">
        <f t="shared" si="13"/>
        <v>1.3727032967032968</v>
      </c>
      <c r="R6" s="59">
        <f t="shared" si="14"/>
        <v>2.7277340659340661</v>
      </c>
      <c r="S6" s="59">
        <f t="shared" si="8"/>
        <v>35.641617142857143</v>
      </c>
      <c r="T6" s="59">
        <f t="shared" si="15"/>
        <v>4.0211055238095241</v>
      </c>
      <c r="U6" s="59">
        <f t="shared" si="16"/>
        <v>7.6682461186813189</v>
      </c>
    </row>
    <row r="7" spans="1:21" x14ac:dyDescent="0.25">
      <c r="A7" s="282"/>
      <c r="B7" s="251" t="s">
        <v>512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4.78125</v>
      </c>
      <c r="I7" s="59">
        <f t="shared" si="10"/>
        <v>1.4834134615384615</v>
      </c>
      <c r="J7" s="59">
        <f t="shared" si="4"/>
        <v>7.8948</v>
      </c>
      <c r="K7" s="60">
        <f t="shared" si="11"/>
        <v>2.4494123076923078</v>
      </c>
      <c r="L7" s="164" t="s">
        <v>514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7.0161428571428575</v>
      </c>
      <c r="Q7" s="59">
        <f t="shared" si="13"/>
        <v>2.1768032967032966</v>
      </c>
      <c r="R7" s="59">
        <f t="shared" si="14"/>
        <v>3.6602167582417584</v>
      </c>
      <c r="S7" s="59">
        <f t="shared" si="8"/>
        <v>20.552621142857141</v>
      </c>
      <c r="T7" s="59">
        <f t="shared" si="15"/>
        <v>6.3765824571428569</v>
      </c>
      <c r="U7" s="59">
        <f t="shared" si="16"/>
        <v>8.8259947648351655</v>
      </c>
    </row>
    <row r="8" spans="1:21" x14ac:dyDescent="0.25">
      <c r="A8" s="282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2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2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82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82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82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82"/>
      <c r="B14" s="167"/>
      <c r="C14" s="22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83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10.826529445592003</v>
      </c>
      <c r="S15" s="61"/>
      <c r="T15" s="63"/>
      <c r="U15" s="63">
        <f>SUM(U3:U14)</f>
        <v>29.331842936501694</v>
      </c>
    </row>
    <row r="16" spans="1:21" x14ac:dyDescent="0.25">
      <c r="B16" s="146" t="s">
        <v>445</v>
      </c>
      <c r="C16" s="146"/>
    </row>
    <row r="17" spans="1:14" x14ac:dyDescent="0.25">
      <c r="A17" s="51"/>
      <c r="B17" s="265" t="s">
        <v>178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23"/>
    </row>
    <row r="18" spans="1:14" s="48" customFormat="1" ht="38.25" x14ac:dyDescent="0.25">
      <c r="A18" s="280" t="s">
        <v>177</v>
      </c>
      <c r="B18" s="49" t="s">
        <v>186</v>
      </c>
      <c r="C18" s="178" t="s">
        <v>455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 x14ac:dyDescent="0.25">
      <c r="A19" s="280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 x14ac:dyDescent="0.25">
      <c r="A20" s="280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3">
        <f>IF(B20&lt;&gt;"",VLOOKUP($B20,selfpro_data,32),0)</f>
        <v>0</v>
      </c>
      <c r="M20" s="172">
        <f t="shared" ref="M20:M23" si="21">L20*G20</f>
        <v>0</v>
      </c>
    </row>
    <row r="21" spans="1:14" x14ac:dyDescent="0.25">
      <c r="A21" s="280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3">
        <f>IF(B21&lt;&gt;"",VLOOKUP($B21,selfpro_data,32),0)</f>
        <v>0</v>
      </c>
      <c r="M21" s="172">
        <f t="shared" si="21"/>
        <v>0</v>
      </c>
    </row>
    <row r="22" spans="1:14" x14ac:dyDescent="0.25">
      <c r="A22" s="280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3">
        <f>IF(B22&lt;&gt;"",VLOOKUP($B22,selfpro_data,32),0)</f>
        <v>0</v>
      </c>
      <c r="M22" s="172">
        <f t="shared" si="21"/>
        <v>0</v>
      </c>
    </row>
    <row r="23" spans="1:14" x14ac:dyDescent="0.25">
      <c r="A23" s="280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3">
        <f>IF(B23&lt;&gt;"",VLOOKUP($B23,selfpro_data,32),0)</f>
        <v>0</v>
      </c>
      <c r="M23" s="172">
        <f t="shared" si="21"/>
        <v>0</v>
      </c>
    </row>
    <row r="24" spans="1:14" x14ac:dyDescent="0.25">
      <c r="A24" s="28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 x14ac:dyDescent="0.25">
      <c r="B25" s="146" t="s">
        <v>445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5" t="s">
        <v>196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54" customFormat="1" ht="41.45" x14ac:dyDescent="0.3">
      <c r="A2" s="55"/>
      <c r="B2" s="42" t="s">
        <v>195</v>
      </c>
      <c r="C2" s="42" t="s">
        <v>455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455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431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4" t="s">
        <v>207</v>
      </c>
      <c r="B4" s="164" t="s">
        <v>539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51" t="s">
        <v>513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12.167142857142858</v>
      </c>
      <c r="Q4" s="59">
        <f t="shared" ref="Q4:Q10" si="12">G4*P4</f>
        <v>2.2761661807580174</v>
      </c>
      <c r="R4" s="65">
        <f t="shared" ref="R4:R10" si="13">I4+Q4</f>
        <v>7.1610641399416908</v>
      </c>
      <c r="S4" s="59">
        <f t="shared" ref="S4:S10" si="14">IF(L4&lt;&gt;"",VLOOKUP($L4,tractor_data,24),0)</f>
        <v>35.641617142857143</v>
      </c>
      <c r="T4" s="59">
        <f t="shared" ref="T4:T10" si="15">S4*G4</f>
        <v>6.6676494655004852</v>
      </c>
      <c r="U4" s="59">
        <f t="shared" ref="U4:U10" si="16">T4+K4</f>
        <v>16.371499261418851</v>
      </c>
    </row>
    <row r="5" spans="1:21" x14ac:dyDescent="0.25">
      <c r="A5" s="284"/>
      <c r="B5" s="164" t="s">
        <v>540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7" t="s">
        <v>513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12.167142857142858</v>
      </c>
      <c r="Q5" s="59">
        <f t="shared" si="12"/>
        <v>3.717738095238095</v>
      </c>
      <c r="R5" s="68">
        <f t="shared" si="13"/>
        <v>14.937738095238094</v>
      </c>
      <c r="S5" s="59">
        <f t="shared" si="14"/>
        <v>35.641617142857143</v>
      </c>
      <c r="T5" s="59">
        <f t="shared" si="15"/>
        <v>10.890494126984127</v>
      </c>
      <c r="U5" s="59">
        <f t="shared" si="16"/>
        <v>52.51669412698412</v>
      </c>
    </row>
    <row r="6" spans="1:21" x14ac:dyDescent="0.25">
      <c r="A6" s="284"/>
      <c r="B6" s="164" t="s">
        <v>542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7" t="s">
        <v>514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7.0161428571428575</v>
      </c>
      <c r="Q6" s="59">
        <f t="shared" si="12"/>
        <v>3.2157321428571435</v>
      </c>
      <c r="R6" s="68">
        <f t="shared" si="13"/>
        <v>4.6493988095238103</v>
      </c>
      <c r="S6" s="59">
        <f t="shared" si="14"/>
        <v>20.552621142857141</v>
      </c>
      <c r="T6" s="59">
        <f t="shared" si="15"/>
        <v>9.4199513571428568</v>
      </c>
      <c r="U6" s="59">
        <f t="shared" si="16"/>
        <v>12.324560023809523</v>
      </c>
    </row>
    <row r="7" spans="1:21" x14ac:dyDescent="0.25">
      <c r="A7" s="284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4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4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3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26.748201044703595</v>
      </c>
      <c r="S11" s="72"/>
      <c r="T11" s="75"/>
      <c r="U11" s="75">
        <f>SUM(U3:U10)</f>
        <v>81.212753412212493</v>
      </c>
    </row>
    <row r="12" spans="1:21" x14ac:dyDescent="0.25">
      <c r="B12" s="146" t="s">
        <v>445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8" bestFit="1" customWidth="1"/>
    <col min="4" max="4" width="2" style="158" bestFit="1" customWidth="1"/>
    <col min="5" max="5" width="14.5703125" style="154" bestFit="1" customWidth="1"/>
    <col min="6" max="6" width="9" style="154" bestFit="1" customWidth="1"/>
    <col min="7" max="7" width="18.28515625" style="15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87" t="s">
        <v>458</v>
      </c>
      <c r="B1" s="288"/>
      <c r="C1" s="289" t="s">
        <v>130</v>
      </c>
      <c r="D1" s="290"/>
      <c r="E1" s="290"/>
      <c r="F1" s="208">
        <v>0.09</v>
      </c>
    </row>
    <row r="2" spans="1:35" ht="15.75" thickBot="1" x14ac:dyDescent="0.3">
      <c r="C2" s="291" t="s">
        <v>129</v>
      </c>
      <c r="D2" s="292"/>
      <c r="E2" s="292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07"/>
      <c r="E3" s="1"/>
      <c r="R3" s="285" t="s">
        <v>128</v>
      </c>
      <c r="S3" s="285"/>
      <c r="T3" s="285"/>
      <c r="U3" s="285"/>
      <c r="V3" s="285"/>
      <c r="W3" s="285"/>
      <c r="X3" s="286" t="s">
        <v>127</v>
      </c>
      <c r="Y3" s="286"/>
    </row>
    <row r="4" spans="1:35" s="15" customFormat="1" ht="11.25" x14ac:dyDescent="0.2">
      <c r="A4" s="26"/>
      <c r="B4" s="26" t="s">
        <v>125</v>
      </c>
      <c r="C4" s="155" t="s">
        <v>126</v>
      </c>
      <c r="D4" s="156" t="s">
        <v>452</v>
      </c>
      <c r="E4" s="157" t="s">
        <v>124</v>
      </c>
      <c r="F4" s="157" t="s">
        <v>123</v>
      </c>
      <c r="G4" s="157" t="s">
        <v>453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451</v>
      </c>
      <c r="E5" s="154" t="s">
        <v>472</v>
      </c>
      <c r="F5" s="154" t="s">
        <v>199</v>
      </c>
      <c r="G5" s="15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  <c r="AG5" s="30"/>
    </row>
    <row r="6" spans="1:35" x14ac:dyDescent="0.25">
      <c r="A6" s="234">
        <v>66</v>
      </c>
      <c r="B6" s="1" t="str">
        <f t="shared" si="0"/>
        <v>0.02, Bed-Disk  (Hipper)  6R-30</v>
      </c>
      <c r="C6" s="158">
        <v>0.02</v>
      </c>
      <c r="D6" s="154" t="s">
        <v>451</v>
      </c>
      <c r="E6" s="154" t="s">
        <v>472</v>
      </c>
      <c r="F6" s="154" t="s">
        <v>53</v>
      </c>
      <c r="G6" s="15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  <c r="AG6" s="30"/>
    </row>
    <row r="7" spans="1:35" x14ac:dyDescent="0.25">
      <c r="A7" s="234">
        <v>67</v>
      </c>
      <c r="B7" s="1" t="str">
        <f t="shared" si="0"/>
        <v>0.03, Bed-Disk  (Hipper)  6R-36</v>
      </c>
      <c r="C7" s="158">
        <v>0.03</v>
      </c>
      <c r="D7" s="154" t="s">
        <v>451</v>
      </c>
      <c r="E7" s="154" t="s">
        <v>472</v>
      </c>
      <c r="F7" s="154" t="s">
        <v>200</v>
      </c>
      <c r="G7" s="15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  <c r="AG7" s="30"/>
    </row>
    <row r="8" spans="1:35" x14ac:dyDescent="0.25">
      <c r="A8" s="234">
        <v>68</v>
      </c>
      <c r="B8" s="1" t="str">
        <f t="shared" si="0"/>
        <v>0.04, Bed-Disk  (Hipper)  8R-30</v>
      </c>
      <c r="C8" s="158">
        <v>0.04</v>
      </c>
      <c r="D8" s="154" t="s">
        <v>451</v>
      </c>
      <c r="E8" s="154" t="s">
        <v>472</v>
      </c>
      <c r="F8" s="154" t="s">
        <v>25</v>
      </c>
      <c r="G8" s="15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  <c r="AG8" s="30"/>
    </row>
    <row r="9" spans="1:35" x14ac:dyDescent="0.25">
      <c r="A9" s="234">
        <v>70</v>
      </c>
      <c r="B9" s="1" t="str">
        <f t="shared" si="0"/>
        <v>0.05, Bed-Disk  (Hipper) 10R-30</v>
      </c>
      <c r="C9" s="158">
        <v>0.05</v>
      </c>
      <c r="D9" s="154" t="s">
        <v>451</v>
      </c>
      <c r="E9" s="154" t="s">
        <v>472</v>
      </c>
      <c r="F9" s="154" t="s">
        <v>24</v>
      </c>
      <c r="G9" s="15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  <c r="AG9" s="30"/>
    </row>
    <row r="10" spans="1:35" x14ac:dyDescent="0.25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451</v>
      </c>
      <c r="E10" s="154" t="s">
        <v>472</v>
      </c>
      <c r="F10" s="154" t="s">
        <v>6</v>
      </c>
      <c r="G10" s="15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  <c r="AG10" s="30"/>
    </row>
    <row r="11" spans="1:35" x14ac:dyDescent="0.25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451</v>
      </c>
      <c r="E11" s="154" t="s">
        <v>472</v>
      </c>
      <c r="F11" s="154" t="s">
        <v>202</v>
      </c>
      <c r="G11" s="15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  <c r="AG11" s="30"/>
    </row>
    <row r="12" spans="1:35" x14ac:dyDescent="0.25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451</v>
      </c>
      <c r="E12" s="154" t="s">
        <v>472</v>
      </c>
      <c r="F12" s="154" t="s">
        <v>201</v>
      </c>
      <c r="G12" s="15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  <c r="AG12" s="30"/>
    </row>
    <row r="13" spans="1:35" x14ac:dyDescent="0.25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451</v>
      </c>
      <c r="E13" s="154" t="s">
        <v>472</v>
      </c>
      <c r="F13" s="154" t="s">
        <v>198</v>
      </c>
      <c r="G13" s="15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  <c r="AG13" s="30"/>
    </row>
    <row r="14" spans="1:35" x14ac:dyDescent="0.25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451</v>
      </c>
      <c r="E14" s="154" t="s">
        <v>473</v>
      </c>
      <c r="F14" s="154" t="s">
        <v>197</v>
      </c>
      <c r="G14" s="15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  <c r="AG14" s="30"/>
    </row>
    <row r="15" spans="1:35" x14ac:dyDescent="0.25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451</v>
      </c>
      <c r="E15" s="154" t="s">
        <v>474</v>
      </c>
      <c r="F15" s="154" t="s">
        <v>197</v>
      </c>
      <c r="G15" s="154" t="str">
        <f t="shared" si="1"/>
        <v>Bed-Disk  (Hipper) Rd  8R-36</v>
      </c>
      <c r="H15" s="30">
        <v>20196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  <c r="AG15" s="30"/>
    </row>
    <row r="16" spans="1:35" x14ac:dyDescent="0.25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451</v>
      </c>
      <c r="E16" s="154" t="s">
        <v>470</v>
      </c>
      <c r="F16" s="154" t="s">
        <v>25</v>
      </c>
      <c r="G16" s="154" t="str">
        <f t="shared" si="1"/>
        <v>Bed-Disk  w/roller 8R-30</v>
      </c>
      <c r="H16" s="30">
        <v>22542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  <c r="AG16" s="30"/>
    </row>
    <row r="17" spans="1:35" x14ac:dyDescent="0.25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451</v>
      </c>
      <c r="E17" s="154" t="s">
        <v>470</v>
      </c>
      <c r="F17" s="154" t="s">
        <v>197</v>
      </c>
      <c r="G17" s="154" t="str">
        <f t="shared" si="1"/>
        <v>Bed-Disk  w/roller 8R-36</v>
      </c>
      <c r="H17" s="30">
        <v>25908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  <c r="AG17" s="30"/>
    </row>
    <row r="18" spans="1:35" x14ac:dyDescent="0.25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451</v>
      </c>
      <c r="E18" s="154" t="s">
        <v>470</v>
      </c>
      <c r="F18" s="154" t="s">
        <v>471</v>
      </c>
      <c r="G18" s="154" t="str">
        <f t="shared" si="1"/>
        <v>Bed-Disk  w/roller 12R-30</v>
      </c>
      <c r="H18" s="30">
        <v>48144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  <c r="AG18" s="30"/>
    </row>
    <row r="19" spans="1:35" x14ac:dyDescent="0.25">
      <c r="A19" s="234">
        <v>594</v>
      </c>
      <c r="B19" s="1" t="str">
        <f t="shared" si="0"/>
        <v>0.15, Bed-Middle Buster 4R-36</v>
      </c>
      <c r="C19" s="158">
        <v>0.15</v>
      </c>
      <c r="D19" s="154" t="s">
        <v>451</v>
      </c>
      <c r="E19" s="154" t="s">
        <v>475</v>
      </c>
      <c r="F19" s="154" t="s">
        <v>199</v>
      </c>
      <c r="G19" s="154" t="str">
        <f t="shared" si="1"/>
        <v>Bed-Middle Buster 4R-36</v>
      </c>
      <c r="H19" s="30">
        <v>18564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  <c r="AG19" s="30"/>
    </row>
    <row r="20" spans="1:35" x14ac:dyDescent="0.25">
      <c r="A20" s="234">
        <v>119</v>
      </c>
      <c r="B20" s="1" t="str">
        <f t="shared" si="0"/>
        <v>0.16, Bed-Middle Buster 6R-36</v>
      </c>
      <c r="C20" s="158">
        <v>0.16</v>
      </c>
      <c r="D20" s="154" t="s">
        <v>451</v>
      </c>
      <c r="E20" s="154" t="s">
        <v>475</v>
      </c>
      <c r="F20" s="154" t="s">
        <v>200</v>
      </c>
      <c r="G20" s="154" t="str">
        <f t="shared" si="1"/>
        <v>Bed-Middle Buster 6R-36</v>
      </c>
      <c r="H20" s="30">
        <v>15810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  <c r="AG20" s="30"/>
    </row>
    <row r="21" spans="1:35" s="13" customFormat="1" x14ac:dyDescent="0.25">
      <c r="A21" s="234">
        <v>120</v>
      </c>
      <c r="B21" s="1" t="str">
        <f t="shared" si="0"/>
        <v>0.17, Bed-Middle Buster 8R-30</v>
      </c>
      <c r="C21" s="158">
        <v>0.17</v>
      </c>
      <c r="D21" s="154" t="s">
        <v>451</v>
      </c>
      <c r="E21" s="154" t="s">
        <v>475</v>
      </c>
      <c r="F21" s="154" t="s">
        <v>25</v>
      </c>
      <c r="G21" s="154" t="str">
        <f t="shared" si="1"/>
        <v>Bed-Middle Buster 8R-30</v>
      </c>
      <c r="H21" s="260">
        <v>22848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30"/>
      <c r="AH21" s="212"/>
      <c r="AI21" s="212"/>
    </row>
    <row r="22" spans="1:35" x14ac:dyDescent="0.25">
      <c r="A22" s="234">
        <v>121</v>
      </c>
      <c r="B22" s="1" t="str">
        <f t="shared" si="0"/>
        <v>0.18, Bed-Middle Buster 8R-36</v>
      </c>
      <c r="C22" s="158">
        <v>0.18</v>
      </c>
      <c r="D22" s="154" t="s">
        <v>451</v>
      </c>
      <c r="E22" s="154" t="s">
        <v>475</v>
      </c>
      <c r="F22" s="154" t="s">
        <v>197</v>
      </c>
      <c r="G22" s="154" t="str">
        <f t="shared" si="1"/>
        <v>Bed-Middle Buster 8R-36</v>
      </c>
      <c r="H22" s="260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  <c r="AG22" s="30"/>
    </row>
    <row r="23" spans="1:35" x14ac:dyDescent="0.25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451</v>
      </c>
      <c r="E23" s="154" t="s">
        <v>475</v>
      </c>
      <c r="F23" s="154" t="s">
        <v>201</v>
      </c>
      <c r="G23" s="154" t="str">
        <f t="shared" si="1"/>
        <v>Bed-Middle Buster 8R-36 2x1</v>
      </c>
      <c r="H23" s="260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  <c r="AG23" s="30"/>
    </row>
    <row r="24" spans="1:35" x14ac:dyDescent="0.25">
      <c r="A24" s="234">
        <v>122</v>
      </c>
      <c r="B24" s="1" t="str">
        <f t="shared" si="0"/>
        <v>0.2, Bed-Middle Buster 10R-30</v>
      </c>
      <c r="C24" s="158">
        <v>0.2</v>
      </c>
      <c r="D24" s="154" t="s">
        <v>451</v>
      </c>
      <c r="E24" s="154" t="s">
        <v>476</v>
      </c>
      <c r="F24" s="154" t="s">
        <v>24</v>
      </c>
      <c r="G24" s="154" t="str">
        <f t="shared" si="1"/>
        <v>Bed-Middle Buster 10R-30</v>
      </c>
      <c r="H24" s="260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  <c r="AG24" s="30"/>
    </row>
    <row r="25" spans="1:35" x14ac:dyDescent="0.25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451</v>
      </c>
      <c r="E25" s="154" t="s">
        <v>476</v>
      </c>
      <c r="F25" s="154" t="s">
        <v>202</v>
      </c>
      <c r="G25" s="154" t="str">
        <f t="shared" si="1"/>
        <v>Bed-Middle Buster 10R-36</v>
      </c>
      <c r="H25" s="260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  <c r="AG25" s="30"/>
    </row>
    <row r="26" spans="1:35" x14ac:dyDescent="0.25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451</v>
      </c>
      <c r="E26" s="154" t="s">
        <v>476</v>
      </c>
      <c r="F26" s="154" t="s">
        <v>198</v>
      </c>
      <c r="G26" s="154" t="str">
        <f t="shared" si="1"/>
        <v>Bed-Middle Buster 12R-36</v>
      </c>
      <c r="H26" s="260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  <c r="AG26" s="30"/>
    </row>
    <row r="27" spans="1:35" x14ac:dyDescent="0.25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451</v>
      </c>
      <c r="E27" s="154" t="s">
        <v>477</v>
      </c>
      <c r="F27" s="154" t="s">
        <v>197</v>
      </c>
      <c r="G27" s="154" t="str">
        <f t="shared" si="1"/>
        <v>Bed-Paratill   Fold 8R-36</v>
      </c>
      <c r="H27" s="260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  <c r="AG27" s="30"/>
    </row>
    <row r="28" spans="1:35" x14ac:dyDescent="0.25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451</v>
      </c>
      <c r="E28" s="154" t="s">
        <v>477</v>
      </c>
      <c r="F28" s="154" t="s">
        <v>24</v>
      </c>
      <c r="G28" s="154" t="str">
        <f t="shared" si="1"/>
        <v>Bed-Paratill   Fold10R-30</v>
      </c>
      <c r="H28" s="257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  <c r="AG28" s="30"/>
    </row>
    <row r="29" spans="1:35" x14ac:dyDescent="0.25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451</v>
      </c>
      <c r="E29" s="154" t="s">
        <v>477</v>
      </c>
      <c r="F29" s="154" t="s">
        <v>201</v>
      </c>
      <c r="G29" s="154" t="str">
        <f t="shared" si="1"/>
        <v>Bed-Paratill   Fold 8R-36 2x1</v>
      </c>
      <c r="H29" s="260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  <c r="AG29" s="30"/>
    </row>
    <row r="30" spans="1:35" x14ac:dyDescent="0.25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451</v>
      </c>
      <c r="E30" s="154" t="s">
        <v>477</v>
      </c>
      <c r="F30" s="154" t="s">
        <v>198</v>
      </c>
      <c r="G30" s="154" t="str">
        <f t="shared" si="1"/>
        <v>Bed-Paratill   Fold12R-36</v>
      </c>
      <c r="H30" s="260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  <c r="AG30" s="30"/>
    </row>
    <row r="31" spans="1:35" x14ac:dyDescent="0.25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451</v>
      </c>
      <c r="E31" s="154" t="s">
        <v>478</v>
      </c>
      <c r="F31" s="154" t="s">
        <v>48</v>
      </c>
      <c r="G31" s="154" t="str">
        <f t="shared" si="1"/>
        <v>Bed-Paratill   Rigid 4R-30</v>
      </c>
      <c r="H31" s="260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  <c r="AG31" s="30"/>
    </row>
    <row r="32" spans="1:35" x14ac:dyDescent="0.25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451</v>
      </c>
      <c r="E32" s="154" t="s">
        <v>478</v>
      </c>
      <c r="F32" s="154" t="s">
        <v>199</v>
      </c>
      <c r="G32" s="154" t="str">
        <f t="shared" si="1"/>
        <v>Bed-Paratill   Rigid 4R-36</v>
      </c>
      <c r="H32" s="260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  <c r="AG32" s="30"/>
    </row>
    <row r="33" spans="1:33" x14ac:dyDescent="0.25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451</v>
      </c>
      <c r="E33" s="154" t="s">
        <v>478</v>
      </c>
      <c r="F33" s="154" t="s">
        <v>53</v>
      </c>
      <c r="G33" s="154" t="str">
        <f t="shared" si="1"/>
        <v>Bed-Paratill   Rigid 6R-30</v>
      </c>
      <c r="H33" s="260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  <c r="AG33" s="30"/>
    </row>
    <row r="34" spans="1:33" x14ac:dyDescent="0.25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451</v>
      </c>
      <c r="E34" s="154" t="s">
        <v>478</v>
      </c>
      <c r="F34" s="154" t="s">
        <v>200</v>
      </c>
      <c r="G34" s="154" t="str">
        <f t="shared" si="1"/>
        <v>Bed-Paratill   Rigid 6R-36</v>
      </c>
      <c r="H34" s="260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  <c r="AG34" s="30"/>
    </row>
    <row r="35" spans="1:33" x14ac:dyDescent="0.25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451</v>
      </c>
      <c r="E35" s="154" t="s">
        <v>478</v>
      </c>
      <c r="F35" s="154" t="s">
        <v>25</v>
      </c>
      <c r="G35" s="154" t="str">
        <f t="shared" si="1"/>
        <v>Bed-Paratill   Rigid 8R-30</v>
      </c>
      <c r="H35" s="260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  <c r="AG35" s="30"/>
    </row>
    <row r="36" spans="1:33" x14ac:dyDescent="0.25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451</v>
      </c>
      <c r="E36" s="154" t="s">
        <v>478</v>
      </c>
      <c r="F36" s="154" t="s">
        <v>197</v>
      </c>
      <c r="G36" s="154" t="str">
        <f t="shared" si="1"/>
        <v>Bed-Paratill   Rigid 8R-36</v>
      </c>
      <c r="H36" s="260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  <c r="AG36" s="30"/>
    </row>
    <row r="37" spans="1:33" x14ac:dyDescent="0.25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451</v>
      </c>
      <c r="E37" s="154" t="s">
        <v>478</v>
      </c>
      <c r="F37" s="154" t="s">
        <v>24</v>
      </c>
      <c r="G37" s="154" t="str">
        <f t="shared" si="1"/>
        <v>Bed-Paratill   Rigid10R-30</v>
      </c>
      <c r="H37" s="260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  <c r="AG37" s="30"/>
    </row>
    <row r="38" spans="1:33" x14ac:dyDescent="0.25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451</v>
      </c>
      <c r="E38" s="154" t="s">
        <v>479</v>
      </c>
      <c r="F38" s="154" t="s">
        <v>0</v>
      </c>
      <c r="G38" s="154" t="str">
        <f t="shared" si="1"/>
        <v>Bed-Paratill  w/rol4R-30</v>
      </c>
      <c r="H38" s="260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  <c r="AG38" s="30"/>
    </row>
    <row r="39" spans="1:33" x14ac:dyDescent="0.25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451</v>
      </c>
      <c r="E39" s="154" t="s">
        <v>487</v>
      </c>
      <c r="F39" s="154" t="s">
        <v>73</v>
      </c>
      <c r="G39" s="154" t="str">
        <f t="shared" si="1"/>
        <v>Bed-Paratill  w/roll 4R-36</v>
      </c>
      <c r="H39" s="260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  <c r="AG39" s="30"/>
    </row>
    <row r="40" spans="1:33" x14ac:dyDescent="0.25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451</v>
      </c>
      <c r="E40" s="154" t="s">
        <v>487</v>
      </c>
      <c r="F40" s="154" t="s">
        <v>204</v>
      </c>
      <c r="G40" s="154" t="str">
        <f t="shared" si="1"/>
        <v>Bed-Paratill  w/roll 6R-36</v>
      </c>
      <c r="H40" s="260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  <c r="AG40" s="30"/>
    </row>
    <row r="41" spans="1:33" x14ac:dyDescent="0.25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451</v>
      </c>
      <c r="E41" s="154" t="s">
        <v>480</v>
      </c>
      <c r="F41" s="154" t="s">
        <v>197</v>
      </c>
      <c r="G41" s="154" t="str">
        <f t="shared" si="1"/>
        <v>Bed-Rip/Disk Fold. 8R-36</v>
      </c>
      <c r="H41" s="260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  <c r="AG41" s="30"/>
    </row>
    <row r="42" spans="1:33" x14ac:dyDescent="0.25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451</v>
      </c>
      <c r="E42" s="154" t="s">
        <v>480</v>
      </c>
      <c r="F42" s="154" t="s">
        <v>6</v>
      </c>
      <c r="G42" s="154" t="str">
        <f t="shared" si="1"/>
        <v>Bed-Rip/Disk Fold.12R-30</v>
      </c>
      <c r="H42" s="260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  <c r="AG42" s="30"/>
    </row>
    <row r="43" spans="1:33" x14ac:dyDescent="0.25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451</v>
      </c>
      <c r="E43" s="154" t="s">
        <v>480</v>
      </c>
      <c r="F43" s="154" t="s">
        <v>198</v>
      </c>
      <c r="G43" s="154" t="str">
        <f t="shared" si="1"/>
        <v>Bed-Rip/Disk Fold.12R-36</v>
      </c>
      <c r="H43" s="260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  <c r="AG43" s="30"/>
    </row>
    <row r="44" spans="1:33" x14ac:dyDescent="0.25">
      <c r="A44" s="234">
        <v>607</v>
      </c>
      <c r="B44" s="1" t="str">
        <f t="shared" si="0"/>
        <v>0.4, Bed-Rip/Disk Rigid 4R-30</v>
      </c>
      <c r="C44" s="158">
        <v>0.4</v>
      </c>
      <c r="D44" s="154" t="s">
        <v>451</v>
      </c>
      <c r="E44" s="154" t="s">
        <v>481</v>
      </c>
      <c r="F44" s="154" t="s">
        <v>48</v>
      </c>
      <c r="G44" s="154" t="str">
        <f t="shared" si="1"/>
        <v>Bed-Rip/Disk Rigid 4R-30</v>
      </c>
      <c r="H44" s="260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  <c r="AG44" s="30"/>
    </row>
    <row r="45" spans="1:33" x14ac:dyDescent="0.25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451</v>
      </c>
      <c r="E45" s="154" t="s">
        <v>481</v>
      </c>
      <c r="F45" s="154" t="s">
        <v>199</v>
      </c>
      <c r="G45" s="154" t="str">
        <f t="shared" si="1"/>
        <v>Bed-Rip/Disk Rigid 4R-36</v>
      </c>
      <c r="H45" s="260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  <c r="AG45" s="30"/>
    </row>
    <row r="46" spans="1:33" x14ac:dyDescent="0.25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451</v>
      </c>
      <c r="E46" s="154" t="s">
        <v>481</v>
      </c>
      <c r="F46" s="154" t="s">
        <v>25</v>
      </c>
      <c r="G46" s="154" t="str">
        <f t="shared" si="1"/>
        <v>Bed-Rip/Disk Rigid 8R-30</v>
      </c>
      <c r="H46" s="260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  <c r="AG46" s="30"/>
    </row>
    <row r="47" spans="1:33" x14ac:dyDescent="0.25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451</v>
      </c>
      <c r="E47" s="154" t="s">
        <v>481</v>
      </c>
      <c r="F47" s="154" t="s">
        <v>200</v>
      </c>
      <c r="G47" s="154" t="str">
        <f t="shared" si="1"/>
        <v>Bed-Rip/Disk Rigid 6R-36</v>
      </c>
      <c r="H47" s="260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  <c r="AG47" s="30"/>
    </row>
    <row r="48" spans="1:33" x14ac:dyDescent="0.25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451</v>
      </c>
      <c r="E48" s="154" t="s">
        <v>481</v>
      </c>
      <c r="F48" s="154" t="s">
        <v>197</v>
      </c>
      <c r="G48" s="154" t="str">
        <f t="shared" si="1"/>
        <v>Bed-Rip/Disk Rigid 8R-36</v>
      </c>
      <c r="H48" s="260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  <c r="AG48" s="30"/>
    </row>
    <row r="49" spans="1:35" x14ac:dyDescent="0.25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451</v>
      </c>
      <c r="E49" s="154" t="s">
        <v>482</v>
      </c>
      <c r="F49" s="154" t="s">
        <v>47</v>
      </c>
      <c r="G49" s="154" t="str">
        <f t="shared" si="1"/>
        <v>Bed-Rip/Disk Rigid 6R-30</v>
      </c>
      <c r="H49" s="260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  <c r="AG49" s="30"/>
    </row>
    <row r="50" spans="1:35" x14ac:dyDescent="0.25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451</v>
      </c>
      <c r="E50" s="154" t="s">
        <v>483</v>
      </c>
      <c r="F50" s="154" t="s">
        <v>46</v>
      </c>
      <c r="G50" s="154" t="str">
        <f t="shared" si="1"/>
        <v>Bed-Rip/Disk/Cond. 6-Row</v>
      </c>
      <c r="H50" s="260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  <c r="AG50" s="30"/>
    </row>
    <row r="51" spans="1:35" x14ac:dyDescent="0.25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451</v>
      </c>
      <c r="E51" s="154" t="s">
        <v>483</v>
      </c>
      <c r="F51" s="154" t="s">
        <v>45</v>
      </c>
      <c r="G51" s="154" t="str">
        <f t="shared" si="1"/>
        <v>Bed-Rip/Disk/Cond. 8-Row</v>
      </c>
      <c r="H51" s="260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  <c r="AG51" s="30"/>
    </row>
    <row r="52" spans="1:35" x14ac:dyDescent="0.25">
      <c r="A52" s="234">
        <v>510</v>
      </c>
      <c r="B52" s="1" t="str">
        <f t="shared" si="0"/>
        <v>0.48, Bed-Roll-Fold. 8R-36</v>
      </c>
      <c r="C52" s="158">
        <v>0.48</v>
      </c>
      <c r="D52" s="154" t="s">
        <v>451</v>
      </c>
      <c r="E52" s="154" t="s">
        <v>484</v>
      </c>
      <c r="F52" s="154" t="s">
        <v>197</v>
      </c>
      <c r="G52" s="154" t="str">
        <f t="shared" si="1"/>
        <v>Bed-Roll-Fold. 8R-36</v>
      </c>
      <c r="H52" s="257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  <c r="AG52" s="30"/>
    </row>
    <row r="53" spans="1:35" x14ac:dyDescent="0.25">
      <c r="A53" s="234">
        <v>512</v>
      </c>
      <c r="B53" s="1" t="str">
        <f t="shared" si="0"/>
        <v>0.49, Bed-Roll-Fold. 12R-30</v>
      </c>
      <c r="C53" s="158">
        <v>0.49</v>
      </c>
      <c r="D53" s="154" t="s">
        <v>451</v>
      </c>
      <c r="E53" s="154" t="s">
        <v>485</v>
      </c>
      <c r="F53" s="154" t="s">
        <v>6</v>
      </c>
      <c r="G53" s="154" t="str">
        <f t="shared" si="1"/>
        <v>Bed-Roll-Fold. 12R-30</v>
      </c>
      <c r="H53" s="257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  <c r="AG53" s="30"/>
    </row>
    <row r="54" spans="1:35" x14ac:dyDescent="0.25">
      <c r="A54" s="234">
        <v>513</v>
      </c>
      <c r="B54" s="1" t="str">
        <f t="shared" si="0"/>
        <v>0.5, Bed-Roll-Fold. 12R-36</v>
      </c>
      <c r="C54" s="158">
        <v>0.5</v>
      </c>
      <c r="D54" s="154" t="s">
        <v>451</v>
      </c>
      <c r="E54" s="154" t="s">
        <v>485</v>
      </c>
      <c r="F54" s="154" t="s">
        <v>198</v>
      </c>
      <c r="G54" s="154" t="str">
        <f t="shared" si="1"/>
        <v>Bed-Roll-Fold. 12R-36</v>
      </c>
      <c r="H54" s="257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  <c r="AG54" s="30"/>
    </row>
    <row r="55" spans="1:35" x14ac:dyDescent="0.25">
      <c r="A55" s="234">
        <v>514</v>
      </c>
      <c r="B55" s="1" t="str">
        <f t="shared" si="0"/>
        <v>0.51, Bed-Roll-Fold. 16R-30</v>
      </c>
      <c r="C55" s="158">
        <v>0.51</v>
      </c>
      <c r="D55" s="154" t="s">
        <v>451</v>
      </c>
      <c r="E55" s="154" t="s">
        <v>485</v>
      </c>
      <c r="F55" s="154" t="s">
        <v>59</v>
      </c>
      <c r="G55" s="154" t="str">
        <f t="shared" si="1"/>
        <v>Bed-Roll-Fold. 16R-30</v>
      </c>
      <c r="H55" s="257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  <c r="AG55" s="30"/>
    </row>
    <row r="56" spans="1:35" x14ac:dyDescent="0.25">
      <c r="A56" s="234">
        <v>511</v>
      </c>
      <c r="B56" s="1" t="str">
        <f t="shared" si="0"/>
        <v>0.52, Bed-Roll-Rigid  8R-36</v>
      </c>
      <c r="C56" s="158">
        <v>0.52</v>
      </c>
      <c r="D56" s="154" t="s">
        <v>451</v>
      </c>
      <c r="E56" s="154" t="s">
        <v>486</v>
      </c>
      <c r="F56" s="154" t="s">
        <v>197</v>
      </c>
      <c r="G56" s="154" t="str">
        <f t="shared" si="1"/>
        <v>Bed-Roll-Rigid  8R-36</v>
      </c>
      <c r="H56" s="257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  <c r="AG56" s="30"/>
    </row>
    <row r="57" spans="1:35" x14ac:dyDescent="0.25">
      <c r="A57" s="234">
        <v>418</v>
      </c>
      <c r="B57" s="1" t="str">
        <f t="shared" si="0"/>
        <v>0.53, Blade-Box  6'-7'</v>
      </c>
      <c r="C57" s="158">
        <v>0.53</v>
      </c>
      <c r="D57" s="154" t="s">
        <v>451</v>
      </c>
      <c r="E57" s="154" t="s">
        <v>265</v>
      </c>
      <c r="F57" s="154" t="s">
        <v>97</v>
      </c>
      <c r="G57" s="15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  <c r="AG57" s="30"/>
    </row>
    <row r="58" spans="1:35" x14ac:dyDescent="0.25">
      <c r="A58" s="234">
        <v>473</v>
      </c>
      <c r="B58" s="1" t="str">
        <f t="shared" si="0"/>
        <v>0.54, Blade-Box  8'-10'</v>
      </c>
      <c r="C58" s="158">
        <v>0.54</v>
      </c>
      <c r="D58" s="154" t="s">
        <v>451</v>
      </c>
      <c r="E58" s="154" t="s">
        <v>265</v>
      </c>
      <c r="F58" s="154" t="s">
        <v>96</v>
      </c>
      <c r="G58" s="15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  <c r="AG58" s="30"/>
    </row>
    <row r="59" spans="1:35" x14ac:dyDescent="0.25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451</v>
      </c>
      <c r="E59" s="154" t="s">
        <v>265</v>
      </c>
      <c r="F59" s="154" t="s">
        <v>95</v>
      </c>
      <c r="G59" s="15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  <c r="AG59" s="30"/>
    </row>
    <row r="60" spans="1:35" x14ac:dyDescent="0.25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451</v>
      </c>
      <c r="E60" s="154" t="s">
        <v>266</v>
      </c>
      <c r="F60" s="154" t="s">
        <v>97</v>
      </c>
      <c r="G60" s="15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  <c r="AG60" s="30"/>
    </row>
    <row r="61" spans="1:35" x14ac:dyDescent="0.25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451</v>
      </c>
      <c r="E61" s="154" t="s">
        <v>266</v>
      </c>
      <c r="F61" s="154" t="s">
        <v>96</v>
      </c>
      <c r="G61" s="15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  <c r="AG61" s="30"/>
    </row>
    <row r="62" spans="1:35" x14ac:dyDescent="0.25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451</v>
      </c>
      <c r="E62" s="154" t="s">
        <v>266</v>
      </c>
      <c r="F62" s="154" t="s">
        <v>95</v>
      </c>
      <c r="G62" s="154" t="str">
        <f t="shared" si="1"/>
        <v>Blade-Scraper 12'-16'</v>
      </c>
      <c r="H62" s="261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  <c r="AG62" s="30"/>
    </row>
    <row r="63" spans="1:35" x14ac:dyDescent="0.25">
      <c r="A63" s="234">
        <v>5</v>
      </c>
      <c r="B63" s="1" t="str">
        <f t="shared" si="0"/>
        <v>0.59, Chisel Plow-Folding 16'</v>
      </c>
      <c r="C63" s="158">
        <v>0.59</v>
      </c>
      <c r="D63" s="154" t="s">
        <v>451</v>
      </c>
      <c r="E63" s="159" t="s">
        <v>267</v>
      </c>
      <c r="F63" s="159" t="s">
        <v>83</v>
      </c>
      <c r="G63" s="15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30"/>
      <c r="AH63" s="13"/>
      <c r="AI63" s="13"/>
    </row>
    <row r="64" spans="1:35" x14ac:dyDescent="0.25">
      <c r="A64" s="234">
        <v>408</v>
      </c>
      <c r="B64" s="1" t="str">
        <f t="shared" si="0"/>
        <v>0.6, Chisel Plow-Folding 24'</v>
      </c>
      <c r="C64" s="158">
        <v>0.6</v>
      </c>
      <c r="D64" s="154" t="s">
        <v>451</v>
      </c>
      <c r="E64" s="154" t="s">
        <v>267</v>
      </c>
      <c r="F64" s="154" t="s">
        <v>65</v>
      </c>
      <c r="G64" s="15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  <c r="AG64" s="30"/>
    </row>
    <row r="65" spans="1:33" x14ac:dyDescent="0.25">
      <c r="A65" s="234">
        <v>7</v>
      </c>
      <c r="B65" s="1" t="str">
        <f t="shared" si="0"/>
        <v>0.61, Chisel Plow-Folding 32'</v>
      </c>
      <c r="C65" s="158">
        <v>0.61</v>
      </c>
      <c r="D65" s="154" t="s">
        <v>451</v>
      </c>
      <c r="E65" s="154" t="s">
        <v>267</v>
      </c>
      <c r="F65" s="154" t="s">
        <v>43</v>
      </c>
      <c r="G65" s="15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  <c r="AG65" s="30"/>
    </row>
    <row r="66" spans="1:33" x14ac:dyDescent="0.25">
      <c r="A66" s="234">
        <v>230</v>
      </c>
      <c r="B66" s="1" t="str">
        <f t="shared" si="0"/>
        <v>0.62, Chisel Plow-Folding 42'</v>
      </c>
      <c r="C66" s="158">
        <v>0.62</v>
      </c>
      <c r="D66" s="154" t="s">
        <v>451</v>
      </c>
      <c r="E66" s="154" t="s">
        <v>267</v>
      </c>
      <c r="F66" s="154" t="s">
        <v>89</v>
      </c>
      <c r="G66" s="15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  <c r="AG66" s="30"/>
    </row>
    <row r="67" spans="1:33" x14ac:dyDescent="0.25">
      <c r="A67" s="234">
        <v>651</v>
      </c>
      <c r="B67" s="1" t="str">
        <f t="shared" si="0"/>
        <v>0.63, Chisel Plow-Folding 50'</v>
      </c>
      <c r="C67" s="158">
        <v>0.63</v>
      </c>
      <c r="D67" s="154" t="s">
        <v>451</v>
      </c>
      <c r="E67" s="154" t="s">
        <v>267</v>
      </c>
      <c r="F67" s="154" t="s">
        <v>15</v>
      </c>
      <c r="G67" s="15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  <c r="AG67" s="30"/>
    </row>
    <row r="68" spans="1:33" x14ac:dyDescent="0.25">
      <c r="A68" s="234">
        <v>702</v>
      </c>
      <c r="B68" s="1" t="str">
        <f t="shared" si="0"/>
        <v>0.64, Chisel Plow-Folding 61'</v>
      </c>
      <c r="C68" s="158">
        <v>0.64</v>
      </c>
      <c r="D68" s="154" t="s">
        <v>451</v>
      </c>
      <c r="E68" s="154" t="s">
        <v>267</v>
      </c>
      <c r="F68" s="154" t="s">
        <v>93</v>
      </c>
      <c r="G68" s="15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  <c r="AG68" s="30"/>
    </row>
    <row r="69" spans="1:33" x14ac:dyDescent="0.25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451</v>
      </c>
      <c r="E69" s="154" t="s">
        <v>268</v>
      </c>
      <c r="F69" s="154" t="s">
        <v>66</v>
      </c>
      <c r="G69" s="15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  <c r="AG69" s="30"/>
    </row>
    <row r="70" spans="1:33" x14ac:dyDescent="0.25">
      <c r="A70" s="234">
        <v>4</v>
      </c>
      <c r="B70" s="1" t="str">
        <f t="shared" si="15"/>
        <v>0.66, Chisel Plow-Rigid 15'</v>
      </c>
      <c r="C70" s="158">
        <v>0.66</v>
      </c>
      <c r="D70" s="154" t="s">
        <v>451</v>
      </c>
      <c r="E70" s="154" t="s">
        <v>268</v>
      </c>
      <c r="F70" s="154" t="s">
        <v>10</v>
      </c>
      <c r="G70" s="15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  <c r="AG70" s="30"/>
    </row>
    <row r="71" spans="1:33" x14ac:dyDescent="0.25">
      <c r="A71" s="234">
        <v>701</v>
      </c>
      <c r="B71" s="1" t="str">
        <f t="shared" si="15"/>
        <v>0.67, Chisel Plow-Rigid 20'</v>
      </c>
      <c r="C71" s="158">
        <v>0.67</v>
      </c>
      <c r="D71" s="154" t="s">
        <v>451</v>
      </c>
      <c r="E71" s="154" t="s">
        <v>268</v>
      </c>
      <c r="F71" s="154" t="s">
        <v>8</v>
      </c>
      <c r="G71" s="15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  <c r="AG71" s="30"/>
    </row>
    <row r="72" spans="1:33" x14ac:dyDescent="0.25">
      <c r="A72" s="234">
        <v>6</v>
      </c>
      <c r="B72" s="1" t="str">
        <f t="shared" si="15"/>
        <v>0.68, Chisel Plow-Rigid 24'</v>
      </c>
      <c r="C72" s="158">
        <v>0.68</v>
      </c>
      <c r="D72" s="154" t="s">
        <v>451</v>
      </c>
      <c r="E72" s="154" t="s">
        <v>268</v>
      </c>
      <c r="F72" s="154" t="s">
        <v>65</v>
      </c>
      <c r="G72" s="15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  <c r="AG72" s="30"/>
    </row>
    <row r="73" spans="1:33" x14ac:dyDescent="0.25">
      <c r="A73" s="234">
        <v>294</v>
      </c>
      <c r="B73" s="1" t="str">
        <f t="shared" si="15"/>
        <v>0.69, Chisel-Harrow 21 shank</v>
      </c>
      <c r="C73" s="158">
        <v>0.69</v>
      </c>
      <c r="D73" s="154" t="s">
        <v>451</v>
      </c>
      <c r="E73" s="154" t="s">
        <v>269</v>
      </c>
      <c r="F73" s="154" t="s">
        <v>92</v>
      </c>
      <c r="G73" s="15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  <c r="AG73" s="30"/>
    </row>
    <row r="74" spans="1:33" x14ac:dyDescent="0.25">
      <c r="A74" s="234">
        <v>293</v>
      </c>
      <c r="B74" s="1" t="str">
        <f t="shared" si="15"/>
        <v>0.7, Chisel-Harrow 27 shank</v>
      </c>
      <c r="C74" s="158">
        <v>0.7</v>
      </c>
      <c r="D74" s="154" t="s">
        <v>451</v>
      </c>
      <c r="E74" s="154" t="s">
        <v>269</v>
      </c>
      <c r="F74" s="154" t="s">
        <v>91</v>
      </c>
      <c r="G74" s="15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  <c r="AG74" s="30"/>
    </row>
    <row r="75" spans="1:33" x14ac:dyDescent="0.25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451</v>
      </c>
      <c r="E75" s="154" t="s">
        <v>270</v>
      </c>
      <c r="F75" s="154" t="s">
        <v>92</v>
      </c>
      <c r="G75" s="15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  <c r="AG75" s="30"/>
    </row>
    <row r="76" spans="1:33" x14ac:dyDescent="0.25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451</v>
      </c>
      <c r="E76" s="154" t="s">
        <v>270</v>
      </c>
      <c r="F76" s="154" t="s">
        <v>91</v>
      </c>
      <c r="G76" s="15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  <c r="AG76" s="30"/>
    </row>
    <row r="77" spans="1:33" x14ac:dyDescent="0.25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451</v>
      </c>
      <c r="E77" s="154" t="s">
        <v>490</v>
      </c>
      <c r="F77" s="154" t="s">
        <v>25</v>
      </c>
      <c r="G77" s="15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  <c r="AG77" s="30"/>
    </row>
    <row r="78" spans="1:33" x14ac:dyDescent="0.25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451</v>
      </c>
      <c r="E78" s="154" t="s">
        <v>492</v>
      </c>
      <c r="F78" s="154" t="s">
        <v>6</v>
      </c>
      <c r="G78" s="15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  <c r="AG78" s="30"/>
    </row>
    <row r="79" spans="1:33" x14ac:dyDescent="0.25">
      <c r="A79" s="234">
        <v>579</v>
      </c>
      <c r="B79" s="1" t="str">
        <f t="shared" si="15"/>
        <v>0.75, Cultivate  4R-30</v>
      </c>
      <c r="C79" s="158">
        <v>0.75</v>
      </c>
      <c r="D79" s="154" t="s">
        <v>451</v>
      </c>
      <c r="E79" s="154" t="s">
        <v>271</v>
      </c>
      <c r="F79" s="154" t="s">
        <v>48</v>
      </c>
      <c r="G79" s="15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  <c r="AG79" s="30"/>
    </row>
    <row r="80" spans="1:33" x14ac:dyDescent="0.25">
      <c r="A80" s="234">
        <v>31</v>
      </c>
      <c r="B80" s="1" t="str">
        <f t="shared" si="15"/>
        <v>0.76, Cultivate  4R-36</v>
      </c>
      <c r="C80" s="158">
        <v>0.76</v>
      </c>
      <c r="D80" s="154" t="s">
        <v>451</v>
      </c>
      <c r="E80" s="154" t="s">
        <v>271</v>
      </c>
      <c r="F80" s="154" t="s">
        <v>199</v>
      </c>
      <c r="G80" s="15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  <c r="AG80" s="30"/>
    </row>
    <row r="81" spans="1:33" x14ac:dyDescent="0.25">
      <c r="A81" s="234">
        <v>32</v>
      </c>
      <c r="B81" s="1" t="str">
        <f t="shared" si="15"/>
        <v>0.77, Cultivate  6R-30</v>
      </c>
      <c r="C81" s="158">
        <v>0.77</v>
      </c>
      <c r="D81" s="154" t="s">
        <v>451</v>
      </c>
      <c r="E81" s="154" t="s">
        <v>271</v>
      </c>
      <c r="F81" s="154" t="s">
        <v>53</v>
      </c>
      <c r="G81" s="15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  <c r="AG81" s="30"/>
    </row>
    <row r="82" spans="1:33" x14ac:dyDescent="0.25">
      <c r="A82" s="234">
        <v>33</v>
      </c>
      <c r="B82" s="1" t="str">
        <f t="shared" si="15"/>
        <v>0.78, Cultivate  6R-36</v>
      </c>
      <c r="C82" s="158">
        <v>0.78</v>
      </c>
      <c r="D82" s="154" t="s">
        <v>451</v>
      </c>
      <c r="E82" s="154" t="s">
        <v>271</v>
      </c>
      <c r="F82" s="154" t="s">
        <v>200</v>
      </c>
      <c r="G82" s="15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  <c r="AG82" s="30"/>
    </row>
    <row r="83" spans="1:33" x14ac:dyDescent="0.25">
      <c r="A83" s="234">
        <v>34</v>
      </c>
      <c r="B83" s="1" t="str">
        <f t="shared" si="15"/>
        <v>0.79, Cultivate  8R-30</v>
      </c>
      <c r="C83" s="158">
        <v>0.79</v>
      </c>
      <c r="D83" s="154" t="s">
        <v>451</v>
      </c>
      <c r="E83" s="154" t="s">
        <v>271</v>
      </c>
      <c r="F83" s="154" t="s">
        <v>25</v>
      </c>
      <c r="G83" s="15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  <c r="AG83" s="30"/>
    </row>
    <row r="84" spans="1:33" x14ac:dyDescent="0.25">
      <c r="A84" s="234">
        <v>35</v>
      </c>
      <c r="B84" s="1" t="str">
        <f t="shared" si="15"/>
        <v>0.8, Cultivate  8R-36</v>
      </c>
      <c r="C84" s="158">
        <v>0.8</v>
      </c>
      <c r="D84" s="154" t="s">
        <v>451</v>
      </c>
      <c r="E84" s="154" t="s">
        <v>271</v>
      </c>
      <c r="F84" s="154" t="s">
        <v>197</v>
      </c>
      <c r="G84" s="15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  <c r="AG84" s="30"/>
    </row>
    <row r="85" spans="1:33" x14ac:dyDescent="0.25">
      <c r="A85" s="234">
        <v>36</v>
      </c>
      <c r="B85" s="1" t="str">
        <f t="shared" si="15"/>
        <v>0.81, Cultivate 10R-30</v>
      </c>
      <c r="C85" s="158">
        <v>0.81</v>
      </c>
      <c r="D85" s="154" t="s">
        <v>451</v>
      </c>
      <c r="E85" s="154" t="s">
        <v>271</v>
      </c>
      <c r="F85" s="154" t="s">
        <v>24</v>
      </c>
      <c r="G85" s="15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  <c r="AG85" s="30"/>
    </row>
    <row r="86" spans="1:33" x14ac:dyDescent="0.25">
      <c r="A86" s="234">
        <v>508</v>
      </c>
      <c r="B86" s="1" t="str">
        <f t="shared" si="15"/>
        <v>0.82, Cultivate 12R-30</v>
      </c>
      <c r="C86" s="158">
        <v>0.82</v>
      </c>
      <c r="D86" s="154" t="s">
        <v>451</v>
      </c>
      <c r="E86" s="154" t="s">
        <v>271</v>
      </c>
      <c r="F86" s="154" t="s">
        <v>6</v>
      </c>
      <c r="G86" s="15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  <c r="AG86" s="30"/>
    </row>
    <row r="87" spans="1:33" x14ac:dyDescent="0.25">
      <c r="A87" s="234">
        <v>235</v>
      </c>
      <c r="B87" s="1" t="str">
        <f t="shared" si="15"/>
        <v>0.83, Cultivate  8R-36 2x1</v>
      </c>
      <c r="C87" s="158">
        <v>0.83</v>
      </c>
      <c r="D87" s="154" t="s">
        <v>451</v>
      </c>
      <c r="E87" s="154" t="s">
        <v>271</v>
      </c>
      <c r="F87" s="154" t="s">
        <v>201</v>
      </c>
      <c r="G87" s="15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  <c r="AG87" s="30"/>
    </row>
    <row r="88" spans="1:33" x14ac:dyDescent="0.25">
      <c r="A88" s="234">
        <v>236</v>
      </c>
      <c r="B88" s="1" t="str">
        <f t="shared" si="15"/>
        <v>0.84, Cultivate 12R-36</v>
      </c>
      <c r="C88" s="158">
        <v>0.84</v>
      </c>
      <c r="D88" s="154" t="s">
        <v>451</v>
      </c>
      <c r="E88" s="154" t="s">
        <v>271</v>
      </c>
      <c r="F88" s="154" t="s">
        <v>198</v>
      </c>
      <c r="G88" s="15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  <c r="AG88" s="30"/>
    </row>
    <row r="89" spans="1:33" x14ac:dyDescent="0.25">
      <c r="A89" s="234">
        <v>580</v>
      </c>
      <c r="B89" s="1" t="str">
        <f t="shared" si="15"/>
        <v>0.85, Cultivate 16R-30</v>
      </c>
      <c r="C89" s="158">
        <v>0.85</v>
      </c>
      <c r="D89" s="154" t="s">
        <v>451</v>
      </c>
      <c r="E89" s="154" t="s">
        <v>271</v>
      </c>
      <c r="F89" s="154" t="s">
        <v>59</v>
      </c>
      <c r="G89" s="15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  <c r="AG89" s="30"/>
    </row>
    <row r="90" spans="1:33" x14ac:dyDescent="0.25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451</v>
      </c>
      <c r="E90" s="154" t="s">
        <v>272</v>
      </c>
      <c r="F90" s="154" t="s">
        <v>48</v>
      </c>
      <c r="G90" s="15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  <c r="AG90" s="30"/>
    </row>
    <row r="91" spans="1:33" x14ac:dyDescent="0.25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451</v>
      </c>
      <c r="E91" s="154" t="s">
        <v>272</v>
      </c>
      <c r="F91" s="154" t="s">
        <v>199</v>
      </c>
      <c r="G91" s="15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  <c r="AG91" s="30"/>
    </row>
    <row r="92" spans="1:33" x14ac:dyDescent="0.25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451</v>
      </c>
      <c r="E92" s="154" t="s">
        <v>272</v>
      </c>
      <c r="F92" s="154" t="s">
        <v>53</v>
      </c>
      <c r="G92" s="15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  <c r="AG92" s="30"/>
    </row>
    <row r="93" spans="1:33" x14ac:dyDescent="0.25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451</v>
      </c>
      <c r="E93" s="154" t="s">
        <v>272</v>
      </c>
      <c r="F93" s="154" t="s">
        <v>200</v>
      </c>
      <c r="G93" s="15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  <c r="AG93" s="30"/>
    </row>
    <row r="94" spans="1:33" x14ac:dyDescent="0.25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451</v>
      </c>
      <c r="E94" s="154" t="s">
        <v>272</v>
      </c>
      <c r="F94" s="154" t="s">
        <v>25</v>
      </c>
      <c r="G94" s="15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  <c r="AG94" s="30"/>
    </row>
    <row r="95" spans="1:33" x14ac:dyDescent="0.25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451</v>
      </c>
      <c r="E95" s="154" t="s">
        <v>272</v>
      </c>
      <c r="F95" s="154" t="s">
        <v>197</v>
      </c>
      <c r="G95" s="15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  <c r="AG95" s="30"/>
    </row>
    <row r="96" spans="1:33" x14ac:dyDescent="0.25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451</v>
      </c>
      <c r="E96" s="154" t="s">
        <v>272</v>
      </c>
      <c r="F96" s="154" t="s">
        <v>24</v>
      </c>
      <c r="G96" s="15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  <c r="AG96" s="30"/>
    </row>
    <row r="97" spans="1:33" x14ac:dyDescent="0.25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451</v>
      </c>
      <c r="E97" s="154" t="s">
        <v>272</v>
      </c>
      <c r="F97" s="154" t="s">
        <v>6</v>
      </c>
      <c r="G97" s="15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  <c r="AG97" s="30"/>
    </row>
    <row r="98" spans="1:33" x14ac:dyDescent="0.25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451</v>
      </c>
      <c r="E98" s="154" t="s">
        <v>272</v>
      </c>
      <c r="F98" s="154" t="s">
        <v>201</v>
      </c>
      <c r="G98" s="15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  <c r="AG98" s="30"/>
    </row>
    <row r="99" spans="1:33" x14ac:dyDescent="0.25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451</v>
      </c>
      <c r="E99" s="154" t="s">
        <v>272</v>
      </c>
      <c r="F99" s="154" t="s">
        <v>198</v>
      </c>
      <c r="G99" s="15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  <c r="AG99" s="30"/>
    </row>
    <row r="100" spans="1:33" x14ac:dyDescent="0.25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451</v>
      </c>
      <c r="E100" s="154" t="s">
        <v>272</v>
      </c>
      <c r="F100" s="154" t="s">
        <v>59</v>
      </c>
      <c r="G100" s="15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  <c r="AG100" s="30"/>
    </row>
    <row r="101" spans="1:33" x14ac:dyDescent="0.25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451</v>
      </c>
      <c r="E101" s="154" t="s">
        <v>491</v>
      </c>
      <c r="F101" s="154" t="s">
        <v>25</v>
      </c>
      <c r="G101" s="15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  <c r="AG101" s="30"/>
    </row>
    <row r="102" spans="1:33" x14ac:dyDescent="0.25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451</v>
      </c>
      <c r="E102" s="154" t="s">
        <v>493</v>
      </c>
      <c r="F102" s="154" t="s">
        <v>6</v>
      </c>
      <c r="G102" s="15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  <c r="AG102" s="30"/>
    </row>
    <row r="103" spans="1:33" x14ac:dyDescent="0.25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451</v>
      </c>
      <c r="E103" s="154" t="s">
        <v>273</v>
      </c>
      <c r="F103" s="154" t="s">
        <v>12</v>
      </c>
      <c r="G103" s="15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  <c r="AG103" s="30"/>
    </row>
    <row r="104" spans="1:33" x14ac:dyDescent="0.25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451</v>
      </c>
      <c r="E104" s="154" t="s">
        <v>273</v>
      </c>
      <c r="F104" s="154" t="s">
        <v>8</v>
      </c>
      <c r="G104" s="15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  <c r="AG104" s="30"/>
    </row>
    <row r="105" spans="1:33" x14ac:dyDescent="0.25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451</v>
      </c>
      <c r="E105" s="154" t="s">
        <v>273</v>
      </c>
      <c r="F105" s="154" t="s">
        <v>65</v>
      </c>
      <c r="G105" s="15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  <c r="AG105" s="30"/>
    </row>
    <row r="106" spans="1:33" x14ac:dyDescent="0.25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451</v>
      </c>
      <c r="E106" s="154" t="s">
        <v>273</v>
      </c>
      <c r="F106" s="154" t="s">
        <v>90</v>
      </c>
      <c r="G106" s="15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  <c r="AG106" s="30"/>
    </row>
    <row r="107" spans="1:33" x14ac:dyDescent="0.25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451</v>
      </c>
      <c r="E107" s="154" t="s">
        <v>273</v>
      </c>
      <c r="F107" s="154" t="s">
        <v>43</v>
      </c>
      <c r="G107" s="15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  <c r="AG107" s="30"/>
    </row>
    <row r="108" spans="1:33" x14ac:dyDescent="0.25">
      <c r="A108" s="234">
        <v>72</v>
      </c>
      <c r="B108" s="1" t="str">
        <f t="shared" si="15"/>
        <v>1.04, Disk Harrow 14'</v>
      </c>
      <c r="C108" s="158">
        <v>1.04</v>
      </c>
      <c r="D108" s="154" t="s">
        <v>451</v>
      </c>
      <c r="E108" s="154" t="s">
        <v>274</v>
      </c>
      <c r="F108" s="154" t="s">
        <v>12</v>
      </c>
      <c r="G108" s="15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  <c r="AG108" s="30"/>
    </row>
    <row r="109" spans="1:33" x14ac:dyDescent="0.25">
      <c r="A109" s="234">
        <v>743</v>
      </c>
      <c r="B109" s="1" t="str">
        <f t="shared" si="15"/>
        <v>1.05, Disk Harrow 20'</v>
      </c>
      <c r="C109" s="158">
        <v>1.05</v>
      </c>
      <c r="D109" s="154" t="s">
        <v>451</v>
      </c>
      <c r="E109" s="154" t="s">
        <v>274</v>
      </c>
      <c r="F109" s="154" t="s">
        <v>8</v>
      </c>
      <c r="G109" s="15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  <c r="AG109" s="30"/>
    </row>
    <row r="110" spans="1:33" x14ac:dyDescent="0.25">
      <c r="A110" s="234">
        <v>73</v>
      </c>
      <c r="B110" s="1" t="str">
        <f t="shared" si="15"/>
        <v>1.06, Disk Harrow 24'</v>
      </c>
      <c r="C110" s="158">
        <v>1.06</v>
      </c>
      <c r="D110" s="154" t="s">
        <v>451</v>
      </c>
      <c r="E110" s="154" t="s">
        <v>274</v>
      </c>
      <c r="F110" s="154" t="s">
        <v>65</v>
      </c>
      <c r="G110" s="15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  <c r="AG110" s="30"/>
    </row>
    <row r="111" spans="1:33" x14ac:dyDescent="0.25">
      <c r="A111" s="234">
        <v>291</v>
      </c>
      <c r="B111" s="1" t="str">
        <f t="shared" si="15"/>
        <v>1.07, Disk Harrow 28'</v>
      </c>
      <c r="C111" s="158">
        <v>1.07</v>
      </c>
      <c r="D111" s="154" t="s">
        <v>451</v>
      </c>
      <c r="E111" s="154" t="s">
        <v>274</v>
      </c>
      <c r="F111" s="154" t="s">
        <v>90</v>
      </c>
      <c r="G111" s="15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  <c r="AG111" s="30"/>
    </row>
    <row r="112" spans="1:33" x14ac:dyDescent="0.25">
      <c r="A112" s="234">
        <v>74</v>
      </c>
      <c r="B112" s="1" t="str">
        <f t="shared" si="15"/>
        <v>1.08, Disk Harrow 32'</v>
      </c>
      <c r="C112" s="158">
        <v>1.08</v>
      </c>
      <c r="D112" s="154" t="s">
        <v>451</v>
      </c>
      <c r="E112" s="154" t="s">
        <v>274</v>
      </c>
      <c r="F112" s="154" t="s">
        <v>43</v>
      </c>
      <c r="G112" s="15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  <c r="AG112" s="30"/>
    </row>
    <row r="113" spans="1:33" x14ac:dyDescent="0.25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451</v>
      </c>
      <c r="E113" s="154" t="s">
        <v>274</v>
      </c>
      <c r="F113" s="154" t="s">
        <v>89</v>
      </c>
      <c r="G113" s="15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  <c r="AG113" s="30"/>
    </row>
    <row r="114" spans="1:33" x14ac:dyDescent="0.25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451</v>
      </c>
      <c r="E114" s="154" t="s">
        <v>275</v>
      </c>
      <c r="F114" s="154" t="s">
        <v>12</v>
      </c>
      <c r="G114" s="15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  <c r="AG114" s="30"/>
    </row>
    <row r="115" spans="1:33" x14ac:dyDescent="0.25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451</v>
      </c>
      <c r="E115" s="154" t="s">
        <v>276</v>
      </c>
      <c r="F115" s="154" t="s">
        <v>10</v>
      </c>
      <c r="G115" s="15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  <c r="AG115" s="30"/>
    </row>
    <row r="116" spans="1:33" x14ac:dyDescent="0.25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451</v>
      </c>
      <c r="E116" s="154" t="s">
        <v>277</v>
      </c>
      <c r="F116" s="154" t="s">
        <v>63</v>
      </c>
      <c r="G116" s="15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  <c r="AG116" s="30"/>
    </row>
    <row r="117" spans="1:33" x14ac:dyDescent="0.25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451</v>
      </c>
      <c r="E117" s="154" t="s">
        <v>278</v>
      </c>
      <c r="F117" s="154" t="s">
        <v>63</v>
      </c>
      <c r="G117" s="15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  <c r="AG117" s="30"/>
    </row>
    <row r="118" spans="1:33" x14ac:dyDescent="0.25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451</v>
      </c>
      <c r="E118" s="154" t="s">
        <v>279</v>
      </c>
      <c r="F118" s="154" t="s">
        <v>199</v>
      </c>
      <c r="G118" s="15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  <c r="AG118" s="30"/>
    </row>
    <row r="119" spans="1:33" x14ac:dyDescent="0.25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451</v>
      </c>
      <c r="E119" s="154" t="s">
        <v>279</v>
      </c>
      <c r="F119" s="154" t="s">
        <v>53</v>
      </c>
      <c r="G119" s="15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  <c r="AG119" s="30"/>
    </row>
    <row r="120" spans="1:33" x14ac:dyDescent="0.25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451</v>
      </c>
      <c r="E120" s="154" t="s">
        <v>279</v>
      </c>
      <c r="F120" s="154" t="s">
        <v>200</v>
      </c>
      <c r="G120" s="15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  <c r="AG120" s="30"/>
    </row>
    <row r="121" spans="1:33" x14ac:dyDescent="0.25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451</v>
      </c>
      <c r="E121" s="154" t="s">
        <v>279</v>
      </c>
      <c r="F121" s="154" t="s">
        <v>25</v>
      </c>
      <c r="G121" s="15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  <c r="AG121" s="30"/>
    </row>
    <row r="122" spans="1:33" x14ac:dyDescent="0.25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451</v>
      </c>
      <c r="E122" s="154" t="s">
        <v>279</v>
      </c>
      <c r="F122" s="154" t="s">
        <v>197</v>
      </c>
      <c r="G122" s="15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  <c r="AG122" s="30"/>
    </row>
    <row r="123" spans="1:33" x14ac:dyDescent="0.25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451</v>
      </c>
      <c r="E123" s="154" t="s">
        <v>279</v>
      </c>
      <c r="F123" s="154" t="s">
        <v>24</v>
      </c>
      <c r="G123" s="15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  <c r="AG123" s="30"/>
    </row>
    <row r="124" spans="1:33" x14ac:dyDescent="0.25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451</v>
      </c>
      <c r="E124" s="154" t="s">
        <v>279</v>
      </c>
      <c r="F124" s="154" t="s">
        <v>6</v>
      </c>
      <c r="G124" s="15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  <c r="AG124" s="30"/>
    </row>
    <row r="125" spans="1:33" x14ac:dyDescent="0.25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451</v>
      </c>
      <c r="E125" s="154" t="s">
        <v>279</v>
      </c>
      <c r="F125" s="154" t="s">
        <v>202</v>
      </c>
      <c r="G125" s="15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  <c r="AG125" s="30"/>
    </row>
    <row r="126" spans="1:33" x14ac:dyDescent="0.25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451</v>
      </c>
      <c r="E126" s="154" t="s">
        <v>279</v>
      </c>
      <c r="F126" s="154" t="s">
        <v>201</v>
      </c>
      <c r="G126" s="15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  <c r="AG126" s="30"/>
    </row>
    <row r="127" spans="1:33" x14ac:dyDescent="0.25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451</v>
      </c>
      <c r="E127" s="154" t="s">
        <v>279</v>
      </c>
      <c r="F127" s="154" t="s">
        <v>198</v>
      </c>
      <c r="G127" s="15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  <c r="AG127" s="30"/>
    </row>
    <row r="128" spans="1:33" x14ac:dyDescent="0.25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451</v>
      </c>
      <c r="E128" s="154" t="s">
        <v>280</v>
      </c>
      <c r="F128" s="154" t="s">
        <v>89</v>
      </c>
      <c r="G128" s="15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  <c r="AG128" s="30"/>
    </row>
    <row r="129" spans="1:33" x14ac:dyDescent="0.25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451</v>
      </c>
      <c r="E129" s="154" t="s">
        <v>280</v>
      </c>
      <c r="F129" s="154" t="s">
        <v>15</v>
      </c>
      <c r="G129" s="15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  <c r="AG129" s="30"/>
    </row>
    <row r="130" spans="1:33" x14ac:dyDescent="0.25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451</v>
      </c>
      <c r="E130" s="154" t="s">
        <v>281</v>
      </c>
      <c r="F130" s="154" t="s">
        <v>65</v>
      </c>
      <c r="G130" s="15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  <c r="AG130" s="30"/>
    </row>
    <row r="131" spans="1:33" x14ac:dyDescent="0.25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451</v>
      </c>
      <c r="E131" s="154" t="s">
        <v>281</v>
      </c>
      <c r="F131" s="154" t="s">
        <v>43</v>
      </c>
      <c r="G131" s="15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  <c r="AG131" s="30"/>
    </row>
    <row r="132" spans="1:33" x14ac:dyDescent="0.25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451</v>
      </c>
      <c r="E132" s="154" t="s">
        <v>282</v>
      </c>
      <c r="F132" s="154" t="s">
        <v>11</v>
      </c>
      <c r="G132" s="15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  <c r="AG132" s="30"/>
    </row>
    <row r="133" spans="1:33" x14ac:dyDescent="0.25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451</v>
      </c>
      <c r="E133" s="154" t="s">
        <v>283</v>
      </c>
      <c r="F133" s="154" t="s">
        <v>65</v>
      </c>
      <c r="G133" s="15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  <c r="AG133" s="30"/>
    </row>
    <row r="134" spans="1:33" x14ac:dyDescent="0.25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451</v>
      </c>
      <c r="E134" s="154" t="s">
        <v>283</v>
      </c>
      <c r="F134" s="154" t="s">
        <v>43</v>
      </c>
      <c r="G134" s="15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  <c r="AG134" s="30"/>
    </row>
    <row r="135" spans="1:33" x14ac:dyDescent="0.25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451</v>
      </c>
      <c r="E135" s="154" t="s">
        <v>283</v>
      </c>
      <c r="F135" s="154" t="s">
        <v>89</v>
      </c>
      <c r="G135" s="15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  <c r="AG135" s="30"/>
    </row>
    <row r="136" spans="1:33" x14ac:dyDescent="0.25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451</v>
      </c>
      <c r="E136" s="154" t="s">
        <v>283</v>
      </c>
      <c r="F136" s="154" t="s">
        <v>15</v>
      </c>
      <c r="G136" s="15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  <c r="AG136" s="30"/>
    </row>
    <row r="137" spans="1:33" x14ac:dyDescent="0.25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451</v>
      </c>
      <c r="E137" s="154" t="s">
        <v>284</v>
      </c>
      <c r="F137" s="154" t="s">
        <v>11</v>
      </c>
      <c r="G137" s="15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  <c r="AG137" s="30"/>
    </row>
    <row r="138" spans="1:33" x14ac:dyDescent="0.25">
      <c r="A138" s="234">
        <v>556</v>
      </c>
      <c r="B138" s="1" t="str">
        <f t="shared" si="30"/>
        <v>1.34, Grain Drill  8'</v>
      </c>
      <c r="C138" s="158">
        <v>1.34</v>
      </c>
      <c r="D138" s="154" t="s">
        <v>451</v>
      </c>
      <c r="E138" s="154" t="s">
        <v>285</v>
      </c>
      <c r="F138" s="154" t="s">
        <v>85</v>
      </c>
      <c r="G138" s="15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  <c r="AG138" s="30"/>
    </row>
    <row r="139" spans="1:33" x14ac:dyDescent="0.25">
      <c r="A139" s="234">
        <v>558</v>
      </c>
      <c r="B139" s="1" t="str">
        <f t="shared" si="30"/>
        <v>1.35, Grain Drill 10'</v>
      </c>
      <c r="C139" s="158">
        <v>1.35</v>
      </c>
      <c r="D139" s="154" t="s">
        <v>451</v>
      </c>
      <c r="E139" s="154" t="s">
        <v>285</v>
      </c>
      <c r="F139" s="154" t="s">
        <v>66</v>
      </c>
      <c r="G139" s="15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  <c r="AG139" s="30"/>
    </row>
    <row r="140" spans="1:33" x14ac:dyDescent="0.25">
      <c r="A140" s="234">
        <v>106</v>
      </c>
      <c r="B140" s="1" t="str">
        <f t="shared" si="30"/>
        <v>1.36, Grain Drill 12'</v>
      </c>
      <c r="C140" s="158">
        <v>1.36</v>
      </c>
      <c r="D140" s="154" t="s">
        <v>451</v>
      </c>
      <c r="E140" s="154" t="s">
        <v>285</v>
      </c>
      <c r="F140" s="154" t="s">
        <v>11</v>
      </c>
      <c r="G140" s="15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  <c r="AG140" s="30"/>
    </row>
    <row r="141" spans="1:33" x14ac:dyDescent="0.25">
      <c r="A141" s="234">
        <v>208</v>
      </c>
      <c r="B141" s="1" t="str">
        <f t="shared" si="30"/>
        <v>1.37, Grain Drill 15'</v>
      </c>
      <c r="C141" s="158">
        <v>1.37</v>
      </c>
      <c r="D141" s="154" t="s">
        <v>451</v>
      </c>
      <c r="E141" s="154" t="s">
        <v>285</v>
      </c>
      <c r="F141" s="154" t="s">
        <v>10</v>
      </c>
      <c r="G141" s="15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  <c r="AG141" s="30"/>
    </row>
    <row r="142" spans="1:33" x14ac:dyDescent="0.25">
      <c r="A142" s="234">
        <v>107</v>
      </c>
      <c r="B142" s="1" t="str">
        <f t="shared" si="30"/>
        <v>1.38, Grain Drill 20'</v>
      </c>
      <c r="C142" s="158">
        <v>1.38</v>
      </c>
      <c r="D142" s="154" t="s">
        <v>451</v>
      </c>
      <c r="E142" s="154" t="s">
        <v>285</v>
      </c>
      <c r="F142" s="154" t="s">
        <v>8</v>
      </c>
      <c r="G142" s="15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  <c r="AG142" s="30"/>
    </row>
    <row r="143" spans="1:33" x14ac:dyDescent="0.25">
      <c r="A143" s="234">
        <v>209</v>
      </c>
      <c r="B143" s="1" t="str">
        <f t="shared" si="30"/>
        <v>1.39, Grain Drill 24'</v>
      </c>
      <c r="C143" s="158">
        <v>1.39</v>
      </c>
      <c r="D143" s="154" t="s">
        <v>451</v>
      </c>
      <c r="E143" s="154" t="s">
        <v>285</v>
      </c>
      <c r="F143" s="154" t="s">
        <v>65</v>
      </c>
      <c r="G143" s="15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  <c r="AG143" s="30"/>
    </row>
    <row r="144" spans="1:33" x14ac:dyDescent="0.25">
      <c r="A144" s="234">
        <v>108</v>
      </c>
      <c r="B144" s="1" t="str">
        <f t="shared" si="30"/>
        <v>1.4, Grain Drill 30'</v>
      </c>
      <c r="C144" s="158">
        <v>1.4</v>
      </c>
      <c r="D144" s="154" t="s">
        <v>451</v>
      </c>
      <c r="E144" s="154" t="s">
        <v>285</v>
      </c>
      <c r="F144" s="154" t="s">
        <v>44</v>
      </c>
      <c r="G144" s="15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  <c r="AG144" s="30"/>
    </row>
    <row r="145" spans="1:33" x14ac:dyDescent="0.25">
      <c r="A145" s="234">
        <v>560</v>
      </c>
      <c r="B145" s="1" t="str">
        <f t="shared" si="30"/>
        <v>1.41, Grain Drill 35'</v>
      </c>
      <c r="C145" s="158">
        <v>1.41</v>
      </c>
      <c r="D145" s="154" t="s">
        <v>451</v>
      </c>
      <c r="E145" s="154" t="s">
        <v>285</v>
      </c>
      <c r="F145" s="154" t="s">
        <v>84</v>
      </c>
      <c r="G145" s="15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  <c r="AG145" s="30"/>
    </row>
    <row r="146" spans="1:33" x14ac:dyDescent="0.25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451</v>
      </c>
      <c r="E146" s="154" t="s">
        <v>286</v>
      </c>
      <c r="F146" s="154" t="s">
        <v>85</v>
      </c>
      <c r="G146" s="15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  <c r="AG146" s="30"/>
    </row>
    <row r="147" spans="1:33" x14ac:dyDescent="0.25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451</v>
      </c>
      <c r="E147" s="154" t="s">
        <v>286</v>
      </c>
      <c r="F147" s="154" t="s">
        <v>66</v>
      </c>
      <c r="G147" s="15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  <c r="AG147" s="30"/>
    </row>
    <row r="148" spans="1:33" x14ac:dyDescent="0.25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451</v>
      </c>
      <c r="E148" s="154" t="s">
        <v>286</v>
      </c>
      <c r="F148" s="154" t="s">
        <v>11</v>
      </c>
      <c r="G148" s="15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  <c r="AG148" s="30"/>
    </row>
    <row r="149" spans="1:33" x14ac:dyDescent="0.25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451</v>
      </c>
      <c r="E149" s="154" t="s">
        <v>286</v>
      </c>
      <c r="F149" s="154" t="s">
        <v>10</v>
      </c>
      <c r="G149" s="15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  <c r="AG149" s="30"/>
    </row>
    <row r="150" spans="1:33" x14ac:dyDescent="0.25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451</v>
      </c>
      <c r="E150" s="154" t="s">
        <v>286</v>
      </c>
      <c r="F150" s="154" t="s">
        <v>8</v>
      </c>
      <c r="G150" s="15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  <c r="AG150" s="30"/>
    </row>
    <row r="151" spans="1:33" x14ac:dyDescent="0.25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451</v>
      </c>
      <c r="E151" s="154" t="s">
        <v>286</v>
      </c>
      <c r="F151" s="154" t="s">
        <v>65</v>
      </c>
      <c r="G151" s="15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  <c r="AG151" s="30"/>
    </row>
    <row r="152" spans="1:33" x14ac:dyDescent="0.25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451</v>
      </c>
      <c r="E152" s="154" t="s">
        <v>286</v>
      </c>
      <c r="F152" s="154" t="s">
        <v>44</v>
      </c>
      <c r="G152" s="15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  <c r="AG152" s="30"/>
    </row>
    <row r="153" spans="1:33" x14ac:dyDescent="0.25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451</v>
      </c>
      <c r="E153" s="154" t="s">
        <v>286</v>
      </c>
      <c r="F153" s="154" t="s">
        <v>84</v>
      </c>
      <c r="G153" s="15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  <c r="AG153" s="30"/>
    </row>
    <row r="154" spans="1:33" x14ac:dyDescent="0.25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451</v>
      </c>
      <c r="E154" s="154" t="s">
        <v>287</v>
      </c>
      <c r="F154" s="154" t="s">
        <v>203</v>
      </c>
      <c r="G154" s="154" t="str">
        <f t="shared" si="31"/>
        <v>Grain Drill &amp; Pre T 8R-36</v>
      </c>
      <c r="H154" s="261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  <c r="AG154" s="30"/>
    </row>
    <row r="155" spans="1:33" x14ac:dyDescent="0.25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451</v>
      </c>
      <c r="E155" s="154" t="s">
        <v>288</v>
      </c>
      <c r="F155" s="154" t="s">
        <v>39</v>
      </c>
      <c r="G155" s="15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  <c r="AG155" s="30"/>
    </row>
    <row r="156" spans="1:33" x14ac:dyDescent="0.25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451</v>
      </c>
      <c r="E156" s="154" t="s">
        <v>289</v>
      </c>
      <c r="F156" s="154" t="s">
        <v>83</v>
      </c>
      <c r="G156" s="15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  <c r="AG156" s="30"/>
    </row>
    <row r="157" spans="1:33" x14ac:dyDescent="0.25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451</v>
      </c>
      <c r="E157" s="154" t="s">
        <v>289</v>
      </c>
      <c r="F157" s="154" t="s">
        <v>65</v>
      </c>
      <c r="G157" s="15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  <c r="AG157" s="30"/>
    </row>
    <row r="158" spans="1:33" x14ac:dyDescent="0.25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451</v>
      </c>
      <c r="E158" s="154" t="s">
        <v>289</v>
      </c>
      <c r="F158" s="154" t="s">
        <v>44</v>
      </c>
      <c r="G158" s="15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  <c r="AG158" s="30"/>
    </row>
    <row r="159" spans="1:33" x14ac:dyDescent="0.25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451</v>
      </c>
      <c r="E159" s="154" t="s">
        <v>289</v>
      </c>
      <c r="F159" s="154" t="s">
        <v>16</v>
      </c>
      <c r="G159" s="15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  <c r="AG159" s="30"/>
    </row>
    <row r="160" spans="1:33" x14ac:dyDescent="0.25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451</v>
      </c>
      <c r="E160" s="154" t="s">
        <v>289</v>
      </c>
      <c r="F160" s="154" t="s">
        <v>82</v>
      </c>
      <c r="G160" s="15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  <c r="AG160" s="30"/>
    </row>
    <row r="161" spans="1:33" x14ac:dyDescent="0.25">
      <c r="A161" s="234">
        <v>185</v>
      </c>
      <c r="B161" s="1" t="str">
        <f t="shared" si="30"/>
        <v>1.57, Harrow - Rigid 13'</v>
      </c>
      <c r="C161" s="158">
        <v>1.57</v>
      </c>
      <c r="D161" s="154" t="s">
        <v>451</v>
      </c>
      <c r="E161" s="154" t="s">
        <v>290</v>
      </c>
      <c r="F161" s="154" t="s">
        <v>40</v>
      </c>
      <c r="G161" s="15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  <c r="AG161" s="30"/>
    </row>
    <row r="162" spans="1:33" x14ac:dyDescent="0.25">
      <c r="A162" s="234"/>
      <c r="B162" s="1" t="str">
        <f t="shared" si="30"/>
        <v>1.58, Heavy Disk 14'</v>
      </c>
      <c r="C162" s="158">
        <v>1.58</v>
      </c>
      <c r="D162" s="154" t="s">
        <v>451</v>
      </c>
      <c r="E162" s="154" t="s">
        <v>435</v>
      </c>
      <c r="F162" s="154" t="s">
        <v>12</v>
      </c>
      <c r="G162" s="15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  <c r="AG162" s="30"/>
    </row>
    <row r="163" spans="1:33" x14ac:dyDescent="0.25">
      <c r="A163" s="234"/>
      <c r="B163" s="1" t="str">
        <f t="shared" si="30"/>
        <v>1.59, Heavy Disk 21'</v>
      </c>
      <c r="C163" s="158">
        <v>1.59</v>
      </c>
      <c r="D163" s="154" t="s">
        <v>451</v>
      </c>
      <c r="E163" s="154" t="s">
        <v>435</v>
      </c>
      <c r="F163" s="154" t="s">
        <v>39</v>
      </c>
      <c r="G163" s="15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  <c r="AG163" s="30"/>
    </row>
    <row r="164" spans="1:33" x14ac:dyDescent="0.25">
      <c r="A164" s="234"/>
      <c r="B164" s="1" t="str">
        <f t="shared" si="30"/>
        <v>1.6, Heavy Disk 27'</v>
      </c>
      <c r="C164" s="158">
        <v>1.6</v>
      </c>
      <c r="D164" s="154" t="s">
        <v>451</v>
      </c>
      <c r="E164" s="154" t="s">
        <v>435</v>
      </c>
      <c r="F164" s="154" t="s">
        <v>17</v>
      </c>
      <c r="G164" s="15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  <c r="AG164" s="30"/>
    </row>
    <row r="165" spans="1:33" x14ac:dyDescent="0.25">
      <c r="A165" s="234">
        <v>113</v>
      </c>
      <c r="B165" s="1" t="str">
        <f t="shared" si="30"/>
        <v>1.61, Land Plane 50'x16'</v>
      </c>
      <c r="C165" s="158">
        <v>1.61</v>
      </c>
      <c r="D165" s="154" t="s">
        <v>451</v>
      </c>
      <c r="E165" s="154" t="s">
        <v>291</v>
      </c>
      <c r="F165" s="154" t="s">
        <v>76</v>
      </c>
      <c r="G165" s="15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  <c r="AG165" s="30"/>
    </row>
    <row r="166" spans="1:33" x14ac:dyDescent="0.25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451</v>
      </c>
      <c r="E166" s="154" t="s">
        <v>292</v>
      </c>
      <c r="F166" s="154" t="s">
        <v>75</v>
      </c>
      <c r="G166" s="15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  <c r="AG166" s="30"/>
    </row>
    <row r="167" spans="1:33" x14ac:dyDescent="0.25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451</v>
      </c>
      <c r="E167" s="154" t="s">
        <v>293</v>
      </c>
      <c r="F167" s="154" t="s">
        <v>74</v>
      </c>
      <c r="G167" s="15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  <c r="AG167" s="30"/>
    </row>
    <row r="168" spans="1:33" x14ac:dyDescent="0.25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451</v>
      </c>
      <c r="E168" s="154" t="s">
        <v>294</v>
      </c>
      <c r="F168" s="154" t="s">
        <v>74</v>
      </c>
      <c r="G168" s="15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  <c r="AG168" s="30"/>
    </row>
    <row r="169" spans="1:33" x14ac:dyDescent="0.25">
      <c r="A169" s="234">
        <v>723</v>
      </c>
      <c r="B169" s="1" t="str">
        <f t="shared" si="30"/>
        <v>1.65, NT Grain Drill  6'</v>
      </c>
      <c r="C169" s="158">
        <v>1.65</v>
      </c>
      <c r="D169" s="154" t="s">
        <v>451</v>
      </c>
      <c r="E169" s="154" t="s">
        <v>295</v>
      </c>
      <c r="F169" s="154" t="s">
        <v>67</v>
      </c>
      <c r="G169" s="15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  <c r="AG169" s="30"/>
    </row>
    <row r="170" spans="1:33" x14ac:dyDescent="0.25">
      <c r="A170" s="234">
        <v>554</v>
      </c>
      <c r="B170" s="1" t="str">
        <f t="shared" si="30"/>
        <v>1.66, NT Grain Drill 10'</v>
      </c>
      <c r="C170" s="158">
        <v>1.66</v>
      </c>
      <c r="D170" s="154" t="s">
        <v>451</v>
      </c>
      <c r="E170" s="154" t="s">
        <v>295</v>
      </c>
      <c r="F170" s="154" t="s">
        <v>66</v>
      </c>
      <c r="G170" s="15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  <c r="AG170" s="30"/>
    </row>
    <row r="171" spans="1:33" x14ac:dyDescent="0.25">
      <c r="A171" s="234">
        <v>127</v>
      </c>
      <c r="B171" s="1" t="str">
        <f t="shared" si="30"/>
        <v>1.67, NT Grain Drill 12'</v>
      </c>
      <c r="C171" s="158">
        <v>1.67</v>
      </c>
      <c r="D171" s="154" t="s">
        <v>451</v>
      </c>
      <c r="E171" s="154" t="s">
        <v>295</v>
      </c>
      <c r="F171" s="154" t="s">
        <v>11</v>
      </c>
      <c r="G171" s="15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  <c r="AG171" s="30"/>
    </row>
    <row r="172" spans="1:33" x14ac:dyDescent="0.25">
      <c r="A172" s="234">
        <v>328</v>
      </c>
      <c r="B172" s="1" t="str">
        <f t="shared" si="30"/>
        <v>1.68, NT Grain Drill 15'</v>
      </c>
      <c r="C172" s="158">
        <v>1.68</v>
      </c>
      <c r="D172" s="154" t="s">
        <v>451</v>
      </c>
      <c r="E172" s="154" t="s">
        <v>295</v>
      </c>
      <c r="F172" s="154" t="s">
        <v>10</v>
      </c>
      <c r="G172" s="15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  <c r="AG172" s="30"/>
    </row>
    <row r="173" spans="1:33" x14ac:dyDescent="0.25">
      <c r="A173" s="234">
        <v>128</v>
      </c>
      <c r="B173" s="1" t="str">
        <f t="shared" si="30"/>
        <v>1.69, NT Grain Drill 20'</v>
      </c>
      <c r="C173" s="158">
        <v>1.69</v>
      </c>
      <c r="D173" s="154" t="s">
        <v>451</v>
      </c>
      <c r="E173" s="154" t="s">
        <v>295</v>
      </c>
      <c r="F173" s="154" t="s">
        <v>8</v>
      </c>
      <c r="G173" s="15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  <c r="AG173" s="30"/>
    </row>
    <row r="174" spans="1:33" x14ac:dyDescent="0.25">
      <c r="A174" s="234">
        <v>329</v>
      </c>
      <c r="B174" s="1" t="str">
        <f t="shared" si="30"/>
        <v>1.7, NT Grain Drill 24'</v>
      </c>
      <c r="C174" s="158">
        <v>1.7</v>
      </c>
      <c r="D174" s="154" t="s">
        <v>451</v>
      </c>
      <c r="E174" s="154" t="s">
        <v>295</v>
      </c>
      <c r="F174" s="154" t="s">
        <v>65</v>
      </c>
      <c r="G174" s="15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  <c r="AG174" s="30"/>
    </row>
    <row r="175" spans="1:33" x14ac:dyDescent="0.25">
      <c r="A175" s="234">
        <v>129</v>
      </c>
      <c r="B175" s="1" t="str">
        <f t="shared" si="30"/>
        <v>1.71, NT Grain Drill 30'</v>
      </c>
      <c r="C175" s="158">
        <v>1.71</v>
      </c>
      <c r="D175" s="154" t="s">
        <v>451</v>
      </c>
      <c r="E175" s="154" t="s">
        <v>295</v>
      </c>
      <c r="F175" s="154" t="s">
        <v>44</v>
      </c>
      <c r="G175" s="15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  <c r="AG175" s="30"/>
    </row>
    <row r="176" spans="1:33" x14ac:dyDescent="0.25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451</v>
      </c>
      <c r="E176" s="154" t="s">
        <v>296</v>
      </c>
      <c r="F176" s="154" t="s">
        <v>67</v>
      </c>
      <c r="G176" s="15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  <c r="AG176" s="30"/>
    </row>
    <row r="177" spans="1:33" x14ac:dyDescent="0.25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451</v>
      </c>
      <c r="E177" s="154" t="s">
        <v>296</v>
      </c>
      <c r="F177" s="154" t="s">
        <v>66</v>
      </c>
      <c r="G177" s="15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  <c r="AG177" s="30"/>
    </row>
    <row r="178" spans="1:33" x14ac:dyDescent="0.25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451</v>
      </c>
      <c r="E178" s="154" t="s">
        <v>296</v>
      </c>
      <c r="F178" s="154" t="s">
        <v>11</v>
      </c>
      <c r="G178" s="15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  <c r="AG178" s="30"/>
    </row>
    <row r="179" spans="1:33" x14ac:dyDescent="0.25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451</v>
      </c>
      <c r="E179" s="154" t="s">
        <v>296</v>
      </c>
      <c r="F179" s="154" t="s">
        <v>10</v>
      </c>
      <c r="G179" s="15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  <c r="AG179" s="30"/>
    </row>
    <row r="180" spans="1:33" x14ac:dyDescent="0.25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451</v>
      </c>
      <c r="E180" s="154" t="s">
        <v>296</v>
      </c>
      <c r="F180" s="154" t="s">
        <v>8</v>
      </c>
      <c r="G180" s="15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  <c r="AG180" s="30"/>
    </row>
    <row r="181" spans="1:33" x14ac:dyDescent="0.25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451</v>
      </c>
      <c r="E181" s="154" t="s">
        <v>296</v>
      </c>
      <c r="F181" s="154" t="s">
        <v>65</v>
      </c>
      <c r="G181" s="15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  <c r="AG181" s="30"/>
    </row>
    <row r="182" spans="1:33" x14ac:dyDescent="0.25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451</v>
      </c>
      <c r="E182" s="154" t="s">
        <v>296</v>
      </c>
      <c r="F182" s="154" t="s">
        <v>44</v>
      </c>
      <c r="G182" s="15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  <c r="AG182" s="30"/>
    </row>
    <row r="183" spans="1:33" x14ac:dyDescent="0.25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451</v>
      </c>
      <c r="E183" s="154" t="s">
        <v>297</v>
      </c>
      <c r="F183" s="154" t="s">
        <v>50</v>
      </c>
      <c r="G183" s="15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  <c r="AG183" s="30"/>
    </row>
    <row r="184" spans="1:33" x14ac:dyDescent="0.25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451</v>
      </c>
      <c r="E184" s="154" t="s">
        <v>297</v>
      </c>
      <c r="F184" s="154" t="s">
        <v>197</v>
      </c>
      <c r="G184" s="15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  <c r="AG184" s="30"/>
    </row>
    <row r="185" spans="1:33" x14ac:dyDescent="0.25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451</v>
      </c>
      <c r="E185" s="154" t="s">
        <v>297</v>
      </c>
      <c r="F185" s="154" t="s">
        <v>62</v>
      </c>
      <c r="G185" s="15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  <c r="AG185" s="30"/>
    </row>
    <row r="186" spans="1:33" x14ac:dyDescent="0.25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451</v>
      </c>
      <c r="E186" s="154" t="s">
        <v>297</v>
      </c>
      <c r="F186" s="154" t="s">
        <v>6</v>
      </c>
      <c r="G186" s="15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  <c r="AG186" s="30"/>
    </row>
    <row r="187" spans="1:33" x14ac:dyDescent="0.25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451</v>
      </c>
      <c r="E187" s="154" t="s">
        <v>297</v>
      </c>
      <c r="F187" s="154" t="s">
        <v>61</v>
      </c>
      <c r="G187" s="15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  <c r="AG187" s="30"/>
    </row>
    <row r="188" spans="1:33" x14ac:dyDescent="0.25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451</v>
      </c>
      <c r="E188" s="154" t="s">
        <v>297</v>
      </c>
      <c r="F188" s="154" t="s">
        <v>201</v>
      </c>
      <c r="G188" s="15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  <c r="AG188" s="30"/>
    </row>
    <row r="189" spans="1:33" x14ac:dyDescent="0.25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451</v>
      </c>
      <c r="E189" s="154" t="s">
        <v>297</v>
      </c>
      <c r="F189" s="154" t="s">
        <v>198</v>
      </c>
      <c r="G189" s="15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  <c r="AG189" s="30"/>
    </row>
    <row r="190" spans="1:33" x14ac:dyDescent="0.25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451</v>
      </c>
      <c r="E190" s="154" t="s">
        <v>297</v>
      </c>
      <c r="F190" s="154" t="s">
        <v>60</v>
      </c>
      <c r="G190" s="15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  <c r="AG190" s="30"/>
    </row>
    <row r="191" spans="1:33" x14ac:dyDescent="0.25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451</v>
      </c>
      <c r="E191" s="154" t="s">
        <v>297</v>
      </c>
      <c r="F191" s="154" t="s">
        <v>59</v>
      </c>
      <c r="G191" s="15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  <c r="AG191" s="30"/>
    </row>
    <row r="192" spans="1:33" x14ac:dyDescent="0.25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451</v>
      </c>
      <c r="E192" s="154" t="s">
        <v>297</v>
      </c>
      <c r="F192" s="154" t="s">
        <v>58</v>
      </c>
      <c r="G192" s="15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  <c r="AG192" s="30"/>
    </row>
    <row r="193" spans="1:33" x14ac:dyDescent="0.25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451</v>
      </c>
      <c r="E193" s="154" t="s">
        <v>297</v>
      </c>
      <c r="F193" s="154" t="s">
        <v>57</v>
      </c>
      <c r="G193" s="15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  <c r="AG193" s="30"/>
    </row>
    <row r="194" spans="1:33" x14ac:dyDescent="0.25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451</v>
      </c>
      <c r="E194" s="154" t="s">
        <v>297</v>
      </c>
      <c r="F194" s="154" t="s">
        <v>56</v>
      </c>
      <c r="G194" s="15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  <c r="AG194" s="30"/>
    </row>
    <row r="195" spans="1:33" x14ac:dyDescent="0.25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451</v>
      </c>
      <c r="E195" s="154" t="s">
        <v>297</v>
      </c>
      <c r="F195" s="154" t="s">
        <v>55</v>
      </c>
      <c r="G195" s="15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  <c r="AG195" s="30"/>
    </row>
    <row r="196" spans="1:33" x14ac:dyDescent="0.25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451</v>
      </c>
      <c r="E196" s="154" t="s">
        <v>298</v>
      </c>
      <c r="F196" s="154" t="s">
        <v>48</v>
      </c>
      <c r="G196" s="15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  <c r="AG196" s="30"/>
    </row>
    <row r="197" spans="1:33" x14ac:dyDescent="0.25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451</v>
      </c>
      <c r="E197" s="154" t="s">
        <v>298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  <c r="AG197" s="30"/>
    </row>
    <row r="198" spans="1:33" x14ac:dyDescent="0.25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451</v>
      </c>
      <c r="E198" s="154" t="s">
        <v>298</v>
      </c>
      <c r="F198" s="154" t="s">
        <v>54</v>
      </c>
      <c r="G198" s="15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  <c r="AG198" s="30"/>
    </row>
    <row r="199" spans="1:33" x14ac:dyDescent="0.25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451</v>
      </c>
      <c r="E199" s="154" t="s">
        <v>298</v>
      </c>
      <c r="F199" s="154" t="s">
        <v>53</v>
      </c>
      <c r="G199" s="15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  <c r="AG199" s="30"/>
    </row>
    <row r="200" spans="1:33" x14ac:dyDescent="0.25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451</v>
      </c>
      <c r="E200" s="154" t="s">
        <v>298</v>
      </c>
      <c r="F200" s="154" t="s">
        <v>200</v>
      </c>
      <c r="G200" s="15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  <c r="AG200" s="30"/>
    </row>
    <row r="201" spans="1:33" x14ac:dyDescent="0.25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451</v>
      </c>
      <c r="E201" s="154" t="s">
        <v>298</v>
      </c>
      <c r="F201" s="154" t="s">
        <v>52</v>
      </c>
      <c r="G201" s="15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  <c r="AG201" s="30"/>
    </row>
    <row r="202" spans="1:33" x14ac:dyDescent="0.25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451</v>
      </c>
      <c r="E202" s="154" t="s">
        <v>298</v>
      </c>
      <c r="F202" s="154" t="s">
        <v>51</v>
      </c>
      <c r="G202" s="15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  <c r="AG202" s="30"/>
    </row>
    <row r="203" spans="1:33" x14ac:dyDescent="0.25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451</v>
      </c>
      <c r="E203" s="154" t="s">
        <v>298</v>
      </c>
      <c r="F203" s="154" t="s">
        <v>25</v>
      </c>
      <c r="G203" s="15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  <c r="AG203" s="30"/>
    </row>
    <row r="204" spans="1:33" x14ac:dyDescent="0.25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451</v>
      </c>
      <c r="E204" s="154" t="s">
        <v>298</v>
      </c>
      <c r="F204" s="154" t="s">
        <v>50</v>
      </c>
      <c r="G204" s="15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  <c r="AG204" s="30"/>
    </row>
    <row r="205" spans="1:33" x14ac:dyDescent="0.25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451</v>
      </c>
      <c r="E205" s="154" t="s">
        <v>298</v>
      </c>
      <c r="F205" s="154" t="s">
        <v>49</v>
      </c>
      <c r="G205" s="15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  <c r="AG205" s="30"/>
    </row>
    <row r="206" spans="1:33" x14ac:dyDescent="0.25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451</v>
      </c>
      <c r="E206" s="154" t="s">
        <v>298</v>
      </c>
      <c r="F206" s="154" t="s">
        <v>197</v>
      </c>
      <c r="G206" s="15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  <c r="AG206" s="30"/>
    </row>
    <row r="207" spans="1:33" x14ac:dyDescent="0.25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451</v>
      </c>
      <c r="E207" s="154" t="s">
        <v>298</v>
      </c>
      <c r="F207" s="154" t="s">
        <v>24</v>
      </c>
      <c r="G207" s="15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  <c r="AG207" s="30"/>
    </row>
    <row r="208" spans="1:33" x14ac:dyDescent="0.25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451</v>
      </c>
      <c r="E208" s="154" t="s">
        <v>298</v>
      </c>
      <c r="F208" s="154" t="s">
        <v>6</v>
      </c>
      <c r="G208" s="15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  <c r="AG208" s="30"/>
    </row>
    <row r="209" spans="1:33" x14ac:dyDescent="0.25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451</v>
      </c>
      <c r="E209" s="154" t="s">
        <v>299</v>
      </c>
      <c r="F209" s="154" t="s">
        <v>203</v>
      </c>
      <c r="G209" s="15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  <c r="AG209" s="30"/>
    </row>
    <row r="210" spans="1:33" x14ac:dyDescent="0.25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451</v>
      </c>
      <c r="E210" s="154" t="s">
        <v>299</v>
      </c>
      <c r="F210" s="154" t="s">
        <v>198</v>
      </c>
      <c r="G210" s="15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  <c r="AG210" s="30"/>
    </row>
    <row r="211" spans="1:33" x14ac:dyDescent="0.25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451</v>
      </c>
      <c r="E211" s="154" t="s">
        <v>300</v>
      </c>
      <c r="F211" s="154" t="s">
        <v>50</v>
      </c>
      <c r="G211" s="15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  <c r="AG211" s="30"/>
    </row>
    <row r="212" spans="1:33" x14ac:dyDescent="0.25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451</v>
      </c>
      <c r="E212" s="154" t="s">
        <v>300</v>
      </c>
      <c r="F212" s="154" t="s">
        <v>197</v>
      </c>
      <c r="G212" s="15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  <c r="AG212" s="30"/>
    </row>
    <row r="213" spans="1:33" x14ac:dyDescent="0.25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451</v>
      </c>
      <c r="E213" s="154" t="s">
        <v>300</v>
      </c>
      <c r="F213" s="154" t="s">
        <v>62</v>
      </c>
      <c r="G213" s="15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  <c r="AG213" s="30"/>
    </row>
    <row r="214" spans="1:33" x14ac:dyDescent="0.25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451</v>
      </c>
      <c r="E214" s="154" t="s">
        <v>300</v>
      </c>
      <c r="F214" s="154" t="s">
        <v>6</v>
      </c>
      <c r="G214" s="15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  <c r="AG214" s="30"/>
    </row>
    <row r="215" spans="1:33" x14ac:dyDescent="0.25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451</v>
      </c>
      <c r="E215" s="154" t="s">
        <v>300</v>
      </c>
      <c r="F215" s="154" t="s">
        <v>61</v>
      </c>
      <c r="G215" s="15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  <c r="AG215" s="30"/>
    </row>
    <row r="216" spans="1:33" x14ac:dyDescent="0.25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451</v>
      </c>
      <c r="E216" s="154" t="s">
        <v>300</v>
      </c>
      <c r="F216" s="154" t="s">
        <v>201</v>
      </c>
      <c r="G216" s="15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  <c r="AG216" s="30"/>
    </row>
    <row r="217" spans="1:33" x14ac:dyDescent="0.25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451</v>
      </c>
      <c r="E217" s="154" t="s">
        <v>300</v>
      </c>
      <c r="F217" s="154" t="s">
        <v>198</v>
      </c>
      <c r="G217" s="15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  <c r="AG217" s="30"/>
    </row>
    <row r="218" spans="1:33" x14ac:dyDescent="0.25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451</v>
      </c>
      <c r="E218" s="154" t="s">
        <v>300</v>
      </c>
      <c r="F218" s="154" t="s">
        <v>60</v>
      </c>
      <c r="G218" s="15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  <c r="AG218" s="30"/>
    </row>
    <row r="219" spans="1:33" x14ac:dyDescent="0.25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451</v>
      </c>
      <c r="E219" s="154" t="s">
        <v>300</v>
      </c>
      <c r="F219" s="154" t="s">
        <v>59</v>
      </c>
      <c r="G219" s="15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  <c r="AG219" s="30"/>
    </row>
    <row r="220" spans="1:33" x14ac:dyDescent="0.25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451</v>
      </c>
      <c r="E220" s="154" t="s">
        <v>300</v>
      </c>
      <c r="F220" s="154" t="s">
        <v>58</v>
      </c>
      <c r="G220" s="15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  <c r="AG220" s="30"/>
    </row>
    <row r="221" spans="1:33" x14ac:dyDescent="0.25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451</v>
      </c>
      <c r="E221" s="154" t="s">
        <v>300</v>
      </c>
      <c r="F221" s="154" t="s">
        <v>57</v>
      </c>
      <c r="G221" s="15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  <c r="AG221" s="30"/>
    </row>
    <row r="222" spans="1:33" x14ac:dyDescent="0.25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451</v>
      </c>
      <c r="E222" s="154" t="s">
        <v>300</v>
      </c>
      <c r="F222" s="154" t="s">
        <v>56</v>
      </c>
      <c r="G222" s="15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  <c r="AG222" s="30"/>
    </row>
    <row r="223" spans="1:33" x14ac:dyDescent="0.25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451</v>
      </c>
      <c r="E223" s="154" t="s">
        <v>300</v>
      </c>
      <c r="F223" s="154" t="s">
        <v>55</v>
      </c>
      <c r="G223" s="15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  <c r="AG223" s="30"/>
    </row>
    <row r="224" spans="1:33" x14ac:dyDescent="0.25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451</v>
      </c>
      <c r="E224" s="154" t="s">
        <v>301</v>
      </c>
      <c r="F224" s="154" t="s">
        <v>48</v>
      </c>
      <c r="G224" s="15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  <c r="AG224" s="30"/>
    </row>
    <row r="225" spans="1:33" x14ac:dyDescent="0.25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451</v>
      </c>
      <c r="E225" s="154" t="s">
        <v>301</v>
      </c>
      <c r="F225" s="154" t="s">
        <v>199</v>
      </c>
      <c r="G225" s="15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  <c r="AG225" s="30"/>
    </row>
    <row r="226" spans="1:33" x14ac:dyDescent="0.25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451</v>
      </c>
      <c r="E226" s="154" t="s">
        <v>301</v>
      </c>
      <c r="F226" s="154" t="s">
        <v>54</v>
      </c>
      <c r="G226" s="15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  <c r="AG226" s="30"/>
    </row>
    <row r="227" spans="1:33" x14ac:dyDescent="0.25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451</v>
      </c>
      <c r="E227" s="154" t="s">
        <v>301</v>
      </c>
      <c r="F227" s="154" t="s">
        <v>53</v>
      </c>
      <c r="G227" s="15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  <c r="AG227" s="30"/>
    </row>
    <row r="228" spans="1:33" x14ac:dyDescent="0.25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451</v>
      </c>
      <c r="E228" s="154" t="s">
        <v>301</v>
      </c>
      <c r="F228" s="154" t="s">
        <v>200</v>
      </c>
      <c r="G228" s="15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  <c r="AG228" s="30"/>
    </row>
    <row r="229" spans="1:33" x14ac:dyDescent="0.25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451</v>
      </c>
      <c r="E229" s="154" t="s">
        <v>301</v>
      </c>
      <c r="F229" s="154" t="s">
        <v>52</v>
      </c>
      <c r="G229" s="15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  <c r="AG229" s="30"/>
    </row>
    <row r="230" spans="1:33" x14ac:dyDescent="0.25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451</v>
      </c>
      <c r="E230" s="154" t="s">
        <v>301</v>
      </c>
      <c r="F230" s="154" t="s">
        <v>51</v>
      </c>
      <c r="G230" s="15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  <c r="AG230" s="30"/>
    </row>
    <row r="231" spans="1:33" x14ac:dyDescent="0.25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451</v>
      </c>
      <c r="E231" s="154" t="s">
        <v>301</v>
      </c>
      <c r="F231" s="154" t="s">
        <v>25</v>
      </c>
      <c r="G231" s="15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  <c r="AG231" s="30"/>
    </row>
    <row r="232" spans="1:33" x14ac:dyDescent="0.25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451</v>
      </c>
      <c r="E232" s="154" t="s">
        <v>301</v>
      </c>
      <c r="F232" s="154" t="s">
        <v>50</v>
      </c>
      <c r="G232" s="15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  <c r="AG232" s="30"/>
    </row>
    <row r="233" spans="1:33" x14ac:dyDescent="0.25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451</v>
      </c>
      <c r="E233" s="154" t="s">
        <v>301</v>
      </c>
      <c r="F233" s="154" t="s">
        <v>49</v>
      </c>
      <c r="G233" s="15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  <c r="AG233" s="30"/>
    </row>
    <row r="234" spans="1:33" x14ac:dyDescent="0.25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451</v>
      </c>
      <c r="E234" s="154" t="s">
        <v>301</v>
      </c>
      <c r="F234" s="154" t="s">
        <v>197</v>
      </c>
      <c r="G234" s="15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  <c r="AG234" s="30"/>
    </row>
    <row r="235" spans="1:33" x14ac:dyDescent="0.25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451</v>
      </c>
      <c r="E235" s="154" t="s">
        <v>301</v>
      </c>
      <c r="F235" s="154" t="s">
        <v>24</v>
      </c>
      <c r="G235" s="15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  <c r="AG235" s="30"/>
    </row>
    <row r="236" spans="1:33" x14ac:dyDescent="0.25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451</v>
      </c>
      <c r="E236" s="154" t="s">
        <v>301</v>
      </c>
      <c r="F236" s="154" t="s">
        <v>6</v>
      </c>
      <c r="G236" s="15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  <c r="AG236" s="30"/>
    </row>
    <row r="237" spans="1:33" x14ac:dyDescent="0.25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451</v>
      </c>
      <c r="E237" s="154" t="s">
        <v>302</v>
      </c>
      <c r="F237" s="154" t="s">
        <v>203</v>
      </c>
      <c r="G237" s="15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  <c r="AG237" s="30"/>
    </row>
    <row r="238" spans="1:33" x14ac:dyDescent="0.25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451</v>
      </c>
      <c r="E238" s="154" t="s">
        <v>302</v>
      </c>
      <c r="F238" s="154" t="s">
        <v>198</v>
      </c>
      <c r="G238" s="15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  <c r="AG238" s="30"/>
    </row>
    <row r="239" spans="1:33" x14ac:dyDescent="0.25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451</v>
      </c>
      <c r="E239" s="154" t="s">
        <v>303</v>
      </c>
      <c r="F239" s="154" t="s">
        <v>73</v>
      </c>
      <c r="G239" s="15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  <c r="AG239" s="30"/>
    </row>
    <row r="240" spans="1:33" x14ac:dyDescent="0.25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451</v>
      </c>
      <c r="E240" s="154" t="s">
        <v>303</v>
      </c>
      <c r="F240" s="154" t="s">
        <v>204</v>
      </c>
      <c r="G240" s="15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  <c r="AG240" s="30"/>
    </row>
    <row r="241" spans="1:33" x14ac:dyDescent="0.25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451</v>
      </c>
      <c r="E241" s="154" t="s">
        <v>303</v>
      </c>
      <c r="F241" s="154" t="s">
        <v>203</v>
      </c>
      <c r="G241" s="15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  <c r="AG241" s="30"/>
    </row>
    <row r="242" spans="1:33" x14ac:dyDescent="0.25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451</v>
      </c>
      <c r="E242" s="154" t="s">
        <v>304</v>
      </c>
      <c r="F242" s="154" t="s">
        <v>198</v>
      </c>
      <c r="G242" s="154" t="str">
        <f t="shared" si="46"/>
        <v>Peanut Plant &amp; Pre Fold. 12R-36</v>
      </c>
      <c r="H242" s="261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  <c r="AG242" s="30"/>
    </row>
    <row r="243" spans="1:33" x14ac:dyDescent="0.25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451</v>
      </c>
      <c r="E243" s="154" t="s">
        <v>305</v>
      </c>
      <c r="F243" s="154" t="s">
        <v>25</v>
      </c>
      <c r="G243" s="154" t="str">
        <f t="shared" si="46"/>
        <v>Peanut Plant &amp; Pre Rigid  8R-30</v>
      </c>
      <c r="H243" s="261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  <c r="AG243" s="30"/>
    </row>
    <row r="244" spans="1:33" x14ac:dyDescent="0.25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451</v>
      </c>
      <c r="E244" s="154" t="s">
        <v>305</v>
      </c>
      <c r="F244" s="154" t="s">
        <v>197</v>
      </c>
      <c r="G244" s="154" t="str">
        <f t="shared" si="46"/>
        <v>Peanut Plant &amp; Pre Rigid  8R-36</v>
      </c>
      <c r="H244" s="261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  <c r="AG244" s="30"/>
    </row>
    <row r="245" spans="1:33" x14ac:dyDescent="0.25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451</v>
      </c>
      <c r="E245" s="154" t="s">
        <v>306</v>
      </c>
      <c r="F245" s="154" t="s">
        <v>64</v>
      </c>
      <c r="G245" s="154" t="str">
        <f t="shared" si="46"/>
        <v>Pipe Spool 160 ac 1/4m roll</v>
      </c>
      <c r="H245" s="261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  <c r="AG245" s="30"/>
    </row>
    <row r="246" spans="1:33" x14ac:dyDescent="0.25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451</v>
      </c>
      <c r="E246" s="154" t="s">
        <v>307</v>
      </c>
      <c r="F246" s="154" t="s">
        <v>44</v>
      </c>
      <c r="G246" s="154" t="str">
        <f t="shared" si="46"/>
        <v>Pipe Trailer 1m/160a 30'</v>
      </c>
      <c r="H246" s="261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  <c r="AG246" s="30"/>
    </row>
    <row r="247" spans="1:33" x14ac:dyDescent="0.25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451</v>
      </c>
      <c r="E247" s="154" t="s">
        <v>308</v>
      </c>
      <c r="F247" s="154" t="s">
        <v>50</v>
      </c>
      <c r="G247" s="15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  <c r="AG247" s="30"/>
    </row>
    <row r="248" spans="1:33" x14ac:dyDescent="0.25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451</v>
      </c>
      <c r="E248" s="154" t="s">
        <v>308</v>
      </c>
      <c r="F248" s="154" t="s">
        <v>197</v>
      </c>
      <c r="G248" s="15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  <c r="AG248" s="30"/>
    </row>
    <row r="249" spans="1:33" x14ac:dyDescent="0.25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451</v>
      </c>
      <c r="E249" s="154" t="s">
        <v>308</v>
      </c>
      <c r="F249" s="154" t="s">
        <v>62</v>
      </c>
      <c r="G249" s="15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  <c r="AG249" s="30"/>
    </row>
    <row r="250" spans="1:33" x14ac:dyDescent="0.25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451</v>
      </c>
      <c r="E250" s="154" t="s">
        <v>308</v>
      </c>
      <c r="F250" s="154" t="s">
        <v>6</v>
      </c>
      <c r="G250" s="15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  <c r="AG250" s="30"/>
    </row>
    <row r="251" spans="1:33" x14ac:dyDescent="0.25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451</v>
      </c>
      <c r="E251" s="154" t="s">
        <v>308</v>
      </c>
      <c r="F251" s="154" t="s">
        <v>61</v>
      </c>
      <c r="G251" s="15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  <c r="AG251" s="30"/>
    </row>
    <row r="252" spans="1:33" x14ac:dyDescent="0.25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451</v>
      </c>
      <c r="E252" s="154" t="s">
        <v>308</v>
      </c>
      <c r="F252" s="154" t="s">
        <v>201</v>
      </c>
      <c r="G252" s="15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  <c r="AG252" s="30"/>
    </row>
    <row r="253" spans="1:33" x14ac:dyDescent="0.25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451</v>
      </c>
      <c r="E253" s="154" t="s">
        <v>308</v>
      </c>
      <c r="F253" s="154" t="s">
        <v>198</v>
      </c>
      <c r="G253" s="15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  <c r="AG253" s="30"/>
    </row>
    <row r="254" spans="1:33" x14ac:dyDescent="0.25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451</v>
      </c>
      <c r="E254" s="154" t="s">
        <v>308</v>
      </c>
      <c r="F254" s="154" t="s">
        <v>60</v>
      </c>
      <c r="G254" s="15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  <c r="AG254" s="30"/>
    </row>
    <row r="255" spans="1:33" x14ac:dyDescent="0.25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451</v>
      </c>
      <c r="E255" s="154" t="s">
        <v>308</v>
      </c>
      <c r="F255" s="154" t="s">
        <v>59</v>
      </c>
      <c r="G255" s="15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  <c r="AG255" s="30"/>
    </row>
    <row r="256" spans="1:33" x14ac:dyDescent="0.25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451</v>
      </c>
      <c r="E256" s="154" t="s">
        <v>308</v>
      </c>
      <c r="F256" s="154" t="s">
        <v>58</v>
      </c>
      <c r="G256" s="15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  <c r="AG256" s="30"/>
    </row>
    <row r="257" spans="1:33" x14ac:dyDescent="0.25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451</v>
      </c>
      <c r="E257" s="154" t="s">
        <v>308</v>
      </c>
      <c r="F257" s="154" t="s">
        <v>57</v>
      </c>
      <c r="G257" s="15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  <c r="AG257" s="30"/>
    </row>
    <row r="258" spans="1:33" x14ac:dyDescent="0.25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451</v>
      </c>
      <c r="E258" s="154" t="s">
        <v>308</v>
      </c>
      <c r="F258" s="154" t="s">
        <v>56</v>
      </c>
      <c r="G258" s="15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  <c r="AG258" s="30"/>
    </row>
    <row r="259" spans="1:33" x14ac:dyDescent="0.25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451</v>
      </c>
      <c r="E259" s="154" t="s">
        <v>308</v>
      </c>
      <c r="F259" s="154" t="s">
        <v>55</v>
      </c>
      <c r="G259" s="15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  <c r="AG259" s="30"/>
    </row>
    <row r="260" spans="1:33" x14ac:dyDescent="0.25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451</v>
      </c>
      <c r="E260" s="154" t="s">
        <v>309</v>
      </c>
      <c r="F260" s="154" t="s">
        <v>48</v>
      </c>
      <c r="G260" s="15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  <c r="AG260" s="30"/>
    </row>
    <row r="261" spans="1:33" x14ac:dyDescent="0.25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451</v>
      </c>
      <c r="E261" s="154" t="s">
        <v>309</v>
      </c>
      <c r="F261" s="154" t="s">
        <v>199</v>
      </c>
      <c r="G261" s="15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  <c r="AG261" s="30"/>
    </row>
    <row r="262" spans="1:33" x14ac:dyDescent="0.25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451</v>
      </c>
      <c r="E262" s="154" t="s">
        <v>309</v>
      </c>
      <c r="F262" s="154" t="s">
        <v>54</v>
      </c>
      <c r="G262" s="15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  <c r="AG262" s="30"/>
    </row>
    <row r="263" spans="1:33" x14ac:dyDescent="0.25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451</v>
      </c>
      <c r="E263" s="154" t="s">
        <v>309</v>
      </c>
      <c r="F263" s="154" t="s">
        <v>53</v>
      </c>
      <c r="G263" s="15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  <c r="AG263" s="30"/>
    </row>
    <row r="264" spans="1:33" x14ac:dyDescent="0.25">
      <c r="A264" s="234">
        <v>147</v>
      </c>
      <c r="B264" s="1" t="str">
        <f t="shared" si="60"/>
        <v>2.6, Plant - Rigid  6R-36</v>
      </c>
      <c r="C264" s="158">
        <v>2.6</v>
      </c>
      <c r="D264" s="154" t="s">
        <v>451</v>
      </c>
      <c r="E264" s="154" t="s">
        <v>309</v>
      </c>
      <c r="F264" s="154" t="s">
        <v>200</v>
      </c>
      <c r="G264" s="15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  <c r="AG264" s="30"/>
    </row>
    <row r="265" spans="1:33" x14ac:dyDescent="0.25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451</v>
      </c>
      <c r="E265" s="154" t="s">
        <v>309</v>
      </c>
      <c r="F265" s="154" t="s">
        <v>52</v>
      </c>
      <c r="G265" s="15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  <c r="AG265" s="30"/>
    </row>
    <row r="266" spans="1:33" x14ac:dyDescent="0.25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451</v>
      </c>
      <c r="E266" s="154" t="s">
        <v>309</v>
      </c>
      <c r="F266" s="154" t="s">
        <v>25</v>
      </c>
      <c r="G266" s="15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  <c r="AG266" s="30"/>
    </row>
    <row r="267" spans="1:33" x14ac:dyDescent="0.25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451</v>
      </c>
      <c r="E267" s="154" t="s">
        <v>309</v>
      </c>
      <c r="F267" s="154" t="s">
        <v>50</v>
      </c>
      <c r="G267" s="15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  <c r="AG267" s="30"/>
    </row>
    <row r="268" spans="1:33" x14ac:dyDescent="0.25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451</v>
      </c>
      <c r="E268" s="154" t="s">
        <v>309</v>
      </c>
      <c r="F268" s="154" t="s">
        <v>51</v>
      </c>
      <c r="G268" s="15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  <c r="AG268" s="30"/>
    </row>
    <row r="269" spans="1:33" x14ac:dyDescent="0.25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451</v>
      </c>
      <c r="E269" s="154" t="s">
        <v>309</v>
      </c>
      <c r="F269" s="154" t="s">
        <v>49</v>
      </c>
      <c r="G269" s="15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  <c r="AG269" s="30"/>
    </row>
    <row r="270" spans="1:33" x14ac:dyDescent="0.25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451</v>
      </c>
      <c r="E270" s="154" t="s">
        <v>309</v>
      </c>
      <c r="F270" s="154" t="s">
        <v>197</v>
      </c>
      <c r="G270" s="15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  <c r="AG270" s="30"/>
    </row>
    <row r="271" spans="1:33" x14ac:dyDescent="0.25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451</v>
      </c>
      <c r="E271" s="154" t="s">
        <v>309</v>
      </c>
      <c r="F271" s="154" t="s">
        <v>24</v>
      </c>
      <c r="G271" s="15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  <c r="AG271" s="30"/>
    </row>
    <row r="272" spans="1:33" x14ac:dyDescent="0.25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451</v>
      </c>
      <c r="E272" s="154" t="s">
        <v>309</v>
      </c>
      <c r="F272" s="154" t="s">
        <v>6</v>
      </c>
      <c r="G272" s="15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  <c r="AG272" s="30"/>
    </row>
    <row r="273" spans="1:33" x14ac:dyDescent="0.25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451</v>
      </c>
      <c r="E273" s="154" t="s">
        <v>310</v>
      </c>
      <c r="F273" s="154" t="s">
        <v>203</v>
      </c>
      <c r="G273" s="15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  <c r="AG273" s="30"/>
    </row>
    <row r="274" spans="1:33" x14ac:dyDescent="0.25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451</v>
      </c>
      <c r="E274" s="154" t="s">
        <v>310</v>
      </c>
      <c r="F274" s="154" t="s">
        <v>198</v>
      </c>
      <c r="G274" s="15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  <c r="AG274" s="30"/>
    </row>
    <row r="275" spans="1:33" x14ac:dyDescent="0.25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451</v>
      </c>
      <c r="E275" s="154" t="s">
        <v>311</v>
      </c>
      <c r="F275" s="154" t="s">
        <v>50</v>
      </c>
      <c r="G275" s="15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  <c r="AG275" s="30"/>
    </row>
    <row r="276" spans="1:33" x14ac:dyDescent="0.25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451</v>
      </c>
      <c r="E276" s="154" t="s">
        <v>311</v>
      </c>
      <c r="F276" s="154" t="s">
        <v>197</v>
      </c>
      <c r="G276" s="15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  <c r="AG276" s="30"/>
    </row>
    <row r="277" spans="1:33" x14ac:dyDescent="0.25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451</v>
      </c>
      <c r="E277" s="154" t="s">
        <v>311</v>
      </c>
      <c r="F277" s="154" t="s">
        <v>62</v>
      </c>
      <c r="G277" s="15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  <c r="AG277" s="30"/>
    </row>
    <row r="278" spans="1:33" x14ac:dyDescent="0.25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451</v>
      </c>
      <c r="E278" s="154" t="s">
        <v>311</v>
      </c>
      <c r="F278" s="154" t="s">
        <v>6</v>
      </c>
      <c r="G278" s="15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  <c r="AG278" s="30"/>
    </row>
    <row r="279" spans="1:33" x14ac:dyDescent="0.25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451</v>
      </c>
      <c r="E279" s="154" t="s">
        <v>311</v>
      </c>
      <c r="F279" s="154" t="s">
        <v>61</v>
      </c>
      <c r="G279" s="15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  <c r="AG279" s="30"/>
    </row>
    <row r="280" spans="1:33" x14ac:dyDescent="0.25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451</v>
      </c>
      <c r="E280" s="154" t="s">
        <v>311</v>
      </c>
      <c r="F280" s="154" t="s">
        <v>201</v>
      </c>
      <c r="G280" s="15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  <c r="AG280" s="30"/>
    </row>
    <row r="281" spans="1:33" x14ac:dyDescent="0.25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451</v>
      </c>
      <c r="E281" s="154" t="s">
        <v>311</v>
      </c>
      <c r="F281" s="154" t="s">
        <v>198</v>
      </c>
      <c r="G281" s="15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  <c r="AG281" s="30"/>
    </row>
    <row r="282" spans="1:33" x14ac:dyDescent="0.25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451</v>
      </c>
      <c r="E282" s="154" t="s">
        <v>311</v>
      </c>
      <c r="F282" s="154" t="s">
        <v>60</v>
      </c>
      <c r="G282" s="15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  <c r="AG282" s="30"/>
    </row>
    <row r="283" spans="1:33" x14ac:dyDescent="0.25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451</v>
      </c>
      <c r="E283" s="154" t="s">
        <v>311</v>
      </c>
      <c r="F283" s="154" t="s">
        <v>59</v>
      </c>
      <c r="G283" s="15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  <c r="AG283" s="30"/>
    </row>
    <row r="284" spans="1:33" x14ac:dyDescent="0.25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451</v>
      </c>
      <c r="E284" s="154" t="s">
        <v>311</v>
      </c>
      <c r="F284" s="154" t="s">
        <v>58</v>
      </c>
      <c r="G284" s="15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  <c r="AG284" s="30"/>
    </row>
    <row r="285" spans="1:33" x14ac:dyDescent="0.25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451</v>
      </c>
      <c r="E285" s="154" t="s">
        <v>311</v>
      </c>
      <c r="F285" s="154" t="s">
        <v>57</v>
      </c>
      <c r="G285" s="15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  <c r="AG285" s="30"/>
    </row>
    <row r="286" spans="1:33" x14ac:dyDescent="0.25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451</v>
      </c>
      <c r="E286" s="154" t="s">
        <v>311</v>
      </c>
      <c r="F286" s="154" t="s">
        <v>56</v>
      </c>
      <c r="G286" s="15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  <c r="AG286" s="30"/>
    </row>
    <row r="287" spans="1:33" x14ac:dyDescent="0.25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451</v>
      </c>
      <c r="E287" s="154" t="s">
        <v>311</v>
      </c>
      <c r="F287" s="154" t="s">
        <v>55</v>
      </c>
      <c r="G287" s="15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  <c r="AG287" s="30"/>
    </row>
    <row r="288" spans="1:33" x14ac:dyDescent="0.25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451</v>
      </c>
      <c r="E288" s="154" t="s">
        <v>312</v>
      </c>
      <c r="F288" s="154" t="s">
        <v>48</v>
      </c>
      <c r="G288" s="15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  <c r="AG288" s="30"/>
    </row>
    <row r="289" spans="1:33" x14ac:dyDescent="0.25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451</v>
      </c>
      <c r="E289" s="154" t="s">
        <v>312</v>
      </c>
      <c r="F289" s="154" t="s">
        <v>199</v>
      </c>
      <c r="G289" s="15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  <c r="AG289" s="30"/>
    </row>
    <row r="290" spans="1:33" x14ac:dyDescent="0.25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451</v>
      </c>
      <c r="E290" s="154" t="s">
        <v>312</v>
      </c>
      <c r="F290" s="154" t="s">
        <v>54</v>
      </c>
      <c r="G290" s="15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  <c r="AG290" s="30"/>
    </row>
    <row r="291" spans="1:33" x14ac:dyDescent="0.25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451</v>
      </c>
      <c r="E291" s="154" t="s">
        <v>312</v>
      </c>
      <c r="F291" s="154" t="s">
        <v>53</v>
      </c>
      <c r="G291" s="15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  <c r="AG291" s="30"/>
    </row>
    <row r="292" spans="1:33" x14ac:dyDescent="0.25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451</v>
      </c>
      <c r="E292" s="154" t="s">
        <v>312</v>
      </c>
      <c r="F292" s="154" t="s">
        <v>200</v>
      </c>
      <c r="G292" s="15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  <c r="AG292" s="30"/>
    </row>
    <row r="293" spans="1:33" x14ac:dyDescent="0.25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451</v>
      </c>
      <c r="E293" s="154" t="s">
        <v>312</v>
      </c>
      <c r="F293" s="154" t="s">
        <v>52</v>
      </c>
      <c r="G293" s="15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  <c r="AG293" s="30"/>
    </row>
    <row r="294" spans="1:33" x14ac:dyDescent="0.25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451</v>
      </c>
      <c r="E294" s="154" t="s">
        <v>312</v>
      </c>
      <c r="F294" s="154" t="s">
        <v>51</v>
      </c>
      <c r="G294" s="15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  <c r="AG294" s="30"/>
    </row>
    <row r="295" spans="1:33" x14ac:dyDescent="0.25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451</v>
      </c>
      <c r="E295" s="154" t="s">
        <v>312</v>
      </c>
      <c r="F295" s="154" t="s">
        <v>25</v>
      </c>
      <c r="G295" s="15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  <c r="AG295" s="30"/>
    </row>
    <row r="296" spans="1:33" x14ac:dyDescent="0.25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451</v>
      </c>
      <c r="E296" s="154" t="s">
        <v>312</v>
      </c>
      <c r="F296" s="154" t="s">
        <v>50</v>
      </c>
      <c r="G296" s="15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  <c r="AG296" s="30"/>
    </row>
    <row r="297" spans="1:33" x14ac:dyDescent="0.25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451</v>
      </c>
      <c r="E297" s="154" t="s">
        <v>312</v>
      </c>
      <c r="F297" s="154" t="s">
        <v>49</v>
      </c>
      <c r="G297" s="15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  <c r="AG297" s="30"/>
    </row>
    <row r="298" spans="1:33" x14ac:dyDescent="0.25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451</v>
      </c>
      <c r="E298" s="154" t="s">
        <v>312</v>
      </c>
      <c r="F298" s="154" t="s">
        <v>197</v>
      </c>
      <c r="G298" s="15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  <c r="AG298" s="30"/>
    </row>
    <row r="299" spans="1:33" x14ac:dyDescent="0.25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451</v>
      </c>
      <c r="E299" s="154" t="s">
        <v>312</v>
      </c>
      <c r="F299" s="154" t="s">
        <v>24</v>
      </c>
      <c r="G299" s="15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  <c r="AG299" s="30"/>
    </row>
    <row r="300" spans="1:33" x14ac:dyDescent="0.25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451</v>
      </c>
      <c r="E300" s="154" t="s">
        <v>312</v>
      </c>
      <c r="F300" s="154" t="s">
        <v>6</v>
      </c>
      <c r="G300" s="15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  <c r="AG300" s="30"/>
    </row>
    <row r="301" spans="1:33" x14ac:dyDescent="0.25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451</v>
      </c>
      <c r="E301" s="154" t="s">
        <v>313</v>
      </c>
      <c r="F301" s="154" t="s">
        <v>203</v>
      </c>
      <c r="G301" s="15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  <c r="AG301" s="30"/>
    </row>
    <row r="302" spans="1:33" x14ac:dyDescent="0.25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451</v>
      </c>
      <c r="E302" s="154" t="s">
        <v>313</v>
      </c>
      <c r="F302" s="154" t="s">
        <v>198</v>
      </c>
      <c r="G302" s="15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  <c r="AG302" s="30"/>
    </row>
    <row r="303" spans="1:33" x14ac:dyDescent="0.25">
      <c r="A303" s="234"/>
      <c r="B303" s="1" t="str">
        <f t="shared" si="60"/>
        <v>2.99, Plow 4 Bottom Switch</v>
      </c>
      <c r="C303" s="158">
        <v>2.99</v>
      </c>
      <c r="D303" s="154" t="s">
        <v>451</v>
      </c>
      <c r="E303" s="154" t="s">
        <v>436</v>
      </c>
      <c r="F303" s="154" t="s">
        <v>437</v>
      </c>
      <c r="G303" s="15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  <c r="AG303" s="30"/>
    </row>
    <row r="304" spans="1:33" x14ac:dyDescent="0.25">
      <c r="A304" s="234"/>
      <c r="B304" s="1" t="str">
        <f t="shared" si="60"/>
        <v>3, Plow 5 Bottom Switch</v>
      </c>
      <c r="C304" s="158">
        <v>3</v>
      </c>
      <c r="D304" s="154" t="s">
        <v>451</v>
      </c>
      <c r="E304" s="154" t="s">
        <v>436</v>
      </c>
      <c r="F304" s="154" t="s">
        <v>438</v>
      </c>
      <c r="G304" s="15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  <c r="AG304" s="30"/>
    </row>
    <row r="305" spans="1:33" x14ac:dyDescent="0.25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451</v>
      </c>
      <c r="E305" s="154" t="s">
        <v>314</v>
      </c>
      <c r="F305" s="154" t="s">
        <v>11</v>
      </c>
      <c r="G305" s="15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  <c r="AG305" s="30"/>
    </row>
    <row r="306" spans="1:33" x14ac:dyDescent="0.25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451</v>
      </c>
      <c r="E306" s="154" t="s">
        <v>314</v>
      </c>
      <c r="F306" s="154" t="s">
        <v>8</v>
      </c>
      <c r="G306" s="15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  <c r="AG306" s="30"/>
    </row>
    <row r="307" spans="1:33" x14ac:dyDescent="0.25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451</v>
      </c>
      <c r="E307" s="154" t="s">
        <v>314</v>
      </c>
      <c r="F307" s="154" t="s">
        <v>44</v>
      </c>
      <c r="G307" s="15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  <c r="AG307" s="30"/>
    </row>
    <row r="308" spans="1:33" x14ac:dyDescent="0.25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451</v>
      </c>
      <c r="E308" s="154" t="s">
        <v>314</v>
      </c>
      <c r="F308" s="154" t="s">
        <v>41</v>
      </c>
      <c r="G308" s="15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  <c r="AG308" s="30"/>
    </row>
    <row r="309" spans="1:33" x14ac:dyDescent="0.25">
      <c r="A309" s="234">
        <v>718</v>
      </c>
      <c r="B309" s="1" t="str">
        <f t="shared" si="60"/>
        <v>3.05, Roller/Stubble 20'</v>
      </c>
      <c r="C309" s="158">
        <v>3.05</v>
      </c>
      <c r="D309" s="154" t="s">
        <v>451</v>
      </c>
      <c r="E309" s="154" t="s">
        <v>315</v>
      </c>
      <c r="F309" s="154" t="s">
        <v>8</v>
      </c>
      <c r="G309" s="15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  <c r="AG309" s="30"/>
    </row>
    <row r="310" spans="1:33" x14ac:dyDescent="0.25">
      <c r="A310" s="234">
        <v>719</v>
      </c>
      <c r="B310" s="1" t="str">
        <f t="shared" si="60"/>
        <v>3.06, Roller/Stubble 32'</v>
      </c>
      <c r="C310" s="158">
        <v>3.06</v>
      </c>
      <c r="D310" s="154" t="s">
        <v>451</v>
      </c>
      <c r="E310" s="154" t="s">
        <v>315</v>
      </c>
      <c r="F310" s="154" t="s">
        <v>43</v>
      </c>
      <c r="G310" s="15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  <c r="AG310" s="30"/>
    </row>
    <row r="311" spans="1:33" x14ac:dyDescent="0.25">
      <c r="A311" s="234">
        <v>485</v>
      </c>
      <c r="B311" s="1" t="str">
        <f t="shared" si="60"/>
        <v>3.07, Rotary Cutter  7'</v>
      </c>
      <c r="C311" s="158">
        <v>3.07</v>
      </c>
      <c r="D311" s="154" t="s">
        <v>451</v>
      </c>
      <c r="E311" s="154" t="s">
        <v>316</v>
      </c>
      <c r="F311" s="154" t="s">
        <v>42</v>
      </c>
      <c r="G311" s="15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  <c r="AG311" s="30"/>
    </row>
    <row r="312" spans="1:33" x14ac:dyDescent="0.25">
      <c r="A312" s="234">
        <v>199</v>
      </c>
      <c r="B312" s="1" t="str">
        <f t="shared" si="60"/>
        <v>3.08, Rotary Cutter 12'</v>
      </c>
      <c r="C312" s="158">
        <v>3.08</v>
      </c>
      <c r="D312" s="154" t="s">
        <v>451</v>
      </c>
      <c r="E312" s="154" t="s">
        <v>316</v>
      </c>
      <c r="F312" s="154" t="s">
        <v>11</v>
      </c>
      <c r="G312" s="15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  <c r="AG312" s="30"/>
    </row>
    <row r="313" spans="1:33" x14ac:dyDescent="0.25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451</v>
      </c>
      <c r="E313" s="154" t="s">
        <v>317</v>
      </c>
      <c r="F313" s="154" t="s">
        <v>10</v>
      </c>
      <c r="G313" s="15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  <c r="AG313" s="30"/>
    </row>
    <row r="314" spans="1:33" x14ac:dyDescent="0.25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451</v>
      </c>
      <c r="E314" s="154" t="s">
        <v>317</v>
      </c>
      <c r="F314" s="154" t="s">
        <v>8</v>
      </c>
      <c r="G314" s="15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  <c r="AG314" s="30"/>
    </row>
    <row r="315" spans="1:33" x14ac:dyDescent="0.25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451</v>
      </c>
      <c r="E315" s="154" t="s">
        <v>318</v>
      </c>
      <c r="F315" s="154" t="s">
        <v>38</v>
      </c>
      <c r="G315" s="15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  <c r="AG315" s="30"/>
    </row>
    <row r="316" spans="1:33" x14ac:dyDescent="0.25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451</v>
      </c>
      <c r="E316" s="154" t="s">
        <v>318</v>
      </c>
      <c r="F316" s="154" t="s">
        <v>41</v>
      </c>
      <c r="G316" s="15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  <c r="AG316" s="30"/>
    </row>
    <row r="317" spans="1:33" x14ac:dyDescent="0.25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451</v>
      </c>
      <c r="E317" s="154" t="s">
        <v>319</v>
      </c>
      <c r="F317" s="154" t="s">
        <v>40</v>
      </c>
      <c r="G317" s="15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  <c r="AG317" s="30"/>
    </row>
    <row r="318" spans="1:33" x14ac:dyDescent="0.25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451</v>
      </c>
      <c r="E318" s="154" t="s">
        <v>319</v>
      </c>
      <c r="F318" s="154" t="s">
        <v>39</v>
      </c>
      <c r="G318" s="15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  <c r="AG318" s="30"/>
    </row>
    <row r="319" spans="1:33" x14ac:dyDescent="0.25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451</v>
      </c>
      <c r="E319" s="154" t="s">
        <v>319</v>
      </c>
      <c r="F319" s="154" t="s">
        <v>38</v>
      </c>
      <c r="G319" s="15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  <c r="AG319" s="30"/>
    </row>
    <row r="320" spans="1:33" x14ac:dyDescent="0.25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451</v>
      </c>
      <c r="E320" s="154" t="s">
        <v>320</v>
      </c>
      <c r="F320" s="154" t="s">
        <v>38</v>
      </c>
      <c r="G320" s="15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  <c r="AG320" s="30"/>
    </row>
    <row r="321" spans="1:33" x14ac:dyDescent="0.25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451</v>
      </c>
      <c r="E321" s="154" t="s">
        <v>320</v>
      </c>
      <c r="F321" s="154" t="s">
        <v>41</v>
      </c>
      <c r="G321" s="15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  <c r="AG321" s="30"/>
    </row>
    <row r="322" spans="1:33" x14ac:dyDescent="0.25">
      <c r="A322" s="234">
        <v>177</v>
      </c>
      <c r="B322" s="1" t="str">
        <f t="shared" si="60"/>
        <v>3.18, Row Cond Rigid 13'</v>
      </c>
      <c r="C322" s="158">
        <v>3.18</v>
      </c>
      <c r="D322" s="154" t="s">
        <v>451</v>
      </c>
      <c r="E322" s="154" t="s">
        <v>321</v>
      </c>
      <c r="F322" s="154" t="s">
        <v>40</v>
      </c>
      <c r="G322" s="15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  <c r="AG322" s="30"/>
    </row>
    <row r="323" spans="1:33" x14ac:dyDescent="0.25">
      <c r="A323" s="234">
        <v>178</v>
      </c>
      <c r="B323" s="1" t="str">
        <f t="shared" si="60"/>
        <v>3.19, Row Cond Rigid 21'</v>
      </c>
      <c r="C323" s="158">
        <v>3.19</v>
      </c>
      <c r="D323" s="154" t="s">
        <v>451</v>
      </c>
      <c r="E323" s="154" t="s">
        <v>321</v>
      </c>
      <c r="F323" s="154" t="s">
        <v>39</v>
      </c>
      <c r="G323" s="15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  <c r="AG323" s="30"/>
    </row>
    <row r="324" spans="1:33" x14ac:dyDescent="0.25">
      <c r="A324" s="234">
        <v>179</v>
      </c>
      <c r="B324" s="1" t="str">
        <f t="shared" si="60"/>
        <v>3.2, Row Cond Rigid 26'</v>
      </c>
      <c r="C324" s="158">
        <v>3.2</v>
      </c>
      <c r="D324" s="154" t="s">
        <v>451</v>
      </c>
      <c r="E324" s="154" t="s">
        <v>321</v>
      </c>
      <c r="F324" s="154" t="s">
        <v>38</v>
      </c>
      <c r="G324" s="15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  <c r="AG324" s="30"/>
    </row>
    <row r="325" spans="1:33" x14ac:dyDescent="0.25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451</v>
      </c>
      <c r="E325" s="154" t="s">
        <v>488</v>
      </c>
      <c r="F325" s="154" t="s">
        <v>38</v>
      </c>
      <c r="G325" s="15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  <c r="AG325" s="30"/>
    </row>
    <row r="326" spans="1:33" x14ac:dyDescent="0.25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451</v>
      </c>
      <c r="E326" s="154" t="s">
        <v>488</v>
      </c>
      <c r="F326" s="154" t="s">
        <v>44</v>
      </c>
      <c r="G326" s="15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  <c r="AG326" s="30"/>
    </row>
    <row r="327" spans="1:33" x14ac:dyDescent="0.25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451</v>
      </c>
      <c r="E327" s="154" t="s">
        <v>488</v>
      </c>
      <c r="F327" s="154" t="s">
        <v>16</v>
      </c>
      <c r="G327" s="15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  <c r="AG327" s="30"/>
    </row>
    <row r="328" spans="1:33" x14ac:dyDescent="0.25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451</v>
      </c>
      <c r="E328" s="154" t="s">
        <v>489</v>
      </c>
      <c r="F328" s="154" t="s">
        <v>39</v>
      </c>
      <c r="G328" s="15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  <c r="AG328" s="30"/>
    </row>
    <row r="329" spans="1:33" x14ac:dyDescent="0.25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451</v>
      </c>
      <c r="E329" s="154" t="s">
        <v>489</v>
      </c>
      <c r="F329" s="154" t="s">
        <v>38</v>
      </c>
      <c r="G329" s="15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  <c r="AG329" s="30"/>
    </row>
    <row r="330" spans="1:33" x14ac:dyDescent="0.25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451</v>
      </c>
      <c r="E330" s="154" t="s">
        <v>322</v>
      </c>
      <c r="F330" s="154" t="s">
        <v>37</v>
      </c>
      <c r="G330" s="15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  <c r="AG330" s="30"/>
    </row>
    <row r="331" spans="1:33" x14ac:dyDescent="0.25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451</v>
      </c>
      <c r="E331" s="154" t="s">
        <v>323</v>
      </c>
      <c r="F331" s="154" t="s">
        <v>36</v>
      </c>
      <c r="G331" s="15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  <c r="AG331" s="30"/>
    </row>
    <row r="332" spans="1:33" x14ac:dyDescent="0.25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451</v>
      </c>
      <c r="E332" s="154" t="s">
        <v>324</v>
      </c>
      <c r="F332" s="154" t="s">
        <v>35</v>
      </c>
      <c r="G332" s="15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  <c r="AG332" s="30"/>
    </row>
    <row r="333" spans="1:33" x14ac:dyDescent="0.25">
      <c r="A333" s="234">
        <v>733</v>
      </c>
      <c r="B333" s="1" t="str">
        <f t="shared" si="75"/>
        <v>3.29, Spray (ATV) 20'</v>
      </c>
      <c r="C333" s="158">
        <v>3.29</v>
      </c>
      <c r="D333" s="154" t="s">
        <v>451</v>
      </c>
      <c r="E333" s="154" t="s">
        <v>324</v>
      </c>
      <c r="F333" s="154" t="s">
        <v>8</v>
      </c>
      <c r="G333" s="15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  <c r="AG333" s="30"/>
    </row>
    <row r="334" spans="1:33" x14ac:dyDescent="0.25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451</v>
      </c>
      <c r="E334" s="154" t="s">
        <v>325</v>
      </c>
      <c r="F334" s="154" t="s">
        <v>29</v>
      </c>
      <c r="G334" s="15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  <c r="AG334" s="30"/>
    </row>
    <row r="335" spans="1:33" x14ac:dyDescent="0.25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451</v>
      </c>
      <c r="E335" s="154" t="s">
        <v>325</v>
      </c>
      <c r="F335" s="154" t="s">
        <v>26</v>
      </c>
      <c r="G335" s="15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  <c r="AG335" s="30"/>
    </row>
    <row r="336" spans="1:33" x14ac:dyDescent="0.25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451</v>
      </c>
      <c r="E336" s="154" t="s">
        <v>325</v>
      </c>
      <c r="F336" s="154" t="s">
        <v>34</v>
      </c>
      <c r="G336" s="15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  <c r="AG336" s="30"/>
    </row>
    <row r="337" spans="1:33" x14ac:dyDescent="0.25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451</v>
      </c>
      <c r="E337" s="154" t="s">
        <v>325</v>
      </c>
      <c r="F337" s="154" t="s">
        <v>33</v>
      </c>
      <c r="G337" s="15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  <c r="AG337" s="30"/>
    </row>
    <row r="338" spans="1:33" x14ac:dyDescent="0.25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451</v>
      </c>
      <c r="E338" s="154" t="s">
        <v>325</v>
      </c>
      <c r="F338" s="154" t="s">
        <v>32</v>
      </c>
      <c r="G338" s="15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  <c r="AG338" s="30"/>
    </row>
    <row r="339" spans="1:33" x14ac:dyDescent="0.25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451</v>
      </c>
      <c r="E339" s="154" t="s">
        <v>326</v>
      </c>
      <c r="F339" s="154" t="s">
        <v>31</v>
      </c>
      <c r="G339" s="15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  <c r="AG339" s="30"/>
    </row>
    <row r="340" spans="1:33" x14ac:dyDescent="0.25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451</v>
      </c>
      <c r="E340" s="154" t="s">
        <v>326</v>
      </c>
      <c r="F340" s="154" t="s">
        <v>30</v>
      </c>
      <c r="G340" s="15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  <c r="AG340" s="30"/>
    </row>
    <row r="341" spans="1:33" x14ac:dyDescent="0.25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451</v>
      </c>
      <c r="E341" s="154" t="s">
        <v>326</v>
      </c>
      <c r="F341" s="154" t="s">
        <v>29</v>
      </c>
      <c r="G341" s="15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  <c r="AG341" s="30"/>
    </row>
    <row r="342" spans="1:33" x14ac:dyDescent="0.25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451</v>
      </c>
      <c r="E342" s="154" t="s">
        <v>326</v>
      </c>
      <c r="F342" s="154" t="s">
        <v>28</v>
      </c>
      <c r="G342" s="15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  <c r="AG342" s="30"/>
    </row>
    <row r="343" spans="1:33" x14ac:dyDescent="0.25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451</v>
      </c>
      <c r="E343" s="154" t="s">
        <v>326</v>
      </c>
      <c r="F343" s="154" t="s">
        <v>27</v>
      </c>
      <c r="G343" s="15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  <c r="AG343" s="30"/>
    </row>
    <row r="344" spans="1:33" x14ac:dyDescent="0.25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451</v>
      </c>
      <c r="E344" s="154" t="s">
        <v>326</v>
      </c>
      <c r="F344" s="154" t="s">
        <v>26</v>
      </c>
      <c r="G344" s="15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  <c r="AG344" s="30"/>
    </row>
    <row r="345" spans="1:33" x14ac:dyDescent="0.25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451</v>
      </c>
      <c r="E345" s="154" t="s">
        <v>327</v>
      </c>
      <c r="F345" s="154" t="s">
        <v>17</v>
      </c>
      <c r="G345" s="15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  <c r="AG345" s="30"/>
    </row>
    <row r="346" spans="1:33" x14ac:dyDescent="0.25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451</v>
      </c>
      <c r="E346" s="154" t="s">
        <v>327</v>
      </c>
      <c r="F346" s="154" t="s">
        <v>16</v>
      </c>
      <c r="G346" s="15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  <c r="AG346" s="30"/>
    </row>
    <row r="347" spans="1:33" x14ac:dyDescent="0.25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451</v>
      </c>
      <c r="E347" s="154" t="s">
        <v>328</v>
      </c>
      <c r="F347" s="154" t="s">
        <v>17</v>
      </c>
      <c r="G347" s="15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  <c r="AG347" s="30"/>
    </row>
    <row r="348" spans="1:33" x14ac:dyDescent="0.25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451</v>
      </c>
      <c r="E348" s="154" t="s">
        <v>328</v>
      </c>
      <c r="F348" s="154" t="s">
        <v>16</v>
      </c>
      <c r="G348" s="15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  <c r="AG348" s="30"/>
    </row>
    <row r="349" spans="1:33" x14ac:dyDescent="0.25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451</v>
      </c>
      <c r="E349" s="154" t="s">
        <v>328</v>
      </c>
      <c r="F349" s="154" t="s">
        <v>15</v>
      </c>
      <c r="G349" s="15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  <c r="AG349" s="30"/>
    </row>
    <row r="350" spans="1:33" x14ac:dyDescent="0.25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451</v>
      </c>
      <c r="E350" s="154" t="s">
        <v>328</v>
      </c>
      <c r="F350" s="154" t="s">
        <v>14</v>
      </c>
      <c r="G350" s="15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  <c r="AG350" s="30"/>
    </row>
    <row r="351" spans="1:33" x14ac:dyDescent="0.25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451</v>
      </c>
      <c r="E351" s="154" t="s">
        <v>328</v>
      </c>
      <c r="F351" s="154" t="s">
        <v>13</v>
      </c>
      <c r="G351" s="15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  <c r="AG351" s="30"/>
    </row>
    <row r="352" spans="1:33" x14ac:dyDescent="0.25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451</v>
      </c>
      <c r="E352" s="154" t="s">
        <v>329</v>
      </c>
      <c r="F352" s="154" t="s">
        <v>25</v>
      </c>
      <c r="G352" s="15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  <c r="AG352" s="30"/>
    </row>
    <row r="353" spans="1:33" x14ac:dyDescent="0.25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451</v>
      </c>
      <c r="E353" s="154" t="s">
        <v>329</v>
      </c>
      <c r="F353" s="154" t="s">
        <v>197</v>
      </c>
      <c r="G353" s="15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  <c r="AG353" s="30"/>
    </row>
    <row r="354" spans="1:33" x14ac:dyDescent="0.25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451</v>
      </c>
      <c r="E354" s="154" t="s">
        <v>329</v>
      </c>
      <c r="F354" s="154" t="s">
        <v>6</v>
      </c>
      <c r="G354" s="15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  <c r="AG354" s="30"/>
    </row>
    <row r="355" spans="1:33" x14ac:dyDescent="0.25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451</v>
      </c>
      <c r="E355" s="154" t="s">
        <v>329</v>
      </c>
      <c r="F355" s="154" t="s">
        <v>198</v>
      </c>
      <c r="G355" s="15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  <c r="AG355" s="30"/>
    </row>
    <row r="356" spans="1:33" x14ac:dyDescent="0.25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451</v>
      </c>
      <c r="E356" s="154" t="s">
        <v>330</v>
      </c>
      <c r="F356" s="154" t="s">
        <v>25</v>
      </c>
      <c r="G356" s="15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  <c r="AG356" s="30"/>
    </row>
    <row r="357" spans="1:33" x14ac:dyDescent="0.25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451</v>
      </c>
      <c r="E357" s="154" t="s">
        <v>330</v>
      </c>
      <c r="F357" s="154" t="s">
        <v>197</v>
      </c>
      <c r="G357" s="15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  <c r="AG357" s="30"/>
    </row>
    <row r="358" spans="1:33" x14ac:dyDescent="0.25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451</v>
      </c>
      <c r="E358" s="154" t="s">
        <v>330</v>
      </c>
      <c r="F358" s="154" t="s">
        <v>24</v>
      </c>
      <c r="G358" s="15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  <c r="AG358" s="30"/>
    </row>
    <row r="359" spans="1:33" x14ac:dyDescent="0.25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451</v>
      </c>
      <c r="E359" s="154" t="s">
        <v>330</v>
      </c>
      <c r="F359" s="154" t="s">
        <v>23</v>
      </c>
      <c r="G359" s="15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  <c r="AG359" s="30"/>
    </row>
    <row r="360" spans="1:33" x14ac:dyDescent="0.25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451</v>
      </c>
      <c r="E360" s="154" t="s">
        <v>330</v>
      </c>
      <c r="F360" s="154" t="s">
        <v>6</v>
      </c>
      <c r="G360" s="15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  <c r="AG360" s="30"/>
    </row>
    <row r="361" spans="1:33" x14ac:dyDescent="0.25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451</v>
      </c>
      <c r="E361" s="154" t="s">
        <v>330</v>
      </c>
      <c r="F361" s="154" t="s">
        <v>201</v>
      </c>
      <c r="G361" s="15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  <c r="AG361" s="30"/>
    </row>
    <row r="362" spans="1:33" x14ac:dyDescent="0.25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451</v>
      </c>
      <c r="E362" s="154" t="s">
        <v>330</v>
      </c>
      <c r="F362" s="154" t="s">
        <v>198</v>
      </c>
      <c r="G362" s="15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  <c r="AG362" s="30"/>
    </row>
    <row r="363" spans="1:33" x14ac:dyDescent="0.25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451</v>
      </c>
      <c r="E363" s="154" t="s">
        <v>331</v>
      </c>
      <c r="F363" s="154" t="s">
        <v>15</v>
      </c>
      <c r="G363" s="15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  <c r="AG363" s="30"/>
    </row>
    <row r="364" spans="1:33" x14ac:dyDescent="0.25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451</v>
      </c>
      <c r="E364" s="154" t="s">
        <v>332</v>
      </c>
      <c r="F364" s="154" t="s">
        <v>22</v>
      </c>
      <c r="G364" s="15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  <c r="AG364" s="30"/>
    </row>
    <row r="365" spans="1:33" x14ac:dyDescent="0.25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451</v>
      </c>
      <c r="E365" s="154" t="s">
        <v>332</v>
      </c>
      <c r="F365" s="154" t="s">
        <v>21</v>
      </c>
      <c r="G365" s="15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  <c r="AG365" s="30"/>
    </row>
    <row r="366" spans="1:33" x14ac:dyDescent="0.25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451</v>
      </c>
      <c r="E366" s="154" t="s">
        <v>332</v>
      </c>
      <c r="F366" s="154" t="s">
        <v>20</v>
      </c>
      <c r="G366" s="15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  <c r="AG366" s="30"/>
    </row>
    <row r="367" spans="1:33" x14ac:dyDescent="0.25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451</v>
      </c>
      <c r="E367" s="154" t="s">
        <v>332</v>
      </c>
      <c r="F367" s="154" t="s">
        <v>19</v>
      </c>
      <c r="G367" s="15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  <c r="AG367" s="30"/>
    </row>
    <row r="368" spans="1:33" x14ac:dyDescent="0.25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451</v>
      </c>
      <c r="E368" s="154" t="s">
        <v>332</v>
      </c>
      <c r="F368" s="154" t="s">
        <v>18</v>
      </c>
      <c r="G368" s="15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  <c r="AG368" s="30"/>
    </row>
    <row r="369" spans="1:33" x14ac:dyDescent="0.25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451</v>
      </c>
      <c r="E369" s="154" t="s">
        <v>333</v>
      </c>
      <c r="F369" s="154" t="s">
        <v>8</v>
      </c>
      <c r="G369" s="15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  <c r="AG369" s="30"/>
    </row>
    <row r="370" spans="1:33" x14ac:dyDescent="0.25">
      <c r="A370" s="234">
        <v>194</v>
      </c>
      <c r="B370" s="1" t="str">
        <f t="shared" si="75"/>
        <v>3.66, Spray (Spot) 27'</v>
      </c>
      <c r="C370" s="158">
        <v>3.66</v>
      </c>
      <c r="D370" s="154" t="s">
        <v>451</v>
      </c>
      <c r="E370" s="154" t="s">
        <v>334</v>
      </c>
      <c r="F370" s="154" t="s">
        <v>17</v>
      </c>
      <c r="G370" s="15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  <c r="AG370" s="30"/>
    </row>
    <row r="371" spans="1:33" x14ac:dyDescent="0.25">
      <c r="A371" s="234">
        <v>195</v>
      </c>
      <c r="B371" s="1" t="str">
        <f t="shared" si="75"/>
        <v>3.67, Spray (Spot) 40'</v>
      </c>
      <c r="C371" s="158">
        <v>3.67</v>
      </c>
      <c r="D371" s="154" t="s">
        <v>451</v>
      </c>
      <c r="E371" s="154" t="s">
        <v>334</v>
      </c>
      <c r="F371" s="154" t="s">
        <v>16</v>
      </c>
      <c r="G371" s="15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  <c r="AG371" s="30"/>
    </row>
    <row r="372" spans="1:33" x14ac:dyDescent="0.25">
      <c r="A372" s="234">
        <v>358</v>
      </c>
      <c r="B372" s="1" t="str">
        <f t="shared" si="75"/>
        <v>3.68, Spray (Spot) 50'</v>
      </c>
      <c r="C372" s="158">
        <v>3.68</v>
      </c>
      <c r="D372" s="154" t="s">
        <v>451</v>
      </c>
      <c r="E372" s="154" t="s">
        <v>334</v>
      </c>
      <c r="F372" s="154" t="s">
        <v>15</v>
      </c>
      <c r="G372" s="15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  <c r="AG372" s="30"/>
    </row>
    <row r="373" spans="1:33" x14ac:dyDescent="0.25">
      <c r="A373" s="234">
        <v>359</v>
      </c>
      <c r="B373" s="1" t="str">
        <f t="shared" si="75"/>
        <v>3.69, Spray (Spot) 53'</v>
      </c>
      <c r="C373" s="158">
        <v>3.69</v>
      </c>
      <c r="D373" s="154" t="s">
        <v>451</v>
      </c>
      <c r="E373" s="154" t="s">
        <v>334</v>
      </c>
      <c r="F373" s="154" t="s">
        <v>14</v>
      </c>
      <c r="G373" s="15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  <c r="AG373" s="30"/>
    </row>
    <row r="374" spans="1:33" x14ac:dyDescent="0.25">
      <c r="A374" s="234">
        <v>196</v>
      </c>
      <c r="B374" s="1" t="str">
        <f t="shared" si="75"/>
        <v>3.7, Spray (Spot) 60'</v>
      </c>
      <c r="C374" s="158">
        <v>3.7</v>
      </c>
      <c r="D374" s="154" t="s">
        <v>451</v>
      </c>
      <c r="E374" s="154" t="s">
        <v>334</v>
      </c>
      <c r="F374" s="154" t="s">
        <v>13</v>
      </c>
      <c r="G374" s="15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  <c r="AG374" s="30"/>
    </row>
    <row r="375" spans="1:33" x14ac:dyDescent="0.25">
      <c r="A375" s="234"/>
      <c r="B375" s="1" t="str">
        <f t="shared" si="75"/>
        <v>3.71, ST Plant Rigid 6R-36</v>
      </c>
      <c r="C375" s="158">
        <v>3.71</v>
      </c>
      <c r="D375" s="154" t="s">
        <v>451</v>
      </c>
      <c r="E375" s="154" t="s">
        <v>432</v>
      </c>
      <c r="F375" s="154" t="s">
        <v>204</v>
      </c>
      <c r="G375" s="15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  <c r="AG375" s="30"/>
    </row>
    <row r="376" spans="1:33" x14ac:dyDescent="0.25">
      <c r="A376" s="234"/>
      <c r="B376" s="1" t="str">
        <f t="shared" si="75"/>
        <v>3.72, ST Plant Rigid 8R-36</v>
      </c>
      <c r="C376" s="158">
        <v>3.72</v>
      </c>
      <c r="D376" s="154" t="s">
        <v>451</v>
      </c>
      <c r="E376" s="154" t="s">
        <v>432</v>
      </c>
      <c r="F376" s="154" t="s">
        <v>203</v>
      </c>
      <c r="G376" s="15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  <c r="AG376" s="30"/>
    </row>
    <row r="377" spans="1:33" x14ac:dyDescent="0.25">
      <c r="A377" s="234">
        <v>693</v>
      </c>
      <c r="B377" s="1" t="str">
        <f t="shared" si="75"/>
        <v>3.73, Strip Till 12R-30</v>
      </c>
      <c r="C377" s="158">
        <v>3.73</v>
      </c>
      <c r="D377" s="154" t="s">
        <v>451</v>
      </c>
      <c r="E377" s="154" t="s">
        <v>335</v>
      </c>
      <c r="F377" s="154" t="s">
        <v>6</v>
      </c>
      <c r="G377" s="15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  <c r="AG377" s="30"/>
    </row>
    <row r="378" spans="1:33" x14ac:dyDescent="0.25">
      <c r="A378" s="234">
        <v>202</v>
      </c>
      <c r="B378" s="1" t="str">
        <f t="shared" si="75"/>
        <v>3.74, Subsoiler 3 shank</v>
      </c>
      <c r="C378" s="158">
        <v>3.74</v>
      </c>
      <c r="D378" s="154" t="s">
        <v>451</v>
      </c>
      <c r="E378" s="154" t="s">
        <v>336</v>
      </c>
      <c r="F378" s="154" t="s">
        <v>5</v>
      </c>
      <c r="G378" s="15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  <c r="AG378" s="30"/>
    </row>
    <row r="379" spans="1:33" x14ac:dyDescent="0.25">
      <c r="A379" s="234">
        <v>217</v>
      </c>
      <c r="B379" s="1" t="str">
        <f t="shared" si="75"/>
        <v>3.75, Subsoiler 4 shank</v>
      </c>
      <c r="C379" s="158">
        <v>3.75</v>
      </c>
      <c r="D379" s="154" t="s">
        <v>451</v>
      </c>
      <c r="E379" s="154" t="s">
        <v>336</v>
      </c>
      <c r="F379" s="154" t="s">
        <v>3</v>
      </c>
      <c r="G379" s="15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  <c r="AG379" s="30"/>
    </row>
    <row r="380" spans="1:33" x14ac:dyDescent="0.25">
      <c r="A380" s="234">
        <v>203</v>
      </c>
      <c r="B380" s="1" t="str">
        <f t="shared" si="75"/>
        <v>3.76, Subsoiler 5 shank</v>
      </c>
      <c r="C380" s="158">
        <v>3.76</v>
      </c>
      <c r="D380" s="154" t="s">
        <v>451</v>
      </c>
      <c r="E380" s="154" t="s">
        <v>336</v>
      </c>
      <c r="F380" s="154" t="s">
        <v>4</v>
      </c>
      <c r="G380" s="15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  <c r="AG380" s="30"/>
    </row>
    <row r="381" spans="1:33" x14ac:dyDescent="0.25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451</v>
      </c>
      <c r="E381" s="154" t="s">
        <v>337</v>
      </c>
      <c r="F381" s="154" t="s">
        <v>3</v>
      </c>
      <c r="G381" s="15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  <c r="AG381" s="30"/>
    </row>
    <row r="382" spans="1:33" x14ac:dyDescent="0.25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451</v>
      </c>
      <c r="E382" s="154" t="s">
        <v>337</v>
      </c>
      <c r="F382" s="154" t="s">
        <v>2</v>
      </c>
      <c r="G382" s="15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  <c r="AG382" s="30"/>
    </row>
    <row r="383" spans="1:33" x14ac:dyDescent="0.25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451</v>
      </c>
      <c r="E383" s="154" t="s">
        <v>337</v>
      </c>
      <c r="F383" s="154" t="s">
        <v>1</v>
      </c>
      <c r="G383" s="15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  <c r="AG383" s="30"/>
    </row>
    <row r="384" spans="1:33" x14ac:dyDescent="0.25">
      <c r="D384" s="154"/>
      <c r="AG384" s="30"/>
    </row>
    <row r="385" spans="1:33" x14ac:dyDescent="0.25">
      <c r="D385" s="154"/>
      <c r="AG385" s="30"/>
    </row>
    <row r="386" spans="1:33" x14ac:dyDescent="0.25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451</v>
      </c>
      <c r="E386" s="154" t="s">
        <v>338</v>
      </c>
      <c r="F386" s="154" t="s">
        <v>225</v>
      </c>
      <c r="G386" s="15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  <c r="AG386" s="30"/>
    </row>
    <row r="387" spans="1:33" x14ac:dyDescent="0.25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451</v>
      </c>
      <c r="E387" s="154" t="s">
        <v>338</v>
      </c>
      <c r="F387" s="154" t="s">
        <v>354</v>
      </c>
      <c r="G387" s="15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  <c r="AG387" s="30"/>
    </row>
    <row r="388" spans="1:33" x14ac:dyDescent="0.25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451</v>
      </c>
      <c r="E388" s="154" t="s">
        <v>338</v>
      </c>
      <c r="F388" s="154" t="s">
        <v>228</v>
      </c>
      <c r="G388" s="15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  <c r="AG388" s="30"/>
    </row>
    <row r="389" spans="1:33" x14ac:dyDescent="0.25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451</v>
      </c>
      <c r="E389" s="154" t="s">
        <v>338</v>
      </c>
      <c r="F389" s="154" t="s">
        <v>356</v>
      </c>
      <c r="G389" s="15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  <c r="AG389" s="30"/>
    </row>
    <row r="390" spans="1:33" x14ac:dyDescent="0.25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451</v>
      </c>
      <c r="E390" s="154" t="s">
        <v>338</v>
      </c>
      <c r="F390" s="154" t="s">
        <v>355</v>
      </c>
      <c r="G390" s="15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  <c r="AG390" s="30"/>
    </row>
    <row r="391" spans="1:33" x14ac:dyDescent="0.25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451</v>
      </c>
      <c r="E391" s="154" t="s">
        <v>338</v>
      </c>
      <c r="F391" s="154" t="s">
        <v>357</v>
      </c>
      <c r="G391" s="15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  <c r="AG391" s="30"/>
    </row>
    <row r="392" spans="1:33" x14ac:dyDescent="0.25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451</v>
      </c>
      <c r="E392" s="154" t="s">
        <v>338</v>
      </c>
      <c r="F392" s="154" t="s">
        <v>231</v>
      </c>
      <c r="G392" s="15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  <c r="AG392" s="30"/>
    </row>
    <row r="393" spans="1:33" x14ac:dyDescent="0.25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451</v>
      </c>
      <c r="E393" s="154" t="s">
        <v>338</v>
      </c>
      <c r="F393" s="154" t="s">
        <v>232</v>
      </c>
      <c r="G393" s="15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  <c r="AG393" s="30"/>
    </row>
    <row r="394" spans="1:33" x14ac:dyDescent="0.25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451</v>
      </c>
      <c r="E394" s="154" t="s">
        <v>338</v>
      </c>
      <c r="F394" s="154" t="s">
        <v>358</v>
      </c>
      <c r="G394" s="15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  <c r="AG394" s="30"/>
    </row>
    <row r="395" spans="1:33" x14ac:dyDescent="0.25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451</v>
      </c>
      <c r="E395" s="154" t="s">
        <v>339</v>
      </c>
      <c r="F395" s="154" t="s">
        <v>73</v>
      </c>
      <c r="G395" s="15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  <c r="AG395" s="30"/>
    </row>
    <row r="396" spans="1:33" x14ac:dyDescent="0.25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451</v>
      </c>
      <c r="E396" s="154" t="s">
        <v>339</v>
      </c>
      <c r="F396" s="154" t="s">
        <v>73</v>
      </c>
      <c r="G396" s="15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  <c r="AG396" s="30"/>
    </row>
    <row r="397" spans="1:33" x14ac:dyDescent="0.25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451</v>
      </c>
      <c r="E397" s="154" t="s">
        <v>339</v>
      </c>
      <c r="F397" s="154" t="s">
        <v>72</v>
      </c>
      <c r="G397" s="15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  <c r="AG397" s="30"/>
    </row>
    <row r="398" spans="1:33" x14ac:dyDescent="0.25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451</v>
      </c>
      <c r="E398" s="154" t="s">
        <v>339</v>
      </c>
      <c r="F398" s="154" t="s">
        <v>71</v>
      </c>
      <c r="G398" s="15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  <c r="AG398" s="30"/>
    </row>
    <row r="399" spans="1:33" x14ac:dyDescent="0.25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451</v>
      </c>
      <c r="E399" s="154" t="s">
        <v>339</v>
      </c>
      <c r="F399" s="154" t="s">
        <v>70</v>
      </c>
      <c r="G399" s="15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  <c r="AG399" s="30"/>
    </row>
    <row r="400" spans="1:33" x14ac:dyDescent="0.25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451</v>
      </c>
      <c r="E400" s="154" t="s">
        <v>339</v>
      </c>
      <c r="F400" s="154" t="s">
        <v>47</v>
      </c>
      <c r="G400" s="15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  <c r="AG400" s="30"/>
    </row>
    <row r="401" spans="1:33" x14ac:dyDescent="0.25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451</v>
      </c>
      <c r="E401" s="154" t="s">
        <v>339</v>
      </c>
      <c r="F401" s="154" t="s">
        <v>205</v>
      </c>
      <c r="G401" s="15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  <c r="AG401" s="30"/>
    </row>
    <row r="402" spans="1:33" x14ac:dyDescent="0.25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451</v>
      </c>
      <c r="E402" s="154" t="s">
        <v>339</v>
      </c>
      <c r="F402" s="154" t="s">
        <v>69</v>
      </c>
      <c r="G402" s="15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  <c r="AG402" s="30"/>
    </row>
    <row r="403" spans="1:33" x14ac:dyDescent="0.25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451</v>
      </c>
      <c r="E403" s="154" t="s">
        <v>339</v>
      </c>
      <c r="F403" s="154" t="s">
        <v>206</v>
      </c>
      <c r="G403" s="15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  <c r="AG403" s="30"/>
    </row>
    <row r="404" spans="1:33" x14ac:dyDescent="0.25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451</v>
      </c>
      <c r="E404" s="154" t="s">
        <v>339</v>
      </c>
      <c r="F404" s="154" t="s">
        <v>204</v>
      </c>
      <c r="G404" s="15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  <c r="AG404" s="30"/>
    </row>
    <row r="405" spans="1:33" x14ac:dyDescent="0.25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451</v>
      </c>
      <c r="E405" s="154" t="s">
        <v>339</v>
      </c>
      <c r="F405" s="154" t="s">
        <v>68</v>
      </c>
      <c r="G405" s="15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  <c r="AG405" s="30"/>
    </row>
    <row r="406" spans="1:33" x14ac:dyDescent="0.25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451</v>
      </c>
      <c r="E406" s="154" t="s">
        <v>339</v>
      </c>
      <c r="F406" s="154" t="s">
        <v>94</v>
      </c>
      <c r="G406" s="15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  <c r="AG406" s="30"/>
    </row>
    <row r="407" spans="1:33" x14ac:dyDescent="0.25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451</v>
      </c>
      <c r="E407" s="154" t="s">
        <v>339</v>
      </c>
      <c r="F407" s="154" t="s">
        <v>203</v>
      </c>
      <c r="G407" s="15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  <c r="AG407" s="30"/>
    </row>
    <row r="408" spans="1:33" x14ac:dyDescent="0.25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451</v>
      </c>
      <c r="E408" s="154" t="s">
        <v>340</v>
      </c>
      <c r="F408" s="154" t="s">
        <v>88</v>
      </c>
      <c r="G408" s="15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  <c r="AG408" s="30"/>
    </row>
    <row r="409" spans="1:33" x14ac:dyDescent="0.25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451</v>
      </c>
      <c r="E409" s="154" t="s">
        <v>340</v>
      </c>
      <c r="F409" s="154" t="s">
        <v>87</v>
      </c>
      <c r="G409" s="15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  <c r="AG409" s="30"/>
    </row>
    <row r="410" spans="1:33" x14ac:dyDescent="0.25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451</v>
      </c>
      <c r="E410" s="154" t="s">
        <v>340</v>
      </c>
      <c r="F410" s="154" t="s">
        <v>86</v>
      </c>
      <c r="G410" s="15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  <c r="AG410" s="30"/>
    </row>
    <row r="411" spans="1:33" x14ac:dyDescent="0.25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451</v>
      </c>
      <c r="E411" s="154" t="s">
        <v>341</v>
      </c>
      <c r="F411" s="154" t="s">
        <v>88</v>
      </c>
      <c r="G411" s="15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  <c r="AG411" s="30"/>
    </row>
    <row r="412" spans="1:33" x14ac:dyDescent="0.25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451</v>
      </c>
      <c r="E412" s="154" t="s">
        <v>341</v>
      </c>
      <c r="F412" s="154" t="s">
        <v>87</v>
      </c>
      <c r="G412" s="15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  <c r="AG412" s="30"/>
    </row>
    <row r="413" spans="1:33" x14ac:dyDescent="0.25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451</v>
      </c>
      <c r="E413" s="154" t="s">
        <v>341</v>
      </c>
      <c r="F413" s="154" t="s">
        <v>86</v>
      </c>
      <c r="G413" s="15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  <c r="AG413" s="30"/>
    </row>
    <row r="414" spans="1:33" x14ac:dyDescent="0.25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451</v>
      </c>
      <c r="E414" s="154" t="s">
        <v>342</v>
      </c>
      <c r="F414" s="154" t="s">
        <v>88</v>
      </c>
      <c r="G414" s="15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  <c r="AG414" s="30"/>
    </row>
    <row r="415" spans="1:33" x14ac:dyDescent="0.25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451</v>
      </c>
      <c r="E415" s="154" t="s">
        <v>342</v>
      </c>
      <c r="F415" s="154" t="s">
        <v>87</v>
      </c>
      <c r="G415" s="15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  <c r="AG415" s="30"/>
    </row>
    <row r="416" spans="1:33" x14ac:dyDescent="0.25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451</v>
      </c>
      <c r="E416" s="154" t="s">
        <v>342</v>
      </c>
      <c r="F416" s="154" t="s">
        <v>86</v>
      </c>
      <c r="G416" s="15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  <c r="AG416" s="30"/>
    </row>
    <row r="417" spans="1:33" x14ac:dyDescent="0.25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451</v>
      </c>
      <c r="E417" s="154" t="s">
        <v>343</v>
      </c>
      <c r="F417" s="154" t="s">
        <v>53</v>
      </c>
      <c r="G417" s="15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30"/>
    </row>
    <row r="418" spans="1:33" x14ac:dyDescent="0.25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451</v>
      </c>
      <c r="E418" s="154" t="s">
        <v>343</v>
      </c>
      <c r="F418" s="154" t="s">
        <v>200</v>
      </c>
      <c r="G418" s="15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  <c r="AG418" s="30"/>
    </row>
    <row r="419" spans="1:33" x14ac:dyDescent="0.25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451</v>
      </c>
      <c r="E419" s="154" t="s">
        <v>343</v>
      </c>
      <c r="F419" s="154" t="s">
        <v>25</v>
      </c>
      <c r="G419" s="15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30"/>
    </row>
    <row r="420" spans="1:33" x14ac:dyDescent="0.25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451</v>
      </c>
      <c r="E420" s="154" t="s">
        <v>343</v>
      </c>
      <c r="F420" s="154" t="s">
        <v>50</v>
      </c>
      <c r="G420" s="15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30"/>
    </row>
    <row r="421" spans="1:33" x14ac:dyDescent="0.25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451</v>
      </c>
      <c r="E421" s="154" t="s">
        <v>343</v>
      </c>
      <c r="F421" s="154" t="s">
        <v>197</v>
      </c>
      <c r="G421" s="15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30"/>
    </row>
    <row r="422" spans="1:33" x14ac:dyDescent="0.25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451</v>
      </c>
      <c r="E422" s="154" t="s">
        <v>343</v>
      </c>
      <c r="F422" s="154" t="s">
        <v>6</v>
      </c>
      <c r="G422" s="15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30"/>
    </row>
    <row r="423" spans="1:33" x14ac:dyDescent="0.25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451</v>
      </c>
      <c r="E423" s="154" t="s">
        <v>344</v>
      </c>
      <c r="F423" s="154" t="s">
        <v>494</v>
      </c>
      <c r="G423" s="15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30"/>
    </row>
    <row r="424" spans="1:33" x14ac:dyDescent="0.25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451</v>
      </c>
      <c r="E424" s="154" t="s">
        <v>344</v>
      </c>
      <c r="F424" s="154" t="s">
        <v>81</v>
      </c>
      <c r="G424" s="15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30"/>
    </row>
    <row r="425" spans="1:33" x14ac:dyDescent="0.25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451</v>
      </c>
      <c r="E425" s="154" t="s">
        <v>344</v>
      </c>
      <c r="F425" s="154" t="s">
        <v>80</v>
      </c>
      <c r="G425" s="15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30"/>
    </row>
    <row r="426" spans="1:33" x14ac:dyDescent="0.25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451</v>
      </c>
      <c r="E426" s="154" t="s">
        <v>344</v>
      </c>
      <c r="F426" s="154" t="s">
        <v>79</v>
      </c>
      <c r="G426" s="15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30"/>
    </row>
    <row r="427" spans="1:33" x14ac:dyDescent="0.25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451</v>
      </c>
      <c r="E427" s="154" t="s">
        <v>345</v>
      </c>
      <c r="F427" s="154" t="s">
        <v>495</v>
      </c>
      <c r="G427" s="15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30"/>
    </row>
    <row r="428" spans="1:33" x14ac:dyDescent="0.25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451</v>
      </c>
      <c r="E428" s="154" t="s">
        <v>345</v>
      </c>
      <c r="F428" s="154" t="s">
        <v>78</v>
      </c>
      <c r="G428" s="15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30"/>
    </row>
    <row r="429" spans="1:33" x14ac:dyDescent="0.25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451</v>
      </c>
      <c r="E429" s="154" t="s">
        <v>345</v>
      </c>
      <c r="F429" s="154" t="s">
        <v>77</v>
      </c>
      <c r="G429" s="15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30"/>
    </row>
    <row r="430" spans="1:33" x14ac:dyDescent="0.25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451</v>
      </c>
      <c r="E430" s="154" t="s">
        <v>346</v>
      </c>
      <c r="F430" s="154" t="s">
        <v>225</v>
      </c>
      <c r="G430" s="15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30"/>
    </row>
    <row r="431" spans="1:33" x14ac:dyDescent="0.25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451</v>
      </c>
      <c r="E431" s="154" t="s">
        <v>346</v>
      </c>
      <c r="F431" s="154" t="s">
        <v>354</v>
      </c>
      <c r="G431" s="15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30"/>
    </row>
    <row r="432" spans="1:33" x14ac:dyDescent="0.25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451</v>
      </c>
      <c r="E432" s="154" t="s">
        <v>346</v>
      </c>
      <c r="F432" s="154" t="s">
        <v>228</v>
      </c>
      <c r="G432" s="15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30"/>
    </row>
    <row r="433" spans="1:33" x14ac:dyDescent="0.25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451</v>
      </c>
      <c r="E433" s="154" t="s">
        <v>346</v>
      </c>
      <c r="F433" s="154" t="s">
        <v>356</v>
      </c>
      <c r="G433" s="15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30"/>
    </row>
    <row r="434" spans="1:33" x14ac:dyDescent="0.25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451</v>
      </c>
      <c r="E434" s="154" t="s">
        <v>346</v>
      </c>
      <c r="F434" s="154" t="s">
        <v>355</v>
      </c>
      <c r="G434" s="15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30"/>
    </row>
    <row r="435" spans="1:33" x14ac:dyDescent="0.25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451</v>
      </c>
      <c r="E435" s="154" t="s">
        <v>346</v>
      </c>
      <c r="F435" s="154" t="s">
        <v>357</v>
      </c>
      <c r="G435" s="15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30"/>
    </row>
    <row r="436" spans="1:33" x14ac:dyDescent="0.25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451</v>
      </c>
      <c r="E436" s="154" t="s">
        <v>346</v>
      </c>
      <c r="F436" s="154" t="s">
        <v>231</v>
      </c>
      <c r="G436" s="15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30"/>
    </row>
    <row r="437" spans="1:33" x14ac:dyDescent="0.25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451</v>
      </c>
      <c r="E437" s="154" t="s">
        <v>346</v>
      </c>
      <c r="F437" s="154" t="s">
        <v>232</v>
      </c>
      <c r="G437" s="15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30"/>
    </row>
    <row r="438" spans="1:33" x14ac:dyDescent="0.25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451</v>
      </c>
      <c r="E438" s="154" t="s">
        <v>346</v>
      </c>
      <c r="F438" s="154" t="s">
        <v>358</v>
      </c>
      <c r="G438" s="15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30"/>
    </row>
    <row r="439" spans="1:33" x14ac:dyDescent="0.25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451</v>
      </c>
      <c r="E439" s="154" t="s">
        <v>347</v>
      </c>
      <c r="F439" s="154" t="s">
        <v>73</v>
      </c>
      <c r="G439" s="15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30"/>
    </row>
    <row r="440" spans="1:33" x14ac:dyDescent="0.25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451</v>
      </c>
      <c r="E440" s="154" t="s">
        <v>347</v>
      </c>
      <c r="F440" s="154" t="s">
        <v>73</v>
      </c>
      <c r="G440" s="15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30"/>
    </row>
    <row r="441" spans="1:33" x14ac:dyDescent="0.25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451</v>
      </c>
      <c r="E441" s="154" t="s">
        <v>347</v>
      </c>
      <c r="F441" s="154" t="s">
        <v>72</v>
      </c>
      <c r="G441" s="15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30"/>
    </row>
    <row r="442" spans="1:33" x14ac:dyDescent="0.25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451</v>
      </c>
      <c r="E442" s="154" t="s">
        <v>347</v>
      </c>
      <c r="F442" s="154" t="s">
        <v>71</v>
      </c>
      <c r="G442" s="15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30"/>
    </row>
    <row r="443" spans="1:33" x14ac:dyDescent="0.25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451</v>
      </c>
      <c r="E443" s="154" t="s">
        <v>347</v>
      </c>
      <c r="F443" s="154" t="s">
        <v>70</v>
      </c>
      <c r="G443" s="15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30"/>
    </row>
    <row r="444" spans="1:33" x14ac:dyDescent="0.25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451</v>
      </c>
      <c r="E444" s="154" t="s">
        <v>347</v>
      </c>
      <c r="F444" s="154" t="s">
        <v>47</v>
      </c>
      <c r="G444" s="15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30"/>
    </row>
    <row r="445" spans="1:33" x14ac:dyDescent="0.25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451</v>
      </c>
      <c r="E445" s="154" t="s">
        <v>347</v>
      </c>
      <c r="F445" s="154" t="s">
        <v>205</v>
      </c>
      <c r="G445" s="15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30"/>
    </row>
    <row r="446" spans="1:33" x14ac:dyDescent="0.25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451</v>
      </c>
      <c r="E446" s="154" t="s">
        <v>347</v>
      </c>
      <c r="F446" s="154" t="s">
        <v>69</v>
      </c>
      <c r="G446" s="15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30"/>
    </row>
    <row r="447" spans="1:33" x14ac:dyDescent="0.25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451</v>
      </c>
      <c r="E447" s="154" t="s">
        <v>347</v>
      </c>
      <c r="F447" s="154" t="s">
        <v>206</v>
      </c>
      <c r="G447" s="15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30"/>
    </row>
    <row r="448" spans="1:33" x14ac:dyDescent="0.25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451</v>
      </c>
      <c r="E448" s="154" t="s">
        <v>347</v>
      </c>
      <c r="F448" s="154" t="s">
        <v>204</v>
      </c>
      <c r="G448" s="15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30"/>
    </row>
    <row r="449" spans="1:33" x14ac:dyDescent="0.25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451</v>
      </c>
      <c r="E449" s="154" t="s">
        <v>347</v>
      </c>
      <c r="F449" s="154" t="s">
        <v>68</v>
      </c>
      <c r="G449" s="15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30"/>
    </row>
    <row r="450" spans="1:33" x14ac:dyDescent="0.25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451</v>
      </c>
      <c r="E450" s="154" t="s">
        <v>347</v>
      </c>
      <c r="F450" s="154" t="s">
        <v>203</v>
      </c>
      <c r="G450" s="15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30"/>
    </row>
    <row r="451" spans="1:33" x14ac:dyDescent="0.25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451</v>
      </c>
      <c r="E451" s="154" t="s">
        <v>348</v>
      </c>
      <c r="F451" s="154" t="s">
        <v>46</v>
      </c>
      <c r="G451" s="154" t="str">
        <f t="shared" si="122"/>
        <v>Peanut Cond. &amp; Lifter 6-Row</v>
      </c>
      <c r="H451" s="30">
        <v>12852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30"/>
    </row>
    <row r="452" spans="1:33" x14ac:dyDescent="0.25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451</v>
      </c>
      <c r="E452" s="154" t="s">
        <v>349</v>
      </c>
      <c r="F452" s="154" t="s">
        <v>46</v>
      </c>
      <c r="G452" s="154" t="str">
        <f t="shared" si="122"/>
        <v>Peanut Conditioner 6-Row</v>
      </c>
      <c r="H452" s="30">
        <v>14688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30"/>
    </row>
    <row r="453" spans="1:33" x14ac:dyDescent="0.25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451</v>
      </c>
      <c r="E453" s="154" t="s">
        <v>449</v>
      </c>
      <c r="F453" s="154" t="s">
        <v>0</v>
      </c>
      <c r="G453" s="154" t="str">
        <f t="shared" si="122"/>
        <v>Peanut Dig/Inverter 4R-30</v>
      </c>
      <c r="H453" s="30">
        <v>26622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30"/>
    </row>
    <row r="454" spans="1:33" x14ac:dyDescent="0.25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451</v>
      </c>
      <c r="E454" s="154" t="s">
        <v>449</v>
      </c>
      <c r="F454" s="154" t="s">
        <v>73</v>
      </c>
      <c r="G454" s="154" t="str">
        <f t="shared" si="122"/>
        <v>Peanut Dig/Inverter 4R-36</v>
      </c>
      <c r="H454" s="30">
        <v>26622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30"/>
    </row>
    <row r="455" spans="1:33" x14ac:dyDescent="0.25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451</v>
      </c>
      <c r="E455" s="154" t="s">
        <v>449</v>
      </c>
      <c r="F455" s="154" t="s">
        <v>204</v>
      </c>
      <c r="G455" s="154" t="str">
        <f t="shared" si="122"/>
        <v>Peanut Dig/Inverter 6R-36</v>
      </c>
      <c r="H455" s="30">
        <v>39168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30"/>
    </row>
    <row r="456" spans="1:33" x14ac:dyDescent="0.25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451</v>
      </c>
      <c r="E456" s="154" t="s">
        <v>350</v>
      </c>
      <c r="F456" s="154" t="s">
        <v>46</v>
      </c>
      <c r="G456" s="154" t="str">
        <f t="shared" si="122"/>
        <v>Peanut Dump Cart 6-Row</v>
      </c>
      <c r="H456" s="30">
        <v>46410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30"/>
    </row>
    <row r="457" spans="1:33" x14ac:dyDescent="0.25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451</v>
      </c>
      <c r="E457" s="154" t="s">
        <v>351</v>
      </c>
      <c r="F457" s="154" t="s">
        <v>46</v>
      </c>
      <c r="G457" s="154" t="str">
        <f t="shared" si="122"/>
        <v>Peanut Lifter 6-Row</v>
      </c>
      <c r="H457" s="30">
        <v>6211.8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30"/>
    </row>
    <row r="458" spans="1:33" x14ac:dyDescent="0.25">
      <c r="A458" s="234"/>
      <c r="B458" s="1" t="str">
        <f t="shared" si="121"/>
        <v>0.73, Peanut Wagon 14'</v>
      </c>
      <c r="C458" s="158">
        <v>0.73</v>
      </c>
      <c r="D458" s="154" t="s">
        <v>451</v>
      </c>
      <c r="E458" s="154" t="s">
        <v>446</v>
      </c>
      <c r="F458" s="154" t="s">
        <v>12</v>
      </c>
      <c r="G458" s="154" t="str">
        <f t="shared" si="122"/>
        <v>Peanut Wagon 14'</v>
      </c>
      <c r="H458" s="30">
        <v>4692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30"/>
    </row>
    <row r="459" spans="1:33" x14ac:dyDescent="0.25">
      <c r="A459" s="234"/>
      <c r="B459" s="1" t="str">
        <f t="shared" si="121"/>
        <v>0.74, Peanut Wagon 21'</v>
      </c>
      <c r="C459" s="158">
        <v>0.74</v>
      </c>
      <c r="D459" s="154" t="s">
        <v>451</v>
      </c>
      <c r="E459" s="154" t="s">
        <v>446</v>
      </c>
      <c r="F459" s="154" t="s">
        <v>39</v>
      </c>
      <c r="G459" s="154" t="str">
        <f t="shared" si="122"/>
        <v>Peanut Wagon 21'</v>
      </c>
      <c r="H459" s="30">
        <v>7038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30"/>
    </row>
    <row r="460" spans="1:33" x14ac:dyDescent="0.25">
      <c r="A460" s="234"/>
      <c r="B460" s="1" t="str">
        <f t="shared" si="121"/>
        <v>0.75, Peanut Wagon 28'</v>
      </c>
      <c r="C460" s="158">
        <v>0.75</v>
      </c>
      <c r="D460" s="154" t="s">
        <v>451</v>
      </c>
      <c r="E460" s="154" t="s">
        <v>446</v>
      </c>
      <c r="F460" s="154" t="s">
        <v>90</v>
      </c>
      <c r="G460" s="154" t="str">
        <f t="shared" si="122"/>
        <v>Peanut Wagon 28'</v>
      </c>
      <c r="H460" s="30">
        <v>8211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30"/>
    </row>
    <row r="461" spans="1:33" x14ac:dyDescent="0.25">
      <c r="A461" s="234"/>
      <c r="B461" s="1" t="str">
        <f t="shared" si="121"/>
        <v>0.76, Pull-type Peanut Combine 2R-36</v>
      </c>
      <c r="C461" s="158">
        <v>0.76</v>
      </c>
      <c r="D461" s="154" t="s">
        <v>451</v>
      </c>
      <c r="E461" s="154" t="s">
        <v>447</v>
      </c>
      <c r="F461" s="154" t="s">
        <v>448</v>
      </c>
      <c r="G461" s="154" t="str">
        <f t="shared" si="122"/>
        <v>Pull-type Peanut Combine 2R-36</v>
      </c>
      <c r="H461" s="30">
        <v>36516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30"/>
    </row>
    <row r="462" spans="1:33" x14ac:dyDescent="0.25">
      <c r="A462" s="234"/>
      <c r="B462" s="1" t="str">
        <f t="shared" si="121"/>
        <v>0.77, Pull-type Peanut Combine 4R-36</v>
      </c>
      <c r="C462" s="158">
        <v>0.77</v>
      </c>
      <c r="D462" s="154" t="s">
        <v>451</v>
      </c>
      <c r="E462" s="154" t="s">
        <v>447</v>
      </c>
      <c r="F462" s="154" t="s">
        <v>73</v>
      </c>
      <c r="G462" s="154" t="str">
        <f t="shared" si="122"/>
        <v>Pull-type Peanut Combine 4R-36</v>
      </c>
      <c r="H462" s="30">
        <v>120360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30"/>
    </row>
    <row r="463" spans="1:33" x14ac:dyDescent="0.25">
      <c r="A463" s="234"/>
      <c r="B463" s="1" t="str">
        <f t="shared" si="121"/>
        <v>0.78, Pull-type Peanut Combine 6R-36</v>
      </c>
      <c r="C463" s="158">
        <v>0.78</v>
      </c>
      <c r="D463" s="154" t="s">
        <v>451</v>
      </c>
      <c r="E463" s="154" t="s">
        <v>447</v>
      </c>
      <c r="F463" s="154" t="s">
        <v>204</v>
      </c>
      <c r="G463" s="154" t="str">
        <f t="shared" si="122"/>
        <v>Pull-type Peanut Combine 6R-36</v>
      </c>
      <c r="H463" s="30">
        <v>137700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30"/>
    </row>
    <row r="464" spans="1:33" x14ac:dyDescent="0.25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451</v>
      </c>
      <c r="E464" s="154" t="s">
        <v>352</v>
      </c>
      <c r="F464" s="154" t="s">
        <v>12</v>
      </c>
      <c r="G464" s="15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30"/>
    </row>
    <row r="465" spans="1:33" x14ac:dyDescent="0.25">
      <c r="A465" s="234">
        <v>267</v>
      </c>
      <c r="B465" s="1" t="str">
        <f t="shared" si="121"/>
        <v>0.8, Stalk Shredder 20'</v>
      </c>
      <c r="C465" s="158">
        <v>0.8</v>
      </c>
      <c r="D465" s="154" t="s">
        <v>451</v>
      </c>
      <c r="E465" s="154" t="s">
        <v>352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 x14ac:dyDescent="0.25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451</v>
      </c>
      <c r="E466" s="154" t="s">
        <v>353</v>
      </c>
      <c r="F466" s="154" t="s">
        <v>11</v>
      </c>
      <c r="G466" s="15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30"/>
    </row>
    <row r="467" spans="1:33" x14ac:dyDescent="0.25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451</v>
      </c>
      <c r="E467" s="154" t="s">
        <v>353</v>
      </c>
      <c r="F467" s="154" t="s">
        <v>10</v>
      </c>
      <c r="G467" s="15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30"/>
    </row>
    <row r="468" spans="1:33" x14ac:dyDescent="0.25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451</v>
      </c>
      <c r="E468" s="154" t="s">
        <v>353</v>
      </c>
      <c r="F468" s="154" t="s">
        <v>9</v>
      </c>
      <c r="G468" s="15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30"/>
    </row>
    <row r="469" spans="1:33" x14ac:dyDescent="0.25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451</v>
      </c>
      <c r="E469" s="154" t="s">
        <v>353</v>
      </c>
      <c r="F469" s="154" t="s">
        <v>8</v>
      </c>
      <c r="G469" s="15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30"/>
    </row>
    <row r="470" spans="1:33" x14ac:dyDescent="0.25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451</v>
      </c>
      <c r="E470" s="154" t="s">
        <v>353</v>
      </c>
      <c r="F470" s="154" t="s">
        <v>7</v>
      </c>
      <c r="G470" s="15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30"/>
    </row>
    <row r="471" spans="1:33" x14ac:dyDescent="0.25">
      <c r="D471" s="154"/>
    </row>
    <row r="472" spans="1:33" x14ac:dyDescent="0.25">
      <c r="D472" s="154"/>
    </row>
    <row r="473" spans="1:33" x14ac:dyDescent="0.25">
      <c r="D473" s="154"/>
    </row>
    <row r="474" spans="1:33" x14ac:dyDescent="0.25">
      <c r="D474" s="154"/>
    </row>
    <row r="475" spans="1:33" x14ac:dyDescent="0.25">
      <c r="D475" s="154"/>
    </row>
    <row r="476" spans="1:33" x14ac:dyDescent="0.25">
      <c r="D476" s="154"/>
    </row>
    <row r="477" spans="1:33" x14ac:dyDescent="0.25">
      <c r="D477" s="154"/>
    </row>
    <row r="478" spans="1:33" x14ac:dyDescent="0.25">
      <c r="D478" s="154"/>
    </row>
    <row r="479" spans="1:33" x14ac:dyDescent="0.25">
      <c r="D479" s="154"/>
    </row>
    <row r="480" spans="1:33" x14ac:dyDescent="0.25">
      <c r="D480" s="154"/>
    </row>
    <row r="481" spans="4:4" x14ac:dyDescent="0.25">
      <c r="D481" s="154"/>
    </row>
    <row r="482" spans="4:4" x14ac:dyDescent="0.25">
      <c r="D482" s="154"/>
    </row>
    <row r="483" spans="4:4" x14ac:dyDescent="0.25">
      <c r="D483" s="154"/>
    </row>
    <row r="484" spans="4:4" x14ac:dyDescent="0.25">
      <c r="D484" s="154"/>
    </row>
    <row r="485" spans="4:4" x14ac:dyDescent="0.25">
      <c r="D485" s="154"/>
    </row>
    <row r="486" spans="4:4" x14ac:dyDescent="0.25">
      <c r="D486" s="154"/>
    </row>
    <row r="487" spans="4:4" x14ac:dyDescent="0.25">
      <c r="D487" s="154"/>
    </row>
    <row r="488" spans="4:4" x14ac:dyDescent="0.25">
      <c r="D488" s="154"/>
    </row>
    <row r="489" spans="4:4" x14ac:dyDescent="0.25">
      <c r="D489" s="154"/>
    </row>
    <row r="490" spans="4:4" x14ac:dyDescent="0.25">
      <c r="D490" s="154"/>
    </row>
    <row r="491" spans="4:4" x14ac:dyDescent="0.25">
      <c r="D491" s="154"/>
    </row>
    <row r="492" spans="4:4" x14ac:dyDescent="0.25">
      <c r="D492" s="154"/>
    </row>
    <row r="510" spans="4:4" x14ac:dyDescent="0.25">
      <c r="D510" s="158" t="s">
        <v>63</v>
      </c>
    </row>
    <row r="511" spans="4:4" x14ac:dyDescent="0.25">
      <c r="D511" s="158" t="s">
        <v>63</v>
      </c>
    </row>
    <row r="512" spans="4:4" x14ac:dyDescent="0.25">
      <c r="D512" s="158" t="s">
        <v>63</v>
      </c>
    </row>
    <row r="513" spans="4:4" x14ac:dyDescent="0.25">
      <c r="D513" s="158" t="s">
        <v>63</v>
      </c>
    </row>
    <row r="514" spans="4:4" x14ac:dyDescent="0.25">
      <c r="D514" s="158" t="s">
        <v>63</v>
      </c>
    </row>
    <row r="515" spans="4:4" x14ac:dyDescent="0.25">
      <c r="D515" s="158" t="s">
        <v>63</v>
      </c>
    </row>
    <row r="516" spans="4:4" x14ac:dyDescent="0.25">
      <c r="D516" s="158" t="s">
        <v>63</v>
      </c>
    </row>
    <row r="517" spans="4:4" x14ac:dyDescent="0.25">
      <c r="D517" s="158" t="s">
        <v>63</v>
      </c>
    </row>
    <row r="518" spans="4:4" x14ac:dyDescent="0.25">
      <c r="D518" s="158" t="s">
        <v>63</v>
      </c>
    </row>
    <row r="519" spans="4:4" x14ac:dyDescent="0.25">
      <c r="D519" s="158" t="s">
        <v>63</v>
      </c>
    </row>
    <row r="520" spans="4:4" x14ac:dyDescent="0.25">
      <c r="D520" s="158" t="s">
        <v>63</v>
      </c>
    </row>
    <row r="521" spans="4:4" x14ac:dyDescent="0.25">
      <c r="D521" s="158" t="s">
        <v>63</v>
      </c>
    </row>
    <row r="522" spans="4:4" x14ac:dyDescent="0.25">
      <c r="D522" s="158" t="s">
        <v>63</v>
      </c>
    </row>
    <row r="523" spans="4:4" x14ac:dyDescent="0.25">
      <c r="D523" s="158" t="s">
        <v>63</v>
      </c>
    </row>
    <row r="524" spans="4:4" x14ac:dyDescent="0.25">
      <c r="D524" s="158" t="s">
        <v>63</v>
      </c>
    </row>
    <row r="525" spans="4:4" x14ac:dyDescent="0.25">
      <c r="D525" s="158" t="s">
        <v>63</v>
      </c>
    </row>
    <row r="526" spans="4:4" x14ac:dyDescent="0.25">
      <c r="D526" s="158" t="s">
        <v>63</v>
      </c>
    </row>
    <row r="527" spans="4:4" x14ac:dyDescent="0.25">
      <c r="D527" s="158" t="s">
        <v>63</v>
      </c>
    </row>
    <row r="528" spans="4:4" x14ac:dyDescent="0.25">
      <c r="D528" s="158" t="s">
        <v>63</v>
      </c>
    </row>
    <row r="529" spans="4:4" x14ac:dyDescent="0.25">
      <c r="D529" s="158" t="s">
        <v>63</v>
      </c>
    </row>
    <row r="530" spans="4:4" x14ac:dyDescent="0.25">
      <c r="D530" s="158" t="s">
        <v>63</v>
      </c>
    </row>
    <row r="531" spans="4:4" x14ac:dyDescent="0.25">
      <c r="D531" s="158" t="s">
        <v>63</v>
      </c>
    </row>
    <row r="532" spans="4:4" x14ac:dyDescent="0.25">
      <c r="D532" s="158" t="s">
        <v>63</v>
      </c>
    </row>
    <row r="533" spans="4:4" x14ac:dyDescent="0.25">
      <c r="D533" s="158" t="s">
        <v>63</v>
      </c>
    </row>
    <row r="534" spans="4:4" x14ac:dyDescent="0.25">
      <c r="D534" s="158" t="s">
        <v>63</v>
      </c>
    </row>
    <row r="535" spans="4:4" x14ac:dyDescent="0.25">
      <c r="D535" s="158" t="s">
        <v>63</v>
      </c>
    </row>
    <row r="536" spans="4:4" x14ac:dyDescent="0.25">
      <c r="D536" s="158" t="s">
        <v>63</v>
      </c>
    </row>
    <row r="537" spans="4:4" x14ac:dyDescent="0.25">
      <c r="D537" s="158" t="s">
        <v>63</v>
      </c>
    </row>
    <row r="538" spans="4:4" x14ac:dyDescent="0.25">
      <c r="D538" s="158" t="s">
        <v>63</v>
      </c>
    </row>
    <row r="539" spans="4:4" x14ac:dyDescent="0.25">
      <c r="D539" s="158" t="s">
        <v>63</v>
      </c>
    </row>
    <row r="540" spans="4:4" x14ac:dyDescent="0.25">
      <c r="D540" s="158" t="s">
        <v>63</v>
      </c>
    </row>
    <row r="541" spans="4:4" x14ac:dyDescent="0.25">
      <c r="D541" s="158" t="s">
        <v>63</v>
      </c>
    </row>
    <row r="542" spans="4:4" x14ac:dyDescent="0.25">
      <c r="D542" s="158" t="s">
        <v>63</v>
      </c>
    </row>
    <row r="543" spans="4:4" x14ac:dyDescent="0.25">
      <c r="D543" s="158" t="s">
        <v>63</v>
      </c>
    </row>
    <row r="544" spans="4:4" x14ac:dyDescent="0.25">
      <c r="D544" s="158" t="s">
        <v>63</v>
      </c>
    </row>
    <row r="545" spans="4:4" x14ac:dyDescent="0.25">
      <c r="D545" s="158" t="s">
        <v>63</v>
      </c>
    </row>
    <row r="546" spans="4:4" x14ac:dyDescent="0.25">
      <c r="D546" s="158" t="s">
        <v>63</v>
      </c>
    </row>
    <row r="547" spans="4:4" x14ac:dyDescent="0.25">
      <c r="D547" s="158" t="s">
        <v>63</v>
      </c>
    </row>
    <row r="548" spans="4:4" x14ac:dyDescent="0.25">
      <c r="D548" s="158" t="s">
        <v>63</v>
      </c>
    </row>
    <row r="549" spans="4:4" x14ac:dyDescent="0.25">
      <c r="D549" s="158" t="s">
        <v>63</v>
      </c>
    </row>
    <row r="550" spans="4:4" x14ac:dyDescent="0.25">
      <c r="D550" s="158" t="s">
        <v>63</v>
      </c>
    </row>
    <row r="551" spans="4:4" x14ac:dyDescent="0.25">
      <c r="D551" s="158" t="s">
        <v>63</v>
      </c>
    </row>
    <row r="552" spans="4:4" x14ac:dyDescent="0.25">
      <c r="D552" s="158" t="s">
        <v>63</v>
      </c>
    </row>
    <row r="553" spans="4:4" x14ac:dyDescent="0.25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0" bestFit="1" customWidth="1"/>
    <col min="4" max="4" width="2" style="154" bestFit="1" customWidth="1"/>
    <col min="5" max="5" width="12.5703125" style="154" bestFit="1" customWidth="1"/>
    <col min="6" max="6" width="6.28515625" style="154" bestFit="1" customWidth="1"/>
    <col min="7" max="7" width="17.42578125" style="154" bestFit="1" customWidth="1"/>
    <col min="8" max="8" width="7" style="21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9" bestFit="1" customWidth="1"/>
    <col min="29" max="29" width="5" style="229" bestFit="1" customWidth="1"/>
    <col min="30" max="30" width="4.5703125" style="229" bestFit="1" customWidth="1"/>
    <col min="31" max="31" width="5.42578125" style="229" bestFit="1" customWidth="1"/>
    <col min="32" max="16384" width="8.85546875" style="1"/>
  </cols>
  <sheetData>
    <row r="1" spans="1:31" x14ac:dyDescent="0.25">
      <c r="A1" s="287" t="s">
        <v>457</v>
      </c>
      <c r="B1" s="287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87"/>
      <c r="D2" s="188"/>
      <c r="E2" s="161"/>
      <c r="O2" s="293" t="s">
        <v>163</v>
      </c>
      <c r="P2" s="293"/>
      <c r="Q2" s="286" t="s">
        <v>127</v>
      </c>
      <c r="R2" s="286"/>
    </row>
    <row r="3" spans="1:31" s="15" customFormat="1" ht="10.15" customHeight="1" x14ac:dyDescent="0.2">
      <c r="A3" s="26" t="s">
        <v>450</v>
      </c>
      <c r="B3" s="26" t="s">
        <v>125</v>
      </c>
      <c r="C3" s="189" t="s">
        <v>126</v>
      </c>
      <c r="D3" s="156" t="s">
        <v>452</v>
      </c>
      <c r="E3" s="157" t="s">
        <v>124</v>
      </c>
      <c r="F3" s="157" t="s">
        <v>123</v>
      </c>
      <c r="G3" s="157" t="s">
        <v>453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463</v>
      </c>
      <c r="AA3" s="230" t="s">
        <v>462</v>
      </c>
      <c r="AB3" s="231" t="s">
        <v>464</v>
      </c>
      <c r="AC3" s="230" t="s">
        <v>465</v>
      </c>
      <c r="AD3" s="230" t="s">
        <v>466</v>
      </c>
      <c r="AE3" s="230" t="s">
        <v>467</v>
      </c>
    </row>
    <row r="4" spans="1:31" x14ac:dyDescent="0.25">
      <c r="B4" s="1" t="str">
        <f>CONCATENATE(C4,D4,E4,F4)</f>
        <v>0.01, Combine (200-249 hp) 240 hp</v>
      </c>
      <c r="C4" s="158">
        <v>0.01</v>
      </c>
      <c r="D4" s="154" t="s">
        <v>451</v>
      </c>
      <c r="E4" s="154" t="s">
        <v>433</v>
      </c>
      <c r="F4" s="154" t="s">
        <v>434</v>
      </c>
      <c r="G4" s="154" t="str">
        <f>CONCATENATE(E4,F4)</f>
        <v>Combine (200-249 hp) 240 hp</v>
      </c>
      <c r="H4" s="212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32">
        <f>((1.132-0.165*(L4^0.5)-0.0079*(M4^0.5))^2)*H4</f>
        <v>57500.423462880724</v>
      </c>
      <c r="AA4" s="232">
        <f>(H4-Z4)/L4</f>
        <v>19008.29804475994</v>
      </c>
      <c r="AB4" s="232">
        <f t="shared" ref="AB4:AB43" si="0">(Z4+H4)*intir</f>
        <v>30879.038111659262</v>
      </c>
      <c r="AC4" s="232">
        <f t="shared" ref="AC4:AC43" si="1">(Z4+H4)*itr</f>
        <v>8234.410163109138</v>
      </c>
      <c r="AD4" s="232">
        <f>(AA4+AB4+AC4)/M4</f>
        <v>290.60873159764174</v>
      </c>
      <c r="AE4" s="233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451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12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32">
        <f t="shared" ref="Z5:Z11" si="3">((1.132-0.165*(L5^0.5)-0.0079*(M5^0.5))^2)*H5</f>
        <v>59759.368670351039</v>
      </c>
      <c r="AA5" s="232">
        <f t="shared" ref="AA5:AA43" si="4">(H5-Z5)/L5</f>
        <v>19755.052610804079</v>
      </c>
      <c r="AB5" s="232">
        <f t="shared" si="0"/>
        <v>32092.143180331594</v>
      </c>
      <c r="AC5" s="232">
        <f t="shared" si="1"/>
        <v>8557.9048480884248</v>
      </c>
      <c r="AD5" s="232">
        <f t="shared" ref="AD5:AD43" si="5">(AA5+AB5+AC5)/M5</f>
        <v>302.0255031961205</v>
      </c>
      <c r="AE5" s="233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451</v>
      </c>
      <c r="E6" s="154" t="s">
        <v>209</v>
      </c>
      <c r="F6" s="154" t="s">
        <v>161</v>
      </c>
      <c r="G6" s="154" t="str">
        <f t="shared" si="2"/>
        <v>Combine (300-349 hp) 325 hp</v>
      </c>
      <c r="H6" s="212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32">
        <f t="shared" si="3"/>
        <v>59480.886347614309</v>
      </c>
      <c r="AA6" s="232">
        <f t="shared" si="4"/>
        <v>22668.259471032143</v>
      </c>
      <c r="AB6" s="232">
        <f t="shared" si="0"/>
        <v>35188.279771285284</v>
      </c>
      <c r="AC6" s="232">
        <f t="shared" si="1"/>
        <v>9383.5412723427435</v>
      </c>
      <c r="AD6" s="232">
        <f t="shared" si="5"/>
        <v>224.13360171553387</v>
      </c>
      <c r="AE6" s="233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58">
        <v>0.04</v>
      </c>
      <c r="D7" s="154" t="s">
        <v>451</v>
      </c>
      <c r="E7" s="154" t="s">
        <v>210</v>
      </c>
      <c r="F7" s="154" t="s">
        <v>160</v>
      </c>
      <c r="G7" s="154" t="str">
        <f t="shared" si="2"/>
        <v>Combine (350-399 hp) 355 hp</v>
      </c>
      <c r="H7" s="212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32">
        <f t="shared" si="3"/>
        <v>64056.339143584635</v>
      </c>
      <c r="AA7" s="232">
        <f t="shared" si="4"/>
        <v>24411.971738034612</v>
      </c>
      <c r="AB7" s="232">
        <f t="shared" si="0"/>
        <v>37895.070522922615</v>
      </c>
      <c r="AC7" s="232">
        <f t="shared" si="1"/>
        <v>10105.352139446031</v>
      </c>
      <c r="AD7" s="232">
        <f t="shared" si="5"/>
        <v>241.37464800134418</v>
      </c>
      <c r="AE7" s="233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58">
        <v>0.05</v>
      </c>
      <c r="D8" s="154" t="s">
        <v>451</v>
      </c>
      <c r="E8" s="154" t="s">
        <v>211</v>
      </c>
      <c r="F8" s="154" t="s">
        <v>159</v>
      </c>
      <c r="G8" s="154" t="str">
        <f t="shared" si="2"/>
        <v>Combine (400-449 hp) 425 hp</v>
      </c>
      <c r="H8" s="212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32">
        <f t="shared" si="3"/>
        <v>68631.791939554969</v>
      </c>
      <c r="AA8" s="232">
        <f t="shared" si="4"/>
        <v>26155.684005037085</v>
      </c>
      <c r="AB8" s="232">
        <f t="shared" si="0"/>
        <v>40601.861274559946</v>
      </c>
      <c r="AC8" s="232">
        <f t="shared" si="1"/>
        <v>10827.163006549319</v>
      </c>
      <c r="AD8" s="232">
        <f t="shared" si="5"/>
        <v>258.6156942871545</v>
      </c>
      <c r="AE8" s="233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58">
        <v>0.06</v>
      </c>
      <c r="D9" s="154" t="s">
        <v>451</v>
      </c>
      <c r="E9" s="154" t="s">
        <v>252</v>
      </c>
      <c r="F9" s="154" t="s">
        <v>158</v>
      </c>
      <c r="G9" s="154" t="str">
        <f t="shared" si="2"/>
        <v>Combine (450-499 hp) 475 hp</v>
      </c>
      <c r="H9" s="212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32">
        <f t="shared" si="3"/>
        <v>72658.190400008854</v>
      </c>
      <c r="AA9" s="232">
        <f t="shared" si="4"/>
        <v>27690.150799999261</v>
      </c>
      <c r="AB9" s="232">
        <f t="shared" si="0"/>
        <v>42983.837136000795</v>
      </c>
      <c r="AC9" s="232">
        <f t="shared" si="1"/>
        <v>11462.356569600213</v>
      </c>
      <c r="AD9" s="232">
        <f t="shared" si="5"/>
        <v>273.78781501866757</v>
      </c>
      <c r="AE9" s="233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451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32">
        <f t="shared" si="3"/>
        <v>53139.848822613072</v>
      </c>
      <c r="AA10" s="232">
        <f t="shared" si="4"/>
        <v>15032.518897173366</v>
      </c>
      <c r="AB10" s="232">
        <f t="shared" si="0"/>
        <v>20388.586394035177</v>
      </c>
      <c r="AC10" s="232">
        <f t="shared" si="1"/>
        <v>5436.9563717427136</v>
      </c>
      <c r="AD10" s="232">
        <f t="shared" si="5"/>
        <v>204.29030831475629</v>
      </c>
      <c r="AE10" s="233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58">
        <v>0.08</v>
      </c>
      <c r="D11" s="154" t="s">
        <v>451</v>
      </c>
      <c r="E11" s="154" t="s">
        <v>253</v>
      </c>
      <c r="F11" s="154" t="s">
        <v>156</v>
      </c>
      <c r="G11" s="15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32">
        <f t="shared" si="3"/>
        <v>3271.0465734886379</v>
      </c>
      <c r="AA11" s="232">
        <f t="shared" si="4"/>
        <v>2032.2109590365258</v>
      </c>
      <c r="AB11" s="232">
        <f t="shared" si="0"/>
        <v>3149.3741916139775</v>
      </c>
      <c r="AC11" s="232">
        <f t="shared" si="1"/>
        <v>839.83311776372739</v>
      </c>
      <c r="AD11" s="232">
        <f t="shared" si="5"/>
        <v>10.035697114023717</v>
      </c>
      <c r="AE11" s="233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58">
        <v>0.09</v>
      </c>
      <c r="D12" s="154" t="s">
        <v>451</v>
      </c>
      <c r="E12" s="154" t="s">
        <v>253</v>
      </c>
      <c r="F12" s="154" t="s">
        <v>156</v>
      </c>
      <c r="G12" s="15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32">
        <f>((0.981-0.093*(L12^0.5)-0.0058*(M12^0.5))^2)*H12</f>
        <v>4572.958928773548</v>
      </c>
      <c r="AA12" s="232">
        <f t="shared" si="4"/>
        <v>1028.5029336590324</v>
      </c>
      <c r="AB12" s="232">
        <f t="shared" si="0"/>
        <v>2119.0463035896191</v>
      </c>
      <c r="AC12" s="232">
        <f t="shared" si="1"/>
        <v>565.07901429056517</v>
      </c>
      <c r="AD12" s="232">
        <f t="shared" si="5"/>
        <v>6.1877137525653616</v>
      </c>
      <c r="AE12" s="233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58">
        <v>0.1</v>
      </c>
      <c r="D13" s="154" t="s">
        <v>451</v>
      </c>
      <c r="E13" s="154" t="s">
        <v>254</v>
      </c>
      <c r="F13" s="154" t="s">
        <v>155</v>
      </c>
      <c r="G13" s="15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32">
        <f t="shared" ref="Z13:Z20" si="18">((0.981-0.093*(L13^0.5)-0.0058*(M13^0.5))^2)*H13</f>
        <v>8285.4148333155135</v>
      </c>
      <c r="AA13" s="232">
        <f t="shared" si="4"/>
        <v>1863.4703690488918</v>
      </c>
      <c r="AB13" s="232">
        <f t="shared" si="0"/>
        <v>3839.3473349983965</v>
      </c>
      <c r="AC13" s="232">
        <f t="shared" si="1"/>
        <v>1023.8259559995724</v>
      </c>
      <c r="AD13" s="232">
        <f t="shared" si="5"/>
        <v>11.211072766744767</v>
      </c>
      <c r="AE13" s="233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58">
        <v>0.11</v>
      </c>
      <c r="D14" s="154" t="s">
        <v>451</v>
      </c>
      <c r="E14" s="154" t="s">
        <v>254</v>
      </c>
      <c r="F14" s="154" t="s">
        <v>154</v>
      </c>
      <c r="G14" s="15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32">
        <f t="shared" si="18"/>
        <v>9563.8764693167213</v>
      </c>
      <c r="AA14" s="232">
        <f t="shared" si="4"/>
        <v>2151.0088236202341</v>
      </c>
      <c r="AB14" s="232">
        <f t="shared" si="0"/>
        <v>4431.7688822385044</v>
      </c>
      <c r="AC14" s="232">
        <f t="shared" si="1"/>
        <v>1181.8050352636012</v>
      </c>
      <c r="AD14" s="232">
        <f t="shared" si="5"/>
        <v>12.940971235203898</v>
      </c>
      <c r="AE14" s="233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58">
        <v>0.12</v>
      </c>
      <c r="D15" s="154" t="s">
        <v>451</v>
      </c>
      <c r="E15" s="154" t="s">
        <v>254</v>
      </c>
      <c r="F15" s="154" t="s">
        <v>155</v>
      </c>
      <c r="G15" s="15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32">
        <f t="shared" si="18"/>
        <v>4646.7163308505405</v>
      </c>
      <c r="AA15" s="232">
        <f t="shared" si="4"/>
        <v>1045.0916906535329</v>
      </c>
      <c r="AB15" s="232">
        <f t="shared" si="0"/>
        <v>2153.2244697765486</v>
      </c>
      <c r="AC15" s="232">
        <f t="shared" si="1"/>
        <v>574.19319194041293</v>
      </c>
      <c r="AD15" s="232">
        <f t="shared" si="5"/>
        <v>6.2875155872841564</v>
      </c>
      <c r="AE15" s="233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58">
        <v>0.13</v>
      </c>
      <c r="D16" s="154" t="s">
        <v>451</v>
      </c>
      <c r="E16" s="154" t="s">
        <v>254</v>
      </c>
      <c r="F16" s="154" t="s">
        <v>154</v>
      </c>
      <c r="G16" s="15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32">
        <f t="shared" si="18"/>
        <v>6441.4797813906962</v>
      </c>
      <c r="AA16" s="232">
        <f t="shared" si="4"/>
        <v>1448.7514441863789</v>
      </c>
      <c r="AB16" s="232">
        <f t="shared" si="0"/>
        <v>2984.8931803251626</v>
      </c>
      <c r="AC16" s="232">
        <f t="shared" si="1"/>
        <v>795.97151475337682</v>
      </c>
      <c r="AD16" s="232">
        <f t="shared" si="5"/>
        <v>8.7160268987748637</v>
      </c>
      <c r="AE16" s="233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451</v>
      </c>
      <c r="E17" s="154" t="s">
        <v>255</v>
      </c>
      <c r="F17" s="154" t="s">
        <v>153</v>
      </c>
      <c r="G17" s="15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32">
        <f t="shared" si="18"/>
        <v>10670.23750047161</v>
      </c>
      <c r="AA17" s="232">
        <f t="shared" si="4"/>
        <v>2399.8401785377423</v>
      </c>
      <c r="AB17" s="232">
        <f t="shared" si="0"/>
        <v>4944.4413750424446</v>
      </c>
      <c r="AC17" s="232">
        <f t="shared" si="1"/>
        <v>1318.5177000113185</v>
      </c>
      <c r="AD17" s="232">
        <f t="shared" si="5"/>
        <v>14.437998755985843</v>
      </c>
      <c r="AE17" s="233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58">
        <v>0.15</v>
      </c>
      <c r="D18" s="154" t="s">
        <v>451</v>
      </c>
      <c r="E18" s="154" t="s">
        <v>255</v>
      </c>
      <c r="F18" s="154" t="s">
        <v>152</v>
      </c>
      <c r="G18" s="15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32">
        <f t="shared" si="18"/>
        <v>11776.598531626501</v>
      </c>
      <c r="AA18" s="232">
        <f t="shared" si="4"/>
        <v>2648.67153345525</v>
      </c>
      <c r="AB18" s="232">
        <f t="shared" si="0"/>
        <v>5457.1138678463849</v>
      </c>
      <c r="AC18" s="232">
        <f t="shared" si="1"/>
        <v>1455.2303647590361</v>
      </c>
      <c r="AD18" s="232">
        <f t="shared" si="5"/>
        <v>15.935026276767784</v>
      </c>
      <c r="AE18" s="233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58">
        <v>0.16</v>
      </c>
      <c r="D19" s="154" t="s">
        <v>451</v>
      </c>
      <c r="E19" s="154" t="s">
        <v>255</v>
      </c>
      <c r="F19" s="154" t="s">
        <v>153</v>
      </c>
      <c r="G19" s="15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32">
        <f t="shared" si="18"/>
        <v>8605.0302423158155</v>
      </c>
      <c r="AA19" s="232">
        <f t="shared" si="4"/>
        <v>1935.3549826917276</v>
      </c>
      <c r="AB19" s="232">
        <f t="shared" si="0"/>
        <v>3987.4527218084231</v>
      </c>
      <c r="AC19" s="232">
        <f t="shared" si="1"/>
        <v>1063.3207258155796</v>
      </c>
      <c r="AD19" s="232">
        <f t="shared" si="5"/>
        <v>11.643547383859552</v>
      </c>
      <c r="AE19" s="233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58">
        <v>0.17</v>
      </c>
      <c r="D20" s="154" t="s">
        <v>451</v>
      </c>
      <c r="E20" s="154" t="s">
        <v>255</v>
      </c>
      <c r="F20" s="154" t="s">
        <v>152</v>
      </c>
      <c r="G20" s="15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32">
        <f t="shared" si="18"/>
        <v>9735.9770741630364</v>
      </c>
      <c r="AA20" s="232">
        <f t="shared" si="4"/>
        <v>2189.7159232740692</v>
      </c>
      <c r="AB20" s="232">
        <f t="shared" si="0"/>
        <v>4511.5179366746734</v>
      </c>
      <c r="AC20" s="232">
        <f t="shared" si="1"/>
        <v>1203.0714497799129</v>
      </c>
      <c r="AD20" s="232">
        <f t="shared" si="5"/>
        <v>13.173842182881092</v>
      </c>
      <c r="AE20" s="233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451</v>
      </c>
      <c r="E21" s="154" t="s">
        <v>256</v>
      </c>
      <c r="F21" s="154" t="s">
        <v>151</v>
      </c>
      <c r="G21" s="15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32">
        <f>((0.942-0.1*(L21^0.5)-0.0008*(M21^0.5))^2)*H21</f>
        <v>19344.982625532048</v>
      </c>
      <c r="AA21" s="232">
        <f t="shared" si="4"/>
        <v>3215.5012410334248</v>
      </c>
      <c r="AB21" s="232">
        <f t="shared" si="0"/>
        <v>7533.628436297884</v>
      </c>
      <c r="AC21" s="232">
        <f t="shared" si="1"/>
        <v>2008.9675830127692</v>
      </c>
      <c r="AD21" s="232">
        <f t="shared" si="5"/>
        <v>21.263495433906794</v>
      </c>
      <c r="AE21" s="233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451</v>
      </c>
      <c r="E22" s="154" t="s">
        <v>256</v>
      </c>
      <c r="F22" s="154" t="s">
        <v>150</v>
      </c>
      <c r="G22" s="15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32">
        <f t="shared" ref="Z22:Z28" si="19">((0.942-0.1*(L22^0.5)-0.0008*(M22^0.5))^2)*H22</f>
        <v>22809.298056094838</v>
      </c>
      <c r="AA22" s="232">
        <f t="shared" si="4"/>
        <v>3791.3358531360832</v>
      </c>
      <c r="AB22" s="232">
        <f t="shared" si="0"/>
        <v>8882.7568250485347</v>
      </c>
      <c r="AC22" s="232">
        <f t="shared" si="1"/>
        <v>2368.7351533462761</v>
      </c>
      <c r="AD22" s="232">
        <f t="shared" si="5"/>
        <v>25.071379719218154</v>
      </c>
      <c r="AE22" s="233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58">
        <v>0.2</v>
      </c>
      <c r="D23" s="154" t="s">
        <v>451</v>
      </c>
      <c r="E23" s="154" t="s">
        <v>256</v>
      </c>
      <c r="F23" s="154" t="s">
        <v>151</v>
      </c>
      <c r="G23" s="15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32">
        <f t="shared" si="19"/>
        <v>16647.108661907929</v>
      </c>
      <c r="AA23" s="232">
        <f t="shared" si="4"/>
        <v>2767.0636670065765</v>
      </c>
      <c r="AB23" s="232">
        <f t="shared" si="0"/>
        <v>6482.9797795717132</v>
      </c>
      <c r="AC23" s="232">
        <f t="shared" si="1"/>
        <v>1728.7946078857904</v>
      </c>
      <c r="AD23" s="232">
        <f t="shared" si="5"/>
        <v>18.298063424106797</v>
      </c>
      <c r="AE23" s="233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451</v>
      </c>
      <c r="E24" s="154" t="s">
        <v>256</v>
      </c>
      <c r="F24" s="154" t="s">
        <v>150</v>
      </c>
      <c r="G24" s="15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32">
        <f t="shared" si="19"/>
        <v>17444.207787524145</v>
      </c>
      <c r="AA24" s="232">
        <f t="shared" si="4"/>
        <v>2899.556586605418</v>
      </c>
      <c r="AB24" s="232">
        <f t="shared" si="0"/>
        <v>6793.3987008771737</v>
      </c>
      <c r="AC24" s="232">
        <f t="shared" si="1"/>
        <v>1811.5729869005797</v>
      </c>
      <c r="AD24" s="232">
        <f t="shared" si="5"/>
        <v>19.174213790638618</v>
      </c>
      <c r="AE24" s="233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451</v>
      </c>
      <c r="E25" s="154" t="s">
        <v>257</v>
      </c>
      <c r="F25" s="154" t="s">
        <v>149</v>
      </c>
      <c r="G25" s="15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32">
        <f t="shared" si="19"/>
        <v>29523.325306477593</v>
      </c>
      <c r="AA25" s="232">
        <f t="shared" si="4"/>
        <v>4907.3339066801718</v>
      </c>
      <c r="AB25" s="232">
        <f t="shared" si="0"/>
        <v>11497.439277582984</v>
      </c>
      <c r="AC25" s="232">
        <f t="shared" si="1"/>
        <v>3065.9838073554624</v>
      </c>
      <c r="AD25" s="232">
        <f t="shared" si="5"/>
        <v>32.451261652697696</v>
      </c>
      <c r="AE25" s="233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451</v>
      </c>
      <c r="E26" s="154" t="s">
        <v>257</v>
      </c>
      <c r="F26" s="154" t="s">
        <v>148</v>
      </c>
      <c r="G26" s="15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32">
        <f t="shared" si="19"/>
        <v>34949.730892403386</v>
      </c>
      <c r="AA26" s="232">
        <f t="shared" si="4"/>
        <v>5809.3049362569009</v>
      </c>
      <c r="AB26" s="232">
        <f t="shared" si="0"/>
        <v>13610.675780316305</v>
      </c>
      <c r="AC26" s="232">
        <f t="shared" si="1"/>
        <v>3629.5135414176816</v>
      </c>
      <c r="AD26" s="232">
        <f t="shared" si="5"/>
        <v>38.415823763318144</v>
      </c>
      <c r="AE26" s="233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451</v>
      </c>
      <c r="E27" s="154" t="s">
        <v>258</v>
      </c>
      <c r="F27" s="154" t="s">
        <v>147</v>
      </c>
      <c r="G27" s="15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32">
        <f t="shared" si="19"/>
        <v>38935.226520484473</v>
      </c>
      <c r="AA27" s="232">
        <f t="shared" si="4"/>
        <v>6471.7695342511088</v>
      </c>
      <c r="AB27" s="232">
        <f t="shared" si="0"/>
        <v>15162.770386843604</v>
      </c>
      <c r="AC27" s="232">
        <f t="shared" si="1"/>
        <v>4043.4054364916278</v>
      </c>
      <c r="AD27" s="232">
        <f t="shared" si="5"/>
        <v>42.796575595977238</v>
      </c>
      <c r="AE27" s="233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451</v>
      </c>
      <c r="E28" s="154" t="s">
        <v>258</v>
      </c>
      <c r="F28" s="154" t="s">
        <v>146</v>
      </c>
      <c r="G28" s="15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32">
        <f t="shared" si="19"/>
        <v>43840.451908891962</v>
      </c>
      <c r="AA28" s="232">
        <f t="shared" si="4"/>
        <v>7287.1105779362888</v>
      </c>
      <c r="AB28" s="232">
        <f t="shared" si="0"/>
        <v>17073.040671800278</v>
      </c>
      <c r="AC28" s="232">
        <f t="shared" si="1"/>
        <v>4552.8108458134075</v>
      </c>
      <c r="AD28" s="232">
        <f t="shared" si="5"/>
        <v>48.18827015924996</v>
      </c>
      <c r="AE28" s="233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451</v>
      </c>
      <c r="E29" s="154" t="s">
        <v>259</v>
      </c>
      <c r="F29" s="154" t="s">
        <v>145</v>
      </c>
      <c r="G29" s="15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32">
        <f>((0.976-0.119*(L29^0.5)-0.0019*(M29^0.5))^2)*H29</f>
        <v>37306.006686750472</v>
      </c>
      <c r="AA29" s="232">
        <f t="shared" si="4"/>
        <v>8700.9995223749665</v>
      </c>
      <c r="AB29" s="232">
        <f t="shared" si="0"/>
        <v>17678.340601807544</v>
      </c>
      <c r="AC29" s="232">
        <f t="shared" si="1"/>
        <v>4714.2241604820119</v>
      </c>
      <c r="AD29" s="232">
        <f t="shared" si="5"/>
        <v>51.82260714110754</v>
      </c>
      <c r="AE29" s="233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451</v>
      </c>
      <c r="E30" s="154" t="s">
        <v>259</v>
      </c>
      <c r="F30" s="154" t="s">
        <v>144</v>
      </c>
      <c r="G30" s="154" t="str">
        <f t="shared" si="2"/>
        <v>Tractor (160-179 hp) MFWD 170</v>
      </c>
      <c r="H30" s="212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32">
        <f t="shared" ref="Z30:Z40" si="20">((0.976-0.119*(L30^0.5)-0.0019*(M30^0.5))^2)*H30</f>
        <v>37306.006686750472</v>
      </c>
      <c r="AA30" s="232">
        <f t="shared" si="4"/>
        <v>8700.9995223749665</v>
      </c>
      <c r="AB30" s="232">
        <f t="shared" si="0"/>
        <v>17678.340601807544</v>
      </c>
      <c r="AC30" s="232">
        <f t="shared" si="1"/>
        <v>4714.2241604820119</v>
      </c>
      <c r="AD30" s="232">
        <f t="shared" si="5"/>
        <v>51.82260714110754</v>
      </c>
      <c r="AE30" s="233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451</v>
      </c>
      <c r="E31" s="154" t="s">
        <v>260</v>
      </c>
      <c r="F31" s="154" t="s">
        <v>143</v>
      </c>
      <c r="G31" s="15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32">
        <f t="shared" si="20"/>
        <v>39936.558440303386</v>
      </c>
      <c r="AA31" s="232">
        <f t="shared" si="4"/>
        <v>9314.5315399783303</v>
      </c>
      <c r="AB31" s="232">
        <f t="shared" si="0"/>
        <v>18924.890259627304</v>
      </c>
      <c r="AC31" s="232">
        <f t="shared" si="1"/>
        <v>5046.6374025672812</v>
      </c>
      <c r="AD31" s="232">
        <f t="shared" si="5"/>
        <v>55.476765336954848</v>
      </c>
      <c r="AE31" s="233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451</v>
      </c>
      <c r="E32" s="154" t="s">
        <v>261</v>
      </c>
      <c r="F32" s="154" t="s">
        <v>142</v>
      </c>
      <c r="G32" s="15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32">
        <f t="shared" si="20"/>
        <v>54045.881482087221</v>
      </c>
      <c r="AA32" s="232">
        <f t="shared" si="4"/>
        <v>12605.294179850913</v>
      </c>
      <c r="AB32" s="232">
        <f t="shared" si="0"/>
        <v>25610.929333387845</v>
      </c>
      <c r="AC32" s="232">
        <f t="shared" si="1"/>
        <v>6829.581155570093</v>
      </c>
      <c r="AD32" s="232">
        <f t="shared" si="5"/>
        <v>75.076341114681412</v>
      </c>
      <c r="AE32" s="233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451</v>
      </c>
      <c r="E33" s="154" t="s">
        <v>261</v>
      </c>
      <c r="F33" s="154" t="s">
        <v>141</v>
      </c>
      <c r="G33" s="15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32">
        <f t="shared" si="20"/>
        <v>66242.075975832558</v>
      </c>
      <c r="AA33" s="232">
        <f t="shared" si="4"/>
        <v>15449.851716011961</v>
      </c>
      <c r="AB33" s="232">
        <f t="shared" si="0"/>
        <v>31390.386837824928</v>
      </c>
      <c r="AC33" s="232">
        <f t="shared" si="1"/>
        <v>8370.7698234199815</v>
      </c>
      <c r="AD33" s="232">
        <f t="shared" si="5"/>
        <v>92.018347295428129</v>
      </c>
      <c r="AE33" s="233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451</v>
      </c>
      <c r="E34" s="154" t="s">
        <v>262</v>
      </c>
      <c r="F34" s="154" t="s">
        <v>140</v>
      </c>
      <c r="G34" s="154" t="str">
        <f t="shared" si="2"/>
        <v>Tractor (250-349 hp) 4WD 300</v>
      </c>
      <c r="H34" s="212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32">
        <f t="shared" si="20"/>
        <v>66242.075975832558</v>
      </c>
      <c r="AA34" s="232">
        <f t="shared" si="4"/>
        <v>15449.851716011961</v>
      </c>
      <c r="AB34" s="232">
        <f t="shared" si="0"/>
        <v>31390.386837824928</v>
      </c>
      <c r="AC34" s="232">
        <f t="shared" si="1"/>
        <v>8370.7698234199815</v>
      </c>
      <c r="AD34" s="232">
        <f t="shared" si="5"/>
        <v>92.018347295428129</v>
      </c>
      <c r="AE34" s="233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451</v>
      </c>
      <c r="E35" s="154" t="s">
        <v>262</v>
      </c>
      <c r="F35" s="154" t="s">
        <v>139</v>
      </c>
      <c r="G35" s="154" t="str">
        <f t="shared" si="2"/>
        <v>Tractor (250-349 hp) MFWD 300</v>
      </c>
      <c r="H35" s="212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32">
        <f t="shared" si="20"/>
        <v>67198.6402498518</v>
      </c>
      <c r="AA35" s="232">
        <f t="shared" si="4"/>
        <v>15672.954267867728</v>
      </c>
      <c r="AB35" s="232">
        <f t="shared" si="0"/>
        <v>31843.677622486663</v>
      </c>
      <c r="AC35" s="232">
        <f t="shared" si="1"/>
        <v>8491.6473659964431</v>
      </c>
      <c r="AD35" s="232">
        <f t="shared" si="5"/>
        <v>93.347132093918049</v>
      </c>
      <c r="AE35" s="233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451</v>
      </c>
      <c r="E36" s="154" t="s">
        <v>262</v>
      </c>
      <c r="F36" s="154" t="s">
        <v>138</v>
      </c>
      <c r="G36" s="154" t="str">
        <f t="shared" si="2"/>
        <v>Tractor (250-349 hp) Track 300</v>
      </c>
      <c r="H36" s="212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32">
        <f t="shared" si="20"/>
        <v>64807.229564803703</v>
      </c>
      <c r="AA36" s="232">
        <f t="shared" si="4"/>
        <v>15115.197888228306</v>
      </c>
      <c r="AB36" s="232">
        <f t="shared" si="0"/>
        <v>30710.450660832332</v>
      </c>
      <c r="AC36" s="232">
        <f t="shared" si="1"/>
        <v>8189.4535095552892</v>
      </c>
      <c r="AD36" s="232">
        <f t="shared" si="5"/>
        <v>90.02517009769322</v>
      </c>
      <c r="AE36" s="233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451</v>
      </c>
      <c r="E37" s="154" t="s">
        <v>263</v>
      </c>
      <c r="F37" s="154" t="s">
        <v>137</v>
      </c>
      <c r="G37" s="154" t="str">
        <f t="shared" si="2"/>
        <v>Tractor (350-449 hp) 4WD 400</v>
      </c>
      <c r="H37" s="212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32">
        <f t="shared" si="20"/>
        <v>74851.154442005747</v>
      </c>
      <c r="AA37" s="232">
        <f t="shared" si="4"/>
        <v>17457.774682713876</v>
      </c>
      <c r="AB37" s="232">
        <f t="shared" si="0"/>
        <v>35470.003899780517</v>
      </c>
      <c r="AC37" s="232">
        <f t="shared" si="1"/>
        <v>9458.6677066081375</v>
      </c>
      <c r="AD37" s="232">
        <f t="shared" si="5"/>
        <v>103.97741048183755</v>
      </c>
      <c r="AE37" s="233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451</v>
      </c>
      <c r="E38" s="154" t="s">
        <v>263</v>
      </c>
      <c r="F38" s="154" t="s">
        <v>136</v>
      </c>
      <c r="G38" s="154" t="str">
        <f t="shared" si="2"/>
        <v>Tractor (350-449 hp) Track 400</v>
      </c>
      <c r="H38" s="212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32">
        <f t="shared" si="20"/>
        <v>87047.348935751099</v>
      </c>
      <c r="AA38" s="232">
        <f t="shared" si="4"/>
        <v>20302.332218874919</v>
      </c>
      <c r="AB38" s="232">
        <f t="shared" si="0"/>
        <v>41249.461404217604</v>
      </c>
      <c r="AC38" s="232">
        <f t="shared" si="1"/>
        <v>10999.856374458028</v>
      </c>
      <c r="AD38" s="232">
        <f t="shared" si="5"/>
        <v>120.91941666258427</v>
      </c>
      <c r="AE38" s="233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451</v>
      </c>
      <c r="E39" s="154" t="s">
        <v>264</v>
      </c>
      <c r="F39" s="154" t="s">
        <v>135</v>
      </c>
      <c r="G39" s="154" t="str">
        <f t="shared" si="2"/>
        <v>Tractor (450-550 hp) 4WD 500</v>
      </c>
      <c r="H39" s="212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32">
        <f t="shared" si="20"/>
        <v>95417.28633341947</v>
      </c>
      <c r="AA39" s="232">
        <f t="shared" si="4"/>
        <v>22254.479547612893</v>
      </c>
      <c r="AB39" s="232">
        <f t="shared" si="0"/>
        <v>45215.755770007752</v>
      </c>
      <c r="AC39" s="232">
        <f t="shared" si="1"/>
        <v>12057.534872002068</v>
      </c>
      <c r="AD39" s="232">
        <f t="shared" si="5"/>
        <v>132.54628364937119</v>
      </c>
      <c r="AE39" s="233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451</v>
      </c>
      <c r="E40" s="154" t="s">
        <v>264</v>
      </c>
      <c r="F40" s="154" t="s">
        <v>134</v>
      </c>
      <c r="G40" s="154" t="str">
        <f t="shared" si="2"/>
        <v>Tractor (450-550 hp) Track 500</v>
      </c>
      <c r="H40" s="212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32">
        <f t="shared" si="20"/>
        <v>86329.92573023666</v>
      </c>
      <c r="AA40" s="232">
        <f t="shared" si="4"/>
        <v>20135.005304983093</v>
      </c>
      <c r="AB40" s="232">
        <f t="shared" si="0"/>
        <v>40909.493315721302</v>
      </c>
      <c r="AC40" s="232">
        <f t="shared" si="1"/>
        <v>10909.198217525682</v>
      </c>
      <c r="AD40" s="232">
        <f t="shared" si="5"/>
        <v>119.92282806371681</v>
      </c>
      <c r="AE40" s="233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58">
        <v>0.38</v>
      </c>
      <c r="D41" s="154" t="s">
        <v>451</v>
      </c>
      <c r="E41" s="154" t="s">
        <v>213</v>
      </c>
      <c r="F41" s="154" t="s">
        <v>133</v>
      </c>
      <c r="G41" s="154" t="str">
        <f t="shared" si="2"/>
        <v>Utility Vehicle 500 CC</v>
      </c>
      <c r="H41" s="212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32">
        <f>((0.786-0.063*(L41^0.5)-0.0033*(M41^0.5))^2)*H41</f>
        <v>1681.4975779439137</v>
      </c>
      <c r="AA41" s="232">
        <f t="shared" si="4"/>
        <v>353.46445871829189</v>
      </c>
      <c r="AB41" s="232">
        <f t="shared" si="0"/>
        <v>748.03478201495216</v>
      </c>
      <c r="AC41" s="232">
        <f t="shared" si="1"/>
        <v>199.47594187065394</v>
      </c>
      <c r="AD41" s="232">
        <f t="shared" si="5"/>
        <v>6.5048759130194904</v>
      </c>
      <c r="AE41" s="233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58">
        <v>0.39</v>
      </c>
      <c r="D42" s="154" t="s">
        <v>451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32">
        <f t="shared" ref="Z42:Z43" si="21">((0.786-0.063*(L42^0.5)-0.0033*(M42^0.5))^2)*H42</f>
        <v>2974.9572532853858</v>
      </c>
      <c r="AA42" s="232">
        <f t="shared" si="4"/>
        <v>625.36019619390106</v>
      </c>
      <c r="AB42" s="232">
        <f t="shared" si="0"/>
        <v>1323.4461527956846</v>
      </c>
      <c r="AC42" s="232">
        <f t="shared" si="1"/>
        <v>352.91897407884926</v>
      </c>
      <c r="AD42" s="232">
        <f t="shared" si="5"/>
        <v>11.508626615342175</v>
      </c>
      <c r="AE42" s="233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58">
        <v>0.4</v>
      </c>
      <c r="D43" s="154" t="s">
        <v>451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32">
        <f t="shared" si="21"/>
        <v>3699.2946714766099</v>
      </c>
      <c r="AA43" s="232">
        <f t="shared" si="4"/>
        <v>777.62180918024217</v>
      </c>
      <c r="AB43" s="232">
        <f t="shared" si="0"/>
        <v>1645.6765204328949</v>
      </c>
      <c r="AC43" s="232">
        <f t="shared" si="1"/>
        <v>438.84707211543866</v>
      </c>
      <c r="AD43" s="232">
        <f t="shared" si="5"/>
        <v>14.310727008642878</v>
      </c>
      <c r="AE43" s="233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4" bestFit="1" customWidth="1"/>
    <col min="4" max="4" width="2" style="154" bestFit="1" customWidth="1"/>
    <col min="5" max="5" width="12.42578125" style="154" bestFit="1" customWidth="1"/>
    <col min="6" max="6" width="7" style="154" bestFit="1" customWidth="1"/>
    <col min="7" max="7" width="18.42578125" style="154" bestFit="1" customWidth="1"/>
    <col min="8" max="8" width="7" style="212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87" t="s">
        <v>456</v>
      </c>
      <c r="B1" s="287"/>
      <c r="C1" s="154">
        <v>2</v>
      </c>
      <c r="D1" s="154">
        <v>3</v>
      </c>
      <c r="E1" s="154">
        <v>4</v>
      </c>
      <c r="F1" s="154">
        <v>5</v>
      </c>
      <c r="G1" s="1">
        <v>6</v>
      </c>
      <c r="H1" s="21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88"/>
      <c r="D2" s="188"/>
      <c r="E2" s="160"/>
      <c r="S2" s="285" t="s">
        <v>128</v>
      </c>
      <c r="T2" s="285"/>
      <c r="U2" s="285"/>
      <c r="V2" s="285"/>
      <c r="W2" s="285"/>
      <c r="X2" s="285"/>
      <c r="Y2" s="286" t="s">
        <v>127</v>
      </c>
      <c r="Z2" s="286"/>
    </row>
    <row r="3" spans="1:36" s="15" customFormat="1" ht="10.15" customHeight="1" x14ac:dyDescent="0.2">
      <c r="A3" s="26" t="s">
        <v>450</v>
      </c>
      <c r="B3" s="26" t="s">
        <v>125</v>
      </c>
      <c r="C3" s="156" t="s">
        <v>126</v>
      </c>
      <c r="D3" s="156" t="s">
        <v>452</v>
      </c>
      <c r="E3" s="157" t="s">
        <v>124</v>
      </c>
      <c r="F3" s="157" t="s">
        <v>123</v>
      </c>
      <c r="G3" s="157" t="s">
        <v>453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54">
        <v>0.01</v>
      </c>
      <c r="D4" s="154" t="s">
        <v>451</v>
      </c>
      <c r="E4" s="175" t="s">
        <v>214</v>
      </c>
      <c r="F4" s="175" t="s">
        <v>225</v>
      </c>
      <c r="G4" s="15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8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8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54">
        <v>0.02</v>
      </c>
      <c r="D5" s="154" t="s">
        <v>451</v>
      </c>
      <c r="E5" s="175" t="s">
        <v>214</v>
      </c>
      <c r="F5" s="175" t="s">
        <v>226</v>
      </c>
      <c r="G5" s="15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8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8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54">
        <v>0.03</v>
      </c>
      <c r="D6" s="154" t="s">
        <v>451</v>
      </c>
      <c r="E6" s="175" t="s">
        <v>214</v>
      </c>
      <c r="F6" s="175" t="s">
        <v>227</v>
      </c>
      <c r="G6" s="15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8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8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54">
        <v>0.04</v>
      </c>
      <c r="D7" s="154" t="s">
        <v>451</v>
      </c>
      <c r="E7" s="175" t="s">
        <v>214</v>
      </c>
      <c r="F7" s="175" t="s">
        <v>228</v>
      </c>
      <c r="G7" s="15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8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8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54">
        <v>0.05</v>
      </c>
      <c r="D8" s="154" t="s">
        <v>451</v>
      </c>
      <c r="E8" s="175" t="s">
        <v>214</v>
      </c>
      <c r="F8" s="175" t="s">
        <v>229</v>
      </c>
      <c r="G8" s="15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8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8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54">
        <v>0.06</v>
      </c>
      <c r="D9" s="154" t="s">
        <v>451</v>
      </c>
      <c r="E9" s="175" t="s">
        <v>214</v>
      </c>
      <c r="F9" s="175" t="s">
        <v>230</v>
      </c>
      <c r="G9" s="15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8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8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54">
        <v>7.0000000000000007E-2</v>
      </c>
      <c r="D10" s="154" t="s">
        <v>451</v>
      </c>
      <c r="E10" s="175" t="s">
        <v>214</v>
      </c>
      <c r="F10" s="175" t="s">
        <v>231</v>
      </c>
      <c r="G10" s="15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8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8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54">
        <v>0.08</v>
      </c>
      <c r="D11" s="154" t="s">
        <v>451</v>
      </c>
      <c r="E11" s="175" t="s">
        <v>214</v>
      </c>
      <c r="F11" s="175" t="s">
        <v>232</v>
      </c>
      <c r="G11" s="15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8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8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54">
        <v>0.09</v>
      </c>
      <c r="D12" s="154" t="s">
        <v>451</v>
      </c>
      <c r="E12" s="175" t="s">
        <v>214</v>
      </c>
      <c r="F12" s="175" t="s">
        <v>233</v>
      </c>
      <c r="G12" s="15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8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8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54">
        <v>0.1</v>
      </c>
      <c r="D13" s="154" t="s">
        <v>451</v>
      </c>
      <c r="E13" s="175" t="s">
        <v>215</v>
      </c>
      <c r="F13" s="175" t="s">
        <v>234</v>
      </c>
      <c r="G13" s="15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8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8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54">
        <v>0.11</v>
      </c>
      <c r="D14" s="154" t="s">
        <v>451</v>
      </c>
      <c r="E14" s="175" t="s">
        <v>215</v>
      </c>
      <c r="F14" s="175" t="s">
        <v>235</v>
      </c>
      <c r="G14" s="15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8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8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54">
        <v>0.12</v>
      </c>
      <c r="D15" s="154" t="s">
        <v>451</v>
      </c>
      <c r="E15" s="175" t="s">
        <v>215</v>
      </c>
      <c r="F15" s="175" t="s">
        <v>236</v>
      </c>
      <c r="G15" s="15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8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8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54">
        <v>0.13</v>
      </c>
      <c r="D16" s="154" t="s">
        <v>451</v>
      </c>
      <c r="E16" s="175" t="s">
        <v>215</v>
      </c>
      <c r="F16" s="175" t="s">
        <v>237</v>
      </c>
      <c r="G16" s="15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8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8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54">
        <v>0.14000000000000001</v>
      </c>
      <c r="D17" s="154" t="s">
        <v>451</v>
      </c>
      <c r="E17" s="175" t="s">
        <v>215</v>
      </c>
      <c r="F17" s="175" t="s">
        <v>238</v>
      </c>
      <c r="G17" s="15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8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85">
        <f t="shared" si="12"/>
        <v>567.84624000000008</v>
      </c>
    </row>
    <row r="18" spans="1:33" s="212" customFormat="1" x14ac:dyDescent="0.25">
      <c r="A18" s="212">
        <v>107</v>
      </c>
      <c r="B18" s="212" t="str">
        <f t="shared" si="13"/>
        <v xml:space="preserve">0.15, Backhoe 2WD Cab </v>
      </c>
      <c r="C18" s="154">
        <v>0.15</v>
      </c>
      <c r="D18" s="154" t="s">
        <v>451</v>
      </c>
      <c r="E18" s="175" t="s">
        <v>469</v>
      </c>
      <c r="F18" s="175" t="s">
        <v>468</v>
      </c>
      <c r="G18" s="15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1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35">
        <f t="shared" si="3"/>
        <v>4.9988896400696996</v>
      </c>
      <c r="Y18" s="8">
        <f t="shared" si="4"/>
        <v>765</v>
      </c>
      <c r="Z18" s="18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8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54">
        <v>0.16</v>
      </c>
      <c r="D19" s="154" t="s">
        <v>451</v>
      </c>
      <c r="E19" s="175" t="s">
        <v>216</v>
      </c>
      <c r="F19" s="175" t="s">
        <v>239</v>
      </c>
      <c r="G19" s="15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8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8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54">
        <v>0.17</v>
      </c>
      <c r="D20" s="154" t="s">
        <v>451</v>
      </c>
      <c r="E20" s="175" t="s">
        <v>217</v>
      </c>
      <c r="F20" s="175" t="s">
        <v>240</v>
      </c>
      <c r="G20" s="15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8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8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54">
        <v>0.18</v>
      </c>
      <c r="D21" s="154" t="s">
        <v>451</v>
      </c>
      <c r="E21" s="176" t="s">
        <v>218</v>
      </c>
      <c r="F21" s="176" t="s">
        <v>241</v>
      </c>
      <c r="G21" s="15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8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8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54">
        <v>0.19</v>
      </c>
      <c r="D22" s="154" t="s">
        <v>451</v>
      </c>
      <c r="E22" s="175" t="s">
        <v>218</v>
      </c>
      <c r="F22" s="175" t="s">
        <v>242</v>
      </c>
      <c r="G22" s="15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8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8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54">
        <v>0.2</v>
      </c>
      <c r="D23" s="154" t="s">
        <v>451</v>
      </c>
      <c r="E23" s="175" t="s">
        <v>219</v>
      </c>
      <c r="F23" s="175" t="s">
        <v>243</v>
      </c>
      <c r="G23" s="15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8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8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54">
        <v>0.21</v>
      </c>
      <c r="D24" s="154" t="s">
        <v>451</v>
      </c>
      <c r="E24" s="175" t="s">
        <v>220</v>
      </c>
      <c r="F24" s="175" t="s">
        <v>244</v>
      </c>
      <c r="G24" s="15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8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8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54">
        <v>0.22</v>
      </c>
      <c r="D25" s="154" t="s">
        <v>451</v>
      </c>
      <c r="E25" s="175" t="s">
        <v>220</v>
      </c>
      <c r="F25" s="175" t="s">
        <v>245</v>
      </c>
      <c r="G25" s="15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8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8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54">
        <v>0.23</v>
      </c>
      <c r="D26" s="154" t="s">
        <v>451</v>
      </c>
      <c r="E26" s="175" t="s">
        <v>221</v>
      </c>
      <c r="F26" s="175" t="s">
        <v>246</v>
      </c>
      <c r="G26" s="15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8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8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54">
        <v>0.24</v>
      </c>
      <c r="D27" s="154" t="s">
        <v>451</v>
      </c>
      <c r="E27" s="175" t="s">
        <v>221</v>
      </c>
      <c r="F27" s="175" t="s">
        <v>247</v>
      </c>
      <c r="G27" s="15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8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8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54">
        <v>0.25</v>
      </c>
      <c r="D28" s="154" t="s">
        <v>451</v>
      </c>
      <c r="E28" s="175" t="s">
        <v>222</v>
      </c>
      <c r="F28" s="175" t="s">
        <v>248</v>
      </c>
      <c r="G28" s="15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8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8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54">
        <v>0.26</v>
      </c>
      <c r="D29" s="154" t="s">
        <v>451</v>
      </c>
      <c r="E29" s="175" t="s">
        <v>223</v>
      </c>
      <c r="F29" s="175" t="s">
        <v>249</v>
      </c>
      <c r="G29" s="15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8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8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54">
        <v>0.27</v>
      </c>
      <c r="D30" s="154" t="s">
        <v>451</v>
      </c>
      <c r="E30" s="175" t="s">
        <v>224</v>
      </c>
      <c r="F30" s="175" t="s">
        <v>250</v>
      </c>
      <c r="G30" s="15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8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8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54">
        <v>0.28000000000000003</v>
      </c>
      <c r="D31" s="154" t="s">
        <v>451</v>
      </c>
      <c r="E31" s="175" t="s">
        <v>213</v>
      </c>
      <c r="F31" s="175" t="s">
        <v>251</v>
      </c>
      <c r="G31" s="15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8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8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54">
        <v>0.28999999999999998</v>
      </c>
      <c r="D32" s="154" t="s">
        <v>451</v>
      </c>
      <c r="E32" s="175" t="s">
        <v>213</v>
      </c>
      <c r="F32" s="175" t="s">
        <v>8</v>
      </c>
      <c r="G32" s="15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8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85">
        <f t="shared" si="12"/>
        <v>12.898104</v>
      </c>
    </row>
    <row r="33" spans="4:8" x14ac:dyDescent="0.25">
      <c r="D33" s="154" t="s">
        <v>451</v>
      </c>
      <c r="G33" s="154" t="str">
        <f t="shared" si="14"/>
        <v/>
      </c>
      <c r="H33" s="212">
        <v>0</v>
      </c>
    </row>
    <row r="34" spans="4:8" x14ac:dyDescent="0.25">
      <c r="D34" s="154" t="s">
        <v>451</v>
      </c>
      <c r="G34" s="154" t="str">
        <f t="shared" si="14"/>
        <v/>
      </c>
      <c r="H34" s="212">
        <v>0</v>
      </c>
    </row>
    <row r="35" spans="4:8" x14ac:dyDescent="0.25">
      <c r="D35" s="154" t="s">
        <v>451</v>
      </c>
      <c r="G35" s="154" t="str">
        <f t="shared" si="14"/>
        <v/>
      </c>
      <c r="H35" s="212">
        <v>0</v>
      </c>
    </row>
    <row r="36" spans="4:8" x14ac:dyDescent="0.25">
      <c r="D36" s="154" t="s">
        <v>451</v>
      </c>
      <c r="G36" s="154" t="str">
        <f t="shared" si="14"/>
        <v/>
      </c>
      <c r="H36" s="212">
        <v>0</v>
      </c>
    </row>
    <row r="37" spans="4:8" x14ac:dyDescent="0.25">
      <c r="D37" s="154" t="s">
        <v>451</v>
      </c>
      <c r="G37" s="154" t="str">
        <f t="shared" si="14"/>
        <v/>
      </c>
      <c r="H37" s="212">
        <v>0</v>
      </c>
    </row>
    <row r="38" spans="4:8" x14ac:dyDescent="0.25">
      <c r="D38" s="154" t="s">
        <v>451</v>
      </c>
      <c r="G38" s="154" t="str">
        <f t="shared" si="14"/>
        <v/>
      </c>
      <c r="H38" s="212">
        <v>0</v>
      </c>
    </row>
    <row r="39" spans="4:8" x14ac:dyDescent="0.25">
      <c r="D39" s="154" t="s">
        <v>451</v>
      </c>
      <c r="G39" s="154" t="str">
        <f t="shared" si="14"/>
        <v/>
      </c>
      <c r="H39" s="212">
        <v>0</v>
      </c>
    </row>
    <row r="40" spans="4:8" x14ac:dyDescent="0.25">
      <c r="D40" s="154" t="s">
        <v>451</v>
      </c>
      <c r="G40" s="154" t="str">
        <f t="shared" si="14"/>
        <v/>
      </c>
      <c r="H40" s="212">
        <v>0</v>
      </c>
    </row>
    <row r="41" spans="4:8" x14ac:dyDescent="0.25">
      <c r="D41" s="154" t="s">
        <v>451</v>
      </c>
      <c r="G41" s="154" t="str">
        <f t="shared" si="14"/>
        <v/>
      </c>
      <c r="H41" s="212">
        <v>0</v>
      </c>
    </row>
    <row r="42" spans="4:8" x14ac:dyDescent="0.25">
      <c r="D42" s="154" t="s">
        <v>451</v>
      </c>
      <c r="G42" s="154" t="str">
        <f t="shared" si="14"/>
        <v/>
      </c>
      <c r="H42" s="212">
        <v>0</v>
      </c>
    </row>
    <row r="43" spans="4:8" x14ac:dyDescent="0.25">
      <c r="D43" s="154" t="s">
        <v>451</v>
      </c>
      <c r="G43" s="154" t="str">
        <f t="shared" si="14"/>
        <v/>
      </c>
      <c r="H43" s="212">
        <v>0</v>
      </c>
    </row>
    <row r="44" spans="4:8" x14ac:dyDescent="0.25">
      <c r="D44" s="154" t="s">
        <v>451</v>
      </c>
      <c r="G44" s="154" t="str">
        <f t="shared" si="14"/>
        <v/>
      </c>
      <c r="H44" s="212">
        <v>0</v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2016-01-08T20:44:13Z</cp:lastPrinted>
  <dcterms:created xsi:type="dcterms:W3CDTF">2010-11-24T19:49:39Z</dcterms:created>
  <dcterms:modified xsi:type="dcterms:W3CDTF">2016-01-18T02:29:55Z</dcterms:modified>
</cp:coreProperties>
</file>