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608" windowHeight="7428" firstSheet="1" activeTab="7"/>
  </bookViews>
  <sheets>
    <sheet name="Abstract" sheetId="1" r:id="rId1"/>
    <sheet name="YEAR 1" sheetId="2" r:id="rId2"/>
    <sheet name="YEAR 2" sheetId="6" r:id="rId3"/>
    <sheet name="YEAR 3" sheetId="8" r:id="rId4"/>
    <sheet name="YEAR 4" sheetId="7" r:id="rId5"/>
    <sheet name="Costs Summary" sheetId="12" r:id="rId6"/>
    <sheet name="Machinery and Equipement Cost" sheetId="3" r:id="rId7"/>
    <sheet name="Material Costs" sheetId="4" r:id="rId8"/>
    <sheet name="Investment Analysis" sheetId="10" r:id="rId9"/>
    <sheet name="Sensitivity Analysis" sheetId="13" r:id="rId10"/>
    <sheet name="References" sheetId="5" r:id="rId11"/>
    <sheet name="Sheet11" sheetId="20" r:id="rId12"/>
    <sheet name="Sheet1" sheetId="21" r:id="rId13"/>
  </sheets>
  <calcPr calcId="152511" iterate="1"/>
</workbook>
</file>

<file path=xl/calcChain.xml><?xml version="1.0" encoding="utf-8"?>
<calcChain xmlns="http://schemas.openxmlformats.org/spreadsheetml/2006/main">
  <c r="H37" i="2" l="1"/>
  <c r="H36" i="2"/>
  <c r="H35" i="2"/>
  <c r="H31" i="2"/>
  <c r="H30" i="2"/>
  <c r="H29" i="2"/>
  <c r="H28" i="2"/>
  <c r="H27" i="2"/>
  <c r="H26" i="2"/>
  <c r="H23" i="2"/>
  <c r="H22" i="2"/>
  <c r="E10" i="10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9" i="10"/>
  <c r="E9" i="4" l="1"/>
  <c r="F9" i="4" s="1"/>
  <c r="G9" i="4" s="1"/>
  <c r="H9" i="4" s="1"/>
  <c r="I9" i="4" s="1"/>
  <c r="E10" i="4"/>
  <c r="F10" i="4" s="1"/>
  <c r="G10" i="4" s="1"/>
  <c r="H10" i="4" s="1"/>
  <c r="I10" i="4" s="1"/>
  <c r="E11" i="4"/>
  <c r="F11" i="4" s="1"/>
  <c r="G11" i="4" s="1"/>
  <c r="H11" i="4" s="1"/>
  <c r="I11" i="4" s="1"/>
  <c r="E12" i="4"/>
  <c r="F12" i="4" s="1"/>
  <c r="G12" i="4" s="1"/>
  <c r="H12" i="4" s="1"/>
  <c r="I12" i="4" s="1"/>
  <c r="E13" i="4"/>
  <c r="F13" i="4" s="1"/>
  <c r="G13" i="4" s="1"/>
  <c r="H13" i="4" s="1"/>
  <c r="I13" i="4" s="1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E17" i="4"/>
  <c r="F17" i="4" s="1"/>
  <c r="G17" i="4" s="1"/>
  <c r="H17" i="4" s="1"/>
  <c r="I17" i="4" s="1"/>
  <c r="E18" i="4"/>
  <c r="F18" i="4" s="1"/>
  <c r="G18" i="4" s="1"/>
  <c r="H18" i="4" s="1"/>
  <c r="I18" i="4" s="1"/>
  <c r="E19" i="4"/>
  <c r="F19" i="4" s="1"/>
  <c r="G19" i="4" s="1"/>
  <c r="H19" i="4" s="1"/>
  <c r="I19" i="4" s="1"/>
  <c r="F9" i="2" s="1"/>
  <c r="E20" i="4"/>
  <c r="F20" i="4" s="1"/>
  <c r="G20" i="4" s="1"/>
  <c r="H20" i="4" s="1"/>
  <c r="I20" i="4" s="1"/>
  <c r="F10" i="2" s="1"/>
  <c r="E21" i="4"/>
  <c r="F21" i="4" s="1"/>
  <c r="G21" i="4" s="1"/>
  <c r="H21" i="4" s="1"/>
  <c r="I21" i="4" s="1"/>
  <c r="E22" i="4"/>
  <c r="F22" i="4" s="1"/>
  <c r="G22" i="4" s="1"/>
  <c r="H22" i="4" s="1"/>
  <c r="I22" i="4" s="1"/>
  <c r="F29" i="6" s="1"/>
  <c r="E23" i="4"/>
  <c r="F23" i="4" s="1"/>
  <c r="G23" i="4" s="1"/>
  <c r="H23" i="4" s="1"/>
  <c r="I23" i="4" s="1"/>
  <c r="E24" i="4"/>
  <c r="F24" i="4" s="1"/>
  <c r="G24" i="4" s="1"/>
  <c r="H24" i="4" s="1"/>
  <c r="I24" i="4" s="1"/>
  <c r="E25" i="4"/>
  <c r="F25" i="4" s="1"/>
  <c r="G25" i="4" s="1"/>
  <c r="H25" i="4" s="1"/>
  <c r="I25" i="4" s="1"/>
  <c r="F52" i="2" s="1"/>
  <c r="E26" i="4"/>
  <c r="F26" i="4" s="1"/>
  <c r="G26" i="4" s="1"/>
  <c r="H26" i="4" s="1"/>
  <c r="I26" i="4" s="1"/>
  <c r="F14" i="6" s="1"/>
  <c r="E27" i="4"/>
  <c r="F27" i="4" s="1"/>
  <c r="G27" i="4" s="1"/>
  <c r="H27" i="4" s="1"/>
  <c r="I27" i="4" s="1"/>
  <c r="F19" i="6" s="1"/>
  <c r="E28" i="4"/>
  <c r="F28" i="4" s="1"/>
  <c r="G28" i="4" s="1"/>
  <c r="H28" i="4" s="1"/>
  <c r="I28" i="4" s="1"/>
  <c r="E29" i="4"/>
  <c r="F29" i="4" s="1"/>
  <c r="G29" i="4" s="1"/>
  <c r="H29" i="4" s="1"/>
  <c r="I29" i="4" s="1"/>
  <c r="E30" i="4"/>
  <c r="F30" i="4" s="1"/>
  <c r="G30" i="4" s="1"/>
  <c r="H30" i="4" s="1"/>
  <c r="I30" i="4" s="1"/>
  <c r="E31" i="4"/>
  <c r="F31" i="4" s="1"/>
  <c r="G31" i="4" s="1"/>
  <c r="H31" i="4" s="1"/>
  <c r="I31" i="4" s="1"/>
  <c r="E32" i="4"/>
  <c r="F32" i="4" s="1"/>
  <c r="G32" i="4" s="1"/>
  <c r="H32" i="4" s="1"/>
  <c r="I32" i="4" s="1"/>
  <c r="E33" i="4"/>
  <c r="F33" i="4" s="1"/>
  <c r="G33" i="4" s="1"/>
  <c r="H33" i="4" s="1"/>
  <c r="I33" i="4" s="1"/>
  <c r="F14" i="2" s="1"/>
  <c r="E34" i="4"/>
  <c r="F34" i="4" s="1"/>
  <c r="G34" i="4" s="1"/>
  <c r="H34" i="4" s="1"/>
  <c r="I34" i="4" s="1"/>
  <c r="F15" i="2" s="1"/>
  <c r="E35" i="4"/>
  <c r="F35" i="4" s="1"/>
  <c r="G35" i="4" s="1"/>
  <c r="H35" i="4" s="1"/>
  <c r="I35" i="4" s="1"/>
  <c r="E36" i="4"/>
  <c r="F36" i="4" s="1"/>
  <c r="G36" i="4" s="1"/>
  <c r="H36" i="4" s="1"/>
  <c r="I36" i="4" s="1"/>
  <c r="E37" i="4"/>
  <c r="F37" i="4" s="1"/>
  <c r="G37" i="4" s="1"/>
  <c r="H37" i="4" s="1"/>
  <c r="I37" i="4" s="1"/>
  <c r="E38" i="4"/>
  <c r="F38" i="4" s="1"/>
  <c r="G38" i="4" s="1"/>
  <c r="H38" i="4" s="1"/>
  <c r="I38" i="4" s="1"/>
  <c r="E7" i="4"/>
  <c r="F7" i="4" s="1"/>
  <c r="G7" i="4" s="1"/>
  <c r="H7" i="4" s="1"/>
  <c r="I7" i="4" s="1"/>
  <c r="E8" i="4"/>
  <c r="F8" i="4" s="1"/>
  <c r="G8" i="4" s="1"/>
  <c r="H8" i="4" s="1"/>
  <c r="I8" i="4" s="1"/>
  <c r="E6" i="4"/>
  <c r="F6" i="4" s="1"/>
  <c r="G6" i="4" s="1"/>
  <c r="H6" i="4" s="1"/>
  <c r="I6" i="4" s="1"/>
  <c r="F8" i="2" s="1"/>
  <c r="F48" i="2" l="1"/>
  <c r="F27" i="6"/>
  <c r="F41" i="2"/>
  <c r="F22" i="6"/>
  <c r="F15" i="6"/>
  <c r="F11" i="2"/>
  <c r="F44" i="2"/>
  <c r="F25" i="6"/>
  <c r="E30" i="10"/>
  <c r="Q17" i="3"/>
  <c r="M17" i="3"/>
  <c r="K8" i="3"/>
  <c r="K9" i="3"/>
  <c r="K10" i="3"/>
  <c r="K11" i="3"/>
  <c r="K12" i="3"/>
  <c r="K13" i="3"/>
  <c r="K14" i="3"/>
  <c r="K15" i="3"/>
  <c r="K16" i="3"/>
  <c r="K17" i="3"/>
  <c r="K7" i="3"/>
  <c r="J17" i="3"/>
  <c r="V17" i="3"/>
  <c r="G17" i="3"/>
  <c r="V8" i="3"/>
  <c r="V9" i="3"/>
  <c r="V10" i="3"/>
  <c r="V11" i="3"/>
  <c r="G13" i="6" s="1"/>
  <c r="V12" i="3"/>
  <c r="V13" i="3"/>
  <c r="V14" i="3"/>
  <c r="V15" i="3"/>
  <c r="V16" i="3"/>
  <c r="V7" i="3"/>
  <c r="G8" i="3"/>
  <c r="G9" i="3"/>
  <c r="G10" i="3"/>
  <c r="G11" i="3"/>
  <c r="G12" i="3"/>
  <c r="G13" i="3"/>
  <c r="G14" i="3"/>
  <c r="G15" i="3"/>
  <c r="G16" i="3"/>
  <c r="G7" i="3"/>
  <c r="L17" i="3" l="1"/>
  <c r="N17" i="3"/>
  <c r="O17" i="3" s="1"/>
  <c r="R17" i="3"/>
  <c r="G38" i="2"/>
  <c r="H38" i="2" s="1"/>
  <c r="D37" i="2"/>
  <c r="S17" i="3" l="1"/>
  <c r="U17" i="3" s="1"/>
  <c r="F35" i="2"/>
  <c r="F29" i="2"/>
  <c r="F36" i="2"/>
  <c r="F37" i="2"/>
  <c r="G30" i="7"/>
  <c r="H30" i="7" s="1"/>
  <c r="G16" i="7"/>
  <c r="H16" i="7" s="1"/>
  <c r="G13" i="7"/>
  <c r="H13" i="7" s="1"/>
  <c r="G11" i="7"/>
  <c r="H11" i="7" s="1"/>
  <c r="G7" i="7"/>
  <c r="G27" i="8"/>
  <c r="H27" i="8" s="1"/>
  <c r="G23" i="8"/>
  <c r="G16" i="8"/>
  <c r="H16" i="8" s="1"/>
  <c r="G13" i="8"/>
  <c r="H13" i="8" s="1"/>
  <c r="G11" i="8"/>
  <c r="H11" i="8" s="1"/>
  <c r="G7" i="8"/>
  <c r="G24" i="6"/>
  <c r="H24" i="6" s="1"/>
  <c r="G21" i="6"/>
  <c r="H21" i="6" s="1"/>
  <c r="G50" i="2"/>
  <c r="H50" i="2" s="1"/>
  <c r="G39" i="2"/>
  <c r="G40" i="2"/>
  <c r="H40" i="2" s="1"/>
  <c r="G17" i="6"/>
  <c r="H17" i="6" s="1"/>
  <c r="G11" i="6"/>
  <c r="H11" i="6" s="1"/>
  <c r="G7" i="6"/>
  <c r="G43" i="2"/>
  <c r="H43" i="2" s="1"/>
  <c r="G13" i="2"/>
  <c r="H13" i="2" s="1"/>
  <c r="G16" i="2"/>
  <c r="H16" i="2" s="1"/>
  <c r="G24" i="2"/>
  <c r="H24" i="2" s="1"/>
  <c r="G33" i="2"/>
  <c r="H33" i="2" s="1"/>
  <c r="G32" i="2"/>
  <c r="G21" i="2"/>
  <c r="M8" i="3"/>
  <c r="M9" i="3"/>
  <c r="M10" i="3"/>
  <c r="M14" i="3"/>
  <c r="F22" i="2"/>
  <c r="F23" i="2"/>
  <c r="F27" i="2"/>
  <c r="F28" i="2"/>
  <c r="F30" i="2"/>
  <c r="H9" i="2"/>
  <c r="H52" i="2"/>
  <c r="H19" i="6"/>
  <c r="F24" i="8"/>
  <c r="H24" i="8" s="1"/>
  <c r="F31" i="7"/>
  <c r="H31" i="7" s="1"/>
  <c r="G17" i="2"/>
  <c r="G18" i="2"/>
  <c r="G9" i="7"/>
  <c r="G51" i="2"/>
  <c r="G30" i="8"/>
  <c r="G19" i="2"/>
  <c r="Q10" i="3"/>
  <c r="R10" i="3" s="1"/>
  <c r="I8" i="3"/>
  <c r="I9" i="3"/>
  <c r="I10" i="3"/>
  <c r="I14" i="3" l="1"/>
  <c r="J14" i="3" s="1"/>
  <c r="L14" i="3" s="1"/>
  <c r="Q14" i="3"/>
  <c r="R14" i="3" s="1"/>
  <c r="Q7" i="3"/>
  <c r="R7" i="3" s="1"/>
  <c r="M7" i="3"/>
  <c r="I13" i="3"/>
  <c r="J13" i="3" s="1"/>
  <c r="L13" i="3" s="1"/>
  <c r="M13" i="3"/>
  <c r="I16" i="3"/>
  <c r="J16" i="3" s="1"/>
  <c r="L16" i="3" s="1"/>
  <c r="M16" i="3"/>
  <c r="I12" i="3"/>
  <c r="J12" i="3" s="1"/>
  <c r="L12" i="3" s="1"/>
  <c r="M12" i="3"/>
  <c r="I15" i="3"/>
  <c r="J15" i="3" s="1"/>
  <c r="L15" i="3" s="1"/>
  <c r="M15" i="3"/>
  <c r="I11" i="3"/>
  <c r="M11" i="3"/>
  <c r="F25" i="8"/>
  <c r="H25" i="8" s="1"/>
  <c r="H10" i="2"/>
  <c r="F31" i="2"/>
  <c r="H11" i="2"/>
  <c r="H15" i="6"/>
  <c r="H8" i="2"/>
  <c r="H14" i="6"/>
  <c r="H7" i="7"/>
  <c r="H7" i="8"/>
  <c r="H7" i="6"/>
  <c r="I7" i="3"/>
  <c r="J7" i="3" s="1"/>
  <c r="L7" i="3" s="1"/>
  <c r="J9" i="3"/>
  <c r="L9" i="3" s="1"/>
  <c r="Q9" i="3"/>
  <c r="R9" i="3" s="1"/>
  <c r="Q16" i="3"/>
  <c r="R16" i="3" s="1"/>
  <c r="Q12" i="3"/>
  <c r="R12" i="3" s="1"/>
  <c r="Q8" i="3"/>
  <c r="R8" i="3" s="1"/>
  <c r="J8" i="3"/>
  <c r="L8" i="3" s="1"/>
  <c r="Q15" i="3"/>
  <c r="R15" i="3" s="1"/>
  <c r="Q11" i="3"/>
  <c r="R11" i="3" s="1"/>
  <c r="J11" i="3"/>
  <c r="L11" i="3" s="1"/>
  <c r="Q13" i="3"/>
  <c r="R13" i="3" s="1"/>
  <c r="J10" i="3"/>
  <c r="L10" i="3" s="1"/>
  <c r="G18" i="8"/>
  <c r="G47" i="2"/>
  <c r="F14" i="7"/>
  <c r="H27" i="6"/>
  <c r="F26" i="2"/>
  <c r="H44" i="2"/>
  <c r="H22" i="6"/>
  <c r="H29" i="6"/>
  <c r="F19" i="8"/>
  <c r="H19" i="8" s="1"/>
  <c r="F20" i="7"/>
  <c r="H20" i="7" s="1"/>
  <c r="F22" i="7"/>
  <c r="H22" i="7" s="1"/>
  <c r="F27" i="7"/>
  <c r="H27" i="7" s="1"/>
  <c r="G46" i="2"/>
  <c r="F17" i="8"/>
  <c r="H17" i="8" s="1"/>
  <c r="G9" i="6"/>
  <c r="H48" i="2"/>
  <c r="G26" i="6"/>
  <c r="F28" i="8"/>
  <c r="H28" i="8" s="1"/>
  <c r="F28" i="7"/>
  <c r="H28" i="7" s="1"/>
  <c r="G12" i="8"/>
  <c r="G20" i="6"/>
  <c r="G19" i="7"/>
  <c r="G21" i="8"/>
  <c r="G7" i="2"/>
  <c r="H15" i="2"/>
  <c r="H41" i="2"/>
  <c r="H25" i="6"/>
  <c r="F17" i="7"/>
  <c r="H17" i="7" s="1"/>
  <c r="G24" i="7"/>
  <c r="H14" i="2"/>
  <c r="G28" i="6"/>
  <c r="G9" i="8"/>
  <c r="F14" i="8"/>
  <c r="F22" i="8"/>
  <c r="H22" i="8" s="1"/>
  <c r="G12" i="7"/>
  <c r="G21" i="7"/>
  <c r="F25" i="7"/>
  <c r="H25" i="7" s="1"/>
  <c r="G26" i="7"/>
  <c r="G33" i="7"/>
  <c r="N16" i="3" l="1"/>
  <c r="G35" i="7"/>
  <c r="E11" i="12" s="1"/>
  <c r="G32" i="8"/>
  <c r="E10" i="12" s="1"/>
  <c r="F54" i="2"/>
  <c r="D8" i="12" s="1"/>
  <c r="G54" i="2"/>
  <c r="E8" i="12" s="1"/>
  <c r="H14" i="7"/>
  <c r="F35" i="7"/>
  <c r="D11" i="12" s="1"/>
  <c r="F31" i="6"/>
  <c r="D9" i="12" s="1"/>
  <c r="H14" i="8"/>
  <c r="F32" i="8"/>
  <c r="D10" i="12" s="1"/>
  <c r="N13" i="3"/>
  <c r="N12" i="3"/>
  <c r="N8" i="3"/>
  <c r="O8" i="3" s="1"/>
  <c r="S8" i="3" s="1"/>
  <c r="U8" i="3" s="1"/>
  <c r="N15" i="3"/>
  <c r="O15" i="3" s="1"/>
  <c r="S15" i="3" s="1"/>
  <c r="U15" i="3" s="1"/>
  <c r="N14" i="3"/>
  <c r="O14" i="3" s="1"/>
  <c r="S14" i="3" s="1"/>
  <c r="U14" i="3" s="1"/>
  <c r="N9" i="3"/>
  <c r="O9" i="3" s="1"/>
  <c r="S9" i="3" s="1"/>
  <c r="U9" i="3" s="1"/>
  <c r="E18" i="2" s="1"/>
  <c r="H18" i="2" s="1"/>
  <c r="N11" i="3"/>
  <c r="O11" i="3" s="1"/>
  <c r="S11" i="3" s="1"/>
  <c r="U11" i="3" s="1"/>
  <c r="N10" i="3"/>
  <c r="O10" i="3" s="1"/>
  <c r="S10" i="3" s="1"/>
  <c r="U10" i="3" s="1"/>
  <c r="O13" i="3"/>
  <c r="S13" i="3" s="1"/>
  <c r="U13" i="3" s="1"/>
  <c r="O12" i="3"/>
  <c r="S12" i="3" s="1"/>
  <c r="U12" i="3" s="1"/>
  <c r="O16" i="3"/>
  <c r="S16" i="3" s="1"/>
  <c r="U16" i="3" s="1"/>
  <c r="N7" i="3"/>
  <c r="E51" i="2" l="1"/>
  <c r="H51" i="2" s="1"/>
  <c r="G18" i="6"/>
  <c r="E21" i="2"/>
  <c r="H21" i="2" s="1"/>
  <c r="E32" i="2"/>
  <c r="H32" i="2" s="1"/>
  <c r="E18" i="6"/>
  <c r="E39" i="2"/>
  <c r="H39" i="2" s="1"/>
  <c r="E12" i="7"/>
  <c r="H12" i="7" s="1"/>
  <c r="E20" i="6"/>
  <c r="H20" i="6" s="1"/>
  <c r="E12" i="8"/>
  <c r="H12" i="8" s="1"/>
  <c r="E24" i="7"/>
  <c r="H24" i="7" s="1"/>
  <c r="E26" i="7"/>
  <c r="H26" i="7" s="1"/>
  <c r="E23" i="8"/>
  <c r="H23" i="8" s="1"/>
  <c r="E13" i="6"/>
  <c r="E21" i="8"/>
  <c r="H21" i="8" s="1"/>
  <c r="E28" i="6"/>
  <c r="H28" i="6" s="1"/>
  <c r="E19" i="7"/>
  <c r="H19" i="7" s="1"/>
  <c r="E7" i="2"/>
  <c r="E33" i="7"/>
  <c r="H33" i="7" s="1"/>
  <c r="E30" i="8"/>
  <c r="H30" i="8" s="1"/>
  <c r="E9" i="6"/>
  <c r="E9" i="8"/>
  <c r="E9" i="7"/>
  <c r="E46" i="2"/>
  <c r="H46" i="2" s="1"/>
  <c r="E21" i="7"/>
  <c r="H21" i="7" s="1"/>
  <c r="E26" i="6"/>
  <c r="H26" i="6" s="1"/>
  <c r="E18" i="8"/>
  <c r="H18" i="8" s="1"/>
  <c r="E47" i="2"/>
  <c r="H47" i="2" s="1"/>
  <c r="O7" i="3"/>
  <c r="S7" i="3" s="1"/>
  <c r="U7" i="3" s="1"/>
  <c r="E19" i="2" s="1"/>
  <c r="H19" i="2" s="1"/>
  <c r="E17" i="2"/>
  <c r="H17" i="2" s="1"/>
  <c r="G31" i="6" l="1"/>
  <c r="E9" i="12" s="1"/>
  <c r="H9" i="8"/>
  <c r="E32" i="8"/>
  <c r="C10" i="12" s="1"/>
  <c r="H9" i="6"/>
  <c r="E31" i="6"/>
  <c r="C9" i="12" s="1"/>
  <c r="H9" i="7"/>
  <c r="H35" i="7" s="1"/>
  <c r="E35" i="7"/>
  <c r="C11" i="12" s="1"/>
  <c r="H7" i="2"/>
  <c r="D9" i="10" s="1"/>
  <c r="E54" i="2"/>
  <c r="C8" i="12" s="1"/>
  <c r="H32" i="8"/>
  <c r="H13" i="6"/>
  <c r="H18" i="6"/>
  <c r="H54" i="2" l="1"/>
  <c r="D10" i="10" s="1"/>
  <c r="D29" i="10"/>
  <c r="D16" i="10"/>
  <c r="D20" i="10"/>
  <c r="D24" i="10"/>
  <c r="D28" i="10"/>
  <c r="D13" i="10"/>
  <c r="D17" i="10"/>
  <c r="D21" i="10"/>
  <c r="D25" i="10"/>
  <c r="F11" i="12"/>
  <c r="D14" i="10"/>
  <c r="D18" i="10"/>
  <c r="D22" i="10"/>
  <c r="D26" i="10"/>
  <c r="D15" i="10"/>
  <c r="D19" i="10"/>
  <c r="D23" i="10"/>
  <c r="D27" i="10"/>
  <c r="D12" i="10"/>
  <c r="F10" i="12"/>
  <c r="F9" i="10"/>
  <c r="H31" i="6"/>
  <c r="H9" i="10" l="1"/>
  <c r="F8" i="12"/>
  <c r="F27" i="10"/>
  <c r="H27" i="10" s="1"/>
  <c r="F26" i="10"/>
  <c r="H26" i="10" s="1"/>
  <c r="F13" i="10"/>
  <c r="H13" i="10" s="1"/>
  <c r="F16" i="10"/>
  <c r="H16" i="10" s="1"/>
  <c r="F9" i="12"/>
  <c r="D11" i="10"/>
  <c r="F23" i="10"/>
  <c r="H23" i="10" s="1"/>
  <c r="F22" i="10"/>
  <c r="H22" i="10" s="1"/>
  <c r="F25" i="10"/>
  <c r="H25" i="10" s="1"/>
  <c r="F28" i="10"/>
  <c r="H28" i="10" s="1"/>
  <c r="F29" i="10"/>
  <c r="H29" i="10" s="1"/>
  <c r="F12" i="10"/>
  <c r="H12" i="10" s="1"/>
  <c r="F19" i="10"/>
  <c r="H19" i="10" s="1"/>
  <c r="F18" i="10"/>
  <c r="H18" i="10" s="1"/>
  <c r="F21" i="10"/>
  <c r="H21" i="10" s="1"/>
  <c r="F24" i="10"/>
  <c r="H24" i="10" s="1"/>
  <c r="F15" i="10"/>
  <c r="H15" i="10" s="1"/>
  <c r="F14" i="10"/>
  <c r="H14" i="10" s="1"/>
  <c r="F17" i="10"/>
  <c r="H17" i="10" s="1"/>
  <c r="F20" i="10"/>
  <c r="H20" i="10" s="1"/>
  <c r="F10" i="10"/>
  <c r="G9" i="10"/>
  <c r="H10" i="10" l="1"/>
  <c r="F11" i="10"/>
  <c r="D30" i="10"/>
  <c r="H34" i="10" s="1"/>
  <c r="G10" i="10"/>
  <c r="H11" i="10" l="1"/>
  <c r="H30" i="10" s="1"/>
  <c r="H42" i="10"/>
  <c r="H38" i="10"/>
  <c r="D63" i="10"/>
  <c r="G29" i="10"/>
  <c r="D70" i="10"/>
  <c r="C65" i="10"/>
  <c r="C71" i="10"/>
  <c r="D62" i="10"/>
  <c r="G17" i="10"/>
  <c r="D66" i="10"/>
  <c r="C66" i="10"/>
  <c r="C61" i="10"/>
  <c r="D59" i="10"/>
  <c r="D55" i="10"/>
  <c r="G24" i="10"/>
  <c r="D58" i="10"/>
  <c r="C67" i="10"/>
  <c r="D52" i="10"/>
  <c r="D56" i="10"/>
  <c r="C52" i="10"/>
  <c r="D53" i="10"/>
  <c r="D69" i="10"/>
  <c r="H40" i="10"/>
  <c r="C56" i="10"/>
  <c r="G19" i="10"/>
  <c r="C60" i="10"/>
  <c r="C55" i="10"/>
  <c r="G14" i="10"/>
  <c r="G20" i="10"/>
  <c r="C59" i="10"/>
  <c r="C51" i="10"/>
  <c r="C70" i="10"/>
  <c r="C62" i="10"/>
  <c r="G18" i="10"/>
  <c r="D65" i="10"/>
  <c r="F30" i="10"/>
  <c r="D51" i="10"/>
  <c r="G12" i="10"/>
  <c r="D68" i="10"/>
  <c r="C54" i="10"/>
  <c r="C58" i="10"/>
  <c r="G23" i="10"/>
  <c r="D67" i="10"/>
  <c r="D57" i="10"/>
  <c r="C68" i="10"/>
  <c r="G27" i="10"/>
  <c r="G22" i="10"/>
  <c r="C63" i="10"/>
  <c r="C53" i="10"/>
  <c r="D60" i="10"/>
  <c r="D54" i="10"/>
  <c r="G28" i="10"/>
  <c r="G13" i="10"/>
  <c r="G15" i="10"/>
  <c r="G16" i="10"/>
  <c r="C69" i="10"/>
  <c r="C57" i="10"/>
  <c r="G26" i="10"/>
  <c r="G25" i="10"/>
  <c r="G21" i="10"/>
  <c r="D61" i="10"/>
  <c r="D64" i="10"/>
  <c r="G11" i="10"/>
  <c r="C64" i="10"/>
  <c r="D71" i="10"/>
</calcChain>
</file>

<file path=xl/sharedStrings.xml><?xml version="1.0" encoding="utf-8"?>
<sst xmlns="http://schemas.openxmlformats.org/spreadsheetml/2006/main" count="671" uniqueCount="251">
  <si>
    <t>Materials</t>
  </si>
  <si>
    <t>Labor</t>
  </si>
  <si>
    <t>Total</t>
  </si>
  <si>
    <t>Costs</t>
  </si>
  <si>
    <t>Irrigate</t>
  </si>
  <si>
    <t>Operation/Input</t>
  </si>
  <si>
    <t>Unit</t>
  </si>
  <si>
    <t>Quantity</t>
  </si>
  <si>
    <t>Item</t>
  </si>
  <si>
    <t>Power</t>
  </si>
  <si>
    <t>Purchase</t>
  </si>
  <si>
    <t>price</t>
  </si>
  <si>
    <t>Annual</t>
  </si>
  <si>
    <t>Years</t>
  </si>
  <si>
    <t>Life</t>
  </si>
  <si>
    <t>MFWD 50 hp</t>
  </si>
  <si>
    <t>1 shank</t>
  </si>
  <si>
    <t>Chisel Plow</t>
  </si>
  <si>
    <t>Disk Harrow</t>
  </si>
  <si>
    <t>Trailer Utility</t>
  </si>
  <si>
    <t>10 Ft</t>
  </si>
  <si>
    <t>8 Ft</t>
  </si>
  <si>
    <t>Sprayer (BC &amp; Wand)</t>
  </si>
  <si>
    <t>12 Ft</t>
  </si>
  <si>
    <t>4 x 4</t>
  </si>
  <si>
    <t>Sub-Soiler</t>
  </si>
  <si>
    <t>Rotary Cutter</t>
  </si>
  <si>
    <t>6 Ft</t>
  </si>
  <si>
    <t>Side Dresser</t>
  </si>
  <si>
    <t>1R 3 Ft</t>
  </si>
  <si>
    <t>Spray (Broadcast)</t>
  </si>
  <si>
    <t>27'</t>
  </si>
  <si>
    <t>Utility Vehicle</t>
  </si>
  <si>
    <t>Trailer Fruit 4'x6'</t>
  </si>
  <si>
    <t>trip</t>
  </si>
  <si>
    <t>2WD 75 hp</t>
  </si>
  <si>
    <t>2WD 50 hp</t>
  </si>
  <si>
    <t>4 X 4</t>
  </si>
  <si>
    <t xml:space="preserve">Salvage </t>
  </si>
  <si>
    <t>value</t>
  </si>
  <si>
    <t>Factor (CRF)</t>
  </si>
  <si>
    <t>Interest rate</t>
  </si>
  <si>
    <t>Depreciat.</t>
  </si>
  <si>
    <t>R &amp; M</t>
  </si>
  <si>
    <t>% of price</t>
  </si>
  <si>
    <t>Cost/year</t>
  </si>
  <si>
    <t>Rec./year</t>
  </si>
  <si>
    <t xml:space="preserve">Capital </t>
  </si>
  <si>
    <t>Performance</t>
  </si>
  <si>
    <t>rate</t>
  </si>
  <si>
    <t>Labor units and wage rates</t>
  </si>
  <si>
    <t xml:space="preserve">Operator </t>
  </si>
  <si>
    <t>Labor Item</t>
  </si>
  <si>
    <t>hour</t>
  </si>
  <si>
    <t>planting</t>
  </si>
  <si>
    <t>Irrigation</t>
  </si>
  <si>
    <t>Fertigation</t>
  </si>
  <si>
    <t>Pruning</t>
  </si>
  <si>
    <t>Harvesting</t>
  </si>
  <si>
    <t>Wage rate ($)</t>
  </si>
  <si>
    <t xml:space="preserve">Fuel </t>
  </si>
  <si>
    <t>cost/acre</t>
  </si>
  <si>
    <t>Weed control</t>
  </si>
  <si>
    <t>Lime</t>
  </si>
  <si>
    <t>Glyphosate</t>
  </si>
  <si>
    <t>Ga</t>
  </si>
  <si>
    <t>Material Item</t>
  </si>
  <si>
    <t>Sprayer (BC &amp; Band)</t>
  </si>
  <si>
    <t>12 ft</t>
  </si>
  <si>
    <t>Equipment &amp;</t>
  </si>
  <si>
    <t>Power Costs</t>
  </si>
  <si>
    <t>Muscadine vine</t>
  </si>
  <si>
    <t>each</t>
  </si>
  <si>
    <t>End Post Wine Grapes</t>
  </si>
  <si>
    <t>Anchors</t>
  </si>
  <si>
    <t>Tighteners</t>
  </si>
  <si>
    <t>ft</t>
  </si>
  <si>
    <t>Wire-wine grape</t>
  </si>
  <si>
    <t>Wire links</t>
  </si>
  <si>
    <t>Wire vises</t>
  </si>
  <si>
    <t>End post anchors</t>
  </si>
  <si>
    <t>Irrigation setup 8' 12gpm</t>
  </si>
  <si>
    <t>5445 ft</t>
  </si>
  <si>
    <t>cwt</t>
  </si>
  <si>
    <t>Ammonium  Nitrate (34%)</t>
  </si>
  <si>
    <t>Fusilade DX</t>
  </si>
  <si>
    <t>pt</t>
  </si>
  <si>
    <t>Surfactant Non Ionic</t>
  </si>
  <si>
    <t>water for irrigation</t>
  </si>
  <si>
    <t>100 gal</t>
  </si>
  <si>
    <t>Malathion 57 EC</t>
  </si>
  <si>
    <t>Gramoxone Inteon</t>
  </si>
  <si>
    <t>Captan 50 WP</t>
  </si>
  <si>
    <t>Rovral 4F</t>
  </si>
  <si>
    <t>lb</t>
  </si>
  <si>
    <t>Casaron 4G</t>
  </si>
  <si>
    <t>Liquid lime Sulfur</t>
  </si>
  <si>
    <t>gal</t>
  </si>
  <si>
    <t>Imidan 70 WSB</t>
  </si>
  <si>
    <t>Danitol 2.4 EC</t>
  </si>
  <si>
    <t>oz</t>
  </si>
  <si>
    <t>Muscadine (lug)</t>
  </si>
  <si>
    <t>12lb</t>
  </si>
  <si>
    <t>Solicam DF</t>
  </si>
  <si>
    <t>Glyphosate 3lb a.e.</t>
  </si>
  <si>
    <t>U.S Annual inflation rate</t>
  </si>
  <si>
    <t>year</t>
  </si>
  <si>
    <t>Mark Rows</t>
  </si>
  <si>
    <t>Soil test</t>
  </si>
  <si>
    <t>ton</t>
  </si>
  <si>
    <t>Hand labor</t>
  </si>
  <si>
    <t>hr</t>
  </si>
  <si>
    <t>Planting</t>
  </si>
  <si>
    <t>10 ft</t>
  </si>
  <si>
    <t>Build Trellis Grapes</t>
  </si>
  <si>
    <t>Irrigation Set up</t>
  </si>
  <si>
    <t>Amm. Nitrate (34%)</t>
  </si>
  <si>
    <t>1/2 of water needed</t>
  </si>
  <si>
    <t>Hand Labor</t>
  </si>
  <si>
    <t>Mow between rows</t>
  </si>
  <si>
    <t>6 ft</t>
  </si>
  <si>
    <t>1R 3 ft</t>
  </si>
  <si>
    <t>Train &amp; Stake</t>
  </si>
  <si>
    <t>Spray(Broadcast)</t>
  </si>
  <si>
    <t>Pruning &amp; Training</t>
  </si>
  <si>
    <t>Trellis repair</t>
  </si>
  <si>
    <t>Replant Grapes</t>
  </si>
  <si>
    <t>Harvest Muscadine</t>
  </si>
  <si>
    <t>Fruit gathering</t>
  </si>
  <si>
    <t>Spot Spray</t>
  </si>
  <si>
    <t>Carlos Carpio</t>
  </si>
  <si>
    <t>Assistant Professor, Department of Applied Economics and Statistics</t>
  </si>
  <si>
    <t>Clemson University, Clemson, SC 29634-0313</t>
  </si>
  <si>
    <t>Charles D. Safley</t>
  </si>
  <si>
    <t>Professor, Department of Agricultural and resource Economics, North</t>
  </si>
  <si>
    <t>Carolina State Unuversity, Raleigh, NC 27695-8109</t>
  </si>
  <si>
    <t>E. Barclay Poling</t>
  </si>
  <si>
    <t>Professor, Department of Horticultural Science, North State University</t>
  </si>
  <si>
    <t>Raleigh, NC 27695-7609</t>
  </si>
  <si>
    <t xml:space="preserve">1. Muscadine 2010 Fruit and Nut Planning Budget, Mississippi State University, </t>
  </si>
  <si>
    <t>Department of Agricultural Economics Budget Report 2010-04</t>
  </si>
  <si>
    <t xml:space="preserve">Grapes Grown for the Wine and Juice Markets Geneva Double Curtain </t>
  </si>
  <si>
    <t xml:space="preserve">2. Estimated Production Costs, Gross Revenues, and Returns per Acre for Muscadines </t>
  </si>
  <si>
    <t>Trellis System with Drip Irrigation</t>
  </si>
  <si>
    <t>References</t>
  </si>
  <si>
    <t>Plastic twine</t>
  </si>
  <si>
    <t>Wood post 3.5' x 6.5'</t>
  </si>
  <si>
    <t>Grow Tubes</t>
  </si>
  <si>
    <t>Trickles</t>
  </si>
  <si>
    <t>Tubing 5/4''</t>
  </si>
  <si>
    <t>Gage wire 12'</t>
  </si>
  <si>
    <t xml:space="preserve">Gage wire </t>
  </si>
  <si>
    <t>hours</t>
  </si>
  <si>
    <t>use hours</t>
  </si>
  <si>
    <t>rate (hour/acre)</t>
  </si>
  <si>
    <t>Capital Recovery</t>
  </si>
  <si>
    <t xml:space="preserve">Tax , Insurance </t>
  </si>
  <si>
    <t>&amp; housing</t>
  </si>
  <si>
    <t>Cost/hour</t>
  </si>
  <si>
    <t>Cost/acre</t>
  </si>
  <si>
    <t>R &amp;M + Own</t>
  </si>
  <si>
    <t>Total Ownership</t>
  </si>
  <si>
    <t>Ownership</t>
  </si>
  <si>
    <t xml:space="preserve">R &amp; M </t>
  </si>
  <si>
    <t>Total Eqmt</t>
  </si>
  <si>
    <t>Yield</t>
  </si>
  <si>
    <t>Year</t>
  </si>
  <si>
    <t>per Acre</t>
  </si>
  <si>
    <t>MFWD 75 hp</t>
  </si>
  <si>
    <t>Net Cash</t>
  </si>
  <si>
    <t>Present</t>
  </si>
  <si>
    <t>Revenue</t>
  </si>
  <si>
    <t>Flow</t>
  </si>
  <si>
    <t>Accumulated</t>
  </si>
  <si>
    <t>Value of Net</t>
  </si>
  <si>
    <t>Cash Flow</t>
  </si>
  <si>
    <t>Price</t>
  </si>
  <si>
    <t>Break even year (Payback Period)</t>
  </si>
  <si>
    <t>Return on Investment (ROI)</t>
  </si>
  <si>
    <t>Net Present Value (NPV)</t>
  </si>
  <si>
    <t>Internal Rate of Return (IRR)</t>
  </si>
  <si>
    <t>(ton/ Acre)</t>
  </si>
  <si>
    <t>Modified Internal Rate of Return (MIRR)</t>
  </si>
  <si>
    <t>Interest</t>
  </si>
  <si>
    <t>Rate</t>
  </si>
  <si>
    <t>Relationship Between Interest Rate, NPV and MIRR</t>
  </si>
  <si>
    <t>NPV_D</t>
  </si>
  <si>
    <t>MIRR_D</t>
  </si>
  <si>
    <t xml:space="preserve">Total </t>
  </si>
  <si>
    <t>Material</t>
  </si>
  <si>
    <t>one</t>
  </si>
  <si>
    <t>two</t>
  </si>
  <si>
    <t>three</t>
  </si>
  <si>
    <t>Four</t>
  </si>
  <si>
    <t>Yield (ton/acre)</t>
  </si>
  <si>
    <t>&gt;20</t>
  </si>
  <si>
    <t>Size/</t>
  </si>
  <si>
    <t>unit</t>
  </si>
  <si>
    <t>Tractor</t>
  </si>
  <si>
    <t>cost</t>
  </si>
  <si>
    <t xml:space="preserve">Muscadine vine </t>
  </si>
  <si>
    <t xml:space="preserve">Plastic Twine </t>
  </si>
  <si>
    <t xml:space="preserve">End Post Wine Grapes </t>
  </si>
  <si>
    <t xml:space="preserve">Wood post 3.5' x 6.5' </t>
  </si>
  <si>
    <t xml:space="preserve">Wire-wine grape </t>
  </si>
  <si>
    <t xml:space="preserve">Glyphosate 3lb </t>
  </si>
  <si>
    <t xml:space="preserve">Grow Tubes </t>
  </si>
  <si>
    <t>Prices ($)</t>
  </si>
  <si>
    <r>
      <t xml:space="preserve">Table 1: </t>
    </r>
    <r>
      <rPr>
        <sz val="11"/>
        <color theme="1"/>
        <rFont val="Calibri"/>
        <family val="2"/>
        <scheme val="minor"/>
      </rPr>
      <t>Estimated Cost per acre ($) for Machinery and equipment for muscadine grapes production, 2014</t>
    </r>
  </si>
  <si>
    <r>
      <t xml:space="preserve">Table 2: </t>
    </r>
    <r>
      <rPr>
        <sz val="11"/>
        <color theme="1"/>
        <rFont val="Calibri"/>
        <family val="2"/>
        <scheme val="minor"/>
      </rPr>
      <t>Materials and Estimated Costs ($) for muscadine grapes production, 2014</t>
    </r>
  </si>
  <si>
    <t>*Site preparation</t>
  </si>
  <si>
    <t>Include weed control in Feb.,</t>
  </si>
  <si>
    <t>mark rows, planting, building trellis, irrigation set up</t>
  </si>
  <si>
    <t>Your</t>
  </si>
  <si>
    <t>Your Cost</t>
  </si>
  <si>
    <t>11th year</t>
  </si>
  <si>
    <t>Sensitivity Analysis of Return on Investment (ROI), Breakeven Year (Pay Back Period )</t>
  </si>
  <si>
    <t>Net Present Value (NPV) and Modified Internal Rate of Return on Investment (MIRR)</t>
  </si>
  <si>
    <t xml:space="preserve">Estimated Cost per acre for Muscadine Grapes Production in year 4 using Single Curtain </t>
  </si>
  <si>
    <t xml:space="preserve">Estimated Cost per acre for Muscadine Grapes Production in year 3 using Single Curtain </t>
  </si>
  <si>
    <t xml:space="preserve">Estimated Cost per acre for Muscadine Grapes Production in year 2 using Single Curtain </t>
  </si>
  <si>
    <t xml:space="preserve">Estimated Cost per acre for Muscadine Grapes Production in year 1 using Single Curtain </t>
  </si>
  <si>
    <t>Department of Agricultural &amp; Applied Economics, University of Georgia</t>
  </si>
  <si>
    <t xml:space="preserve">Estimated Cost , Revenue and Investment Analysis for Muscadine Grapes </t>
  </si>
  <si>
    <t>and suggestion provided by Mr. Jacob Paulk of Paulk Vineyards</t>
  </si>
  <si>
    <r>
      <rPr>
        <b/>
        <sz val="18"/>
        <color theme="1"/>
        <rFont val="Calibri"/>
        <family val="2"/>
        <scheme val="minor"/>
      </rPr>
      <t>Aknowledgment:</t>
    </r>
    <r>
      <rPr>
        <sz val="18"/>
        <color theme="1"/>
        <rFont val="Calibri"/>
        <family val="2"/>
        <scheme val="minor"/>
      </rPr>
      <t xml:space="preserve">  This study was funded by USDA-NIFA SCRI grant for which  </t>
    </r>
  </si>
  <si>
    <t xml:space="preserve">Investment Analysis of Muscadine Grapes Grown in Georgia, Single </t>
  </si>
  <si>
    <t>Trellis System and Drip Irrigation</t>
  </si>
  <si>
    <t xml:space="preserve">Estimated Equipement and Power, Material and Labor Costs/acre </t>
  </si>
  <si>
    <t xml:space="preserve">for  Muscadine Grapes Production in Georgia Using a Single </t>
  </si>
  <si>
    <t>Estimated Machinery and Equipement Cost per acre for Muscadine Grapes Production using Single Curtain Trellis system and Drip Irrigation, Georgia 2014</t>
  </si>
  <si>
    <t xml:space="preserve">Estimated Input Prices for Muscadine Grapes Production using Single Curtain Trellis system </t>
  </si>
  <si>
    <t xml:space="preserve">        Soil test</t>
  </si>
  <si>
    <t xml:space="preserve">        Lime</t>
  </si>
  <si>
    <t xml:space="preserve">        Hand labor</t>
  </si>
  <si>
    <t xml:space="preserve">        Chisel plow</t>
  </si>
  <si>
    <t xml:space="preserve">        Disk harrow</t>
  </si>
  <si>
    <t xml:space="preserve">        Sub-soiler</t>
  </si>
  <si>
    <t>We assume the total annual costs/per from year five to year 20 is $3,027.59</t>
  </si>
  <si>
    <t xml:space="preserve">we are indebted. We are also very greatful for the invaluable data input </t>
  </si>
  <si>
    <t>&gt;20=More than 20 years</t>
  </si>
  <si>
    <t>Sensitivity Analysis of Return on Investment (ROI) - Entries are in percentage</t>
  </si>
  <si>
    <t>Sensitivity Analysis of Breakeven Year (Pay Back Period ) - Entries are in Years</t>
  </si>
  <si>
    <t>Sensitivity Analysis of Net Present Value (NPV) - Entries are in U.S. Dollars</t>
  </si>
  <si>
    <t>Sensitivity Analysis of Modified Internal Rate of Return on Investment (MIRR) - Entries are in percentage</t>
  </si>
  <si>
    <r>
      <rPr>
        <vertAlign val="super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Postdoctoral Research Associate and 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Professor  </t>
    </r>
  </si>
  <si>
    <r>
      <t xml:space="preserve"> Sebastain Awondo</t>
    </r>
    <r>
      <rPr>
        <vertAlign val="super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 and Esendugue G. Fonsah</t>
    </r>
    <r>
      <rPr>
        <vertAlign val="superscript"/>
        <sz val="18"/>
        <color theme="1"/>
        <rFont val="Calibri"/>
        <family val="2"/>
        <scheme val="minor"/>
      </rPr>
      <t xml:space="preserve">2 </t>
    </r>
  </si>
  <si>
    <t>Production  using Single Curtain Trellis system and Irrigation, Georgia 2017</t>
  </si>
  <si>
    <t>Trellis  system and Irrigation, Georgia 2017</t>
  </si>
  <si>
    <t>Trellis System, Georgia 2017</t>
  </si>
  <si>
    <t>and Irrigation, Georgia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</si>
</sst>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.00;[Red]0.00"/>
    <numFmt numFmtId="165" formatCode="0.000"/>
    <numFmt numFmtId="166" formatCode="&quot;$&quot;#,##0.00"/>
    <numFmt numFmtId="167" formatCode="0.00_);[Red]\(0.00\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rgb="FF2B2B2B"/>
      <name val="Inherit"/>
    </font>
    <font>
      <sz val="14"/>
      <color theme="1"/>
      <name val="Calibri"/>
      <family val="2"/>
      <scheme val="minor"/>
    </font>
    <font>
      <sz val="14"/>
      <color rgb="FF2B2B2B"/>
      <name val="Inherit"/>
    </font>
    <font>
      <b/>
      <sz val="14"/>
      <name val="Arial"/>
      <family val="2"/>
    </font>
    <font>
      <b/>
      <sz val="14"/>
      <color theme="1"/>
      <name val="Arial Black"/>
      <family val="2"/>
    </font>
    <font>
      <sz val="14"/>
      <color rgb="FF00B050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9">
    <xf numFmtId="0" fontId="0" fillId="0" borderId="0" xfId="0"/>
    <xf numFmtId="0" fontId="1" fillId="0" borderId="0" xfId="0" applyFont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2"/>
    <xf numFmtId="0" fontId="3" fillId="0" borderId="0" xfId="2" applyFont="1"/>
    <xf numFmtId="0" fontId="4" fillId="0" borderId="0" xfId="0" applyFont="1" applyBorder="1"/>
    <xf numFmtId="0" fontId="0" fillId="0" borderId="1" xfId="0" applyBorder="1"/>
    <xf numFmtId="165" fontId="0" fillId="0" borderId="0" xfId="0" applyNumberFormat="1"/>
    <xf numFmtId="0" fontId="0" fillId="3" borderId="0" xfId="0" applyFill="1" applyAlignment="1">
      <alignment horizontal="right"/>
    </xf>
    <xf numFmtId="10" fontId="0" fillId="8" borderId="0" xfId="0" applyNumberFormat="1" applyFill="1"/>
    <xf numFmtId="9" fontId="0" fillId="6" borderId="0" xfId="0" applyNumberFormat="1" applyFill="1"/>
    <xf numFmtId="166" fontId="0" fillId="4" borderId="0" xfId="0" applyNumberFormat="1" applyFill="1"/>
    <xf numFmtId="9" fontId="0" fillId="7" borderId="0" xfId="0" applyNumberFormat="1" applyFill="1"/>
    <xf numFmtId="0" fontId="5" fillId="5" borderId="0" xfId="0" applyFont="1" applyFill="1"/>
    <xf numFmtId="0" fontId="0" fillId="0" borderId="0" xfId="0" applyFill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/>
    <xf numFmtId="2" fontId="0" fillId="9" borderId="0" xfId="0" applyNumberFormat="1" applyFill="1" applyBorder="1"/>
    <xf numFmtId="0" fontId="5" fillId="0" borderId="0" xfId="0" applyFont="1" applyFill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5" fillId="0" borderId="14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0" borderId="0" xfId="0" applyFont="1" applyAlignment="1">
      <alignment horizontal="left"/>
    </xf>
    <xf numFmtId="0" fontId="10" fillId="2" borderId="0" xfId="0" applyFont="1" applyFill="1"/>
    <xf numFmtId="164" fontId="10" fillId="2" borderId="0" xfId="0" applyNumberFormat="1" applyFont="1" applyFill="1"/>
    <xf numFmtId="164" fontId="5" fillId="2" borderId="0" xfId="0" applyNumberFormat="1" applyFont="1" applyFill="1"/>
    <xf numFmtId="0" fontId="12" fillId="0" borderId="0" xfId="1" applyFont="1" applyFill="1" applyBorder="1" applyAlignment="1">
      <alignment horizontal="center"/>
    </xf>
    <xf numFmtId="0" fontId="5" fillId="0" borderId="0" xfId="0" applyFont="1" applyBorder="1"/>
    <xf numFmtId="0" fontId="12" fillId="0" borderId="0" xfId="1" applyFont="1" applyBorder="1" applyAlignment="1">
      <alignment horizontal="center"/>
    </xf>
    <xf numFmtId="0" fontId="5" fillId="0" borderId="15" xfId="0" applyFont="1" applyBorder="1"/>
    <xf numFmtId="0" fontId="12" fillId="0" borderId="15" xfId="1" applyFont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5" fillId="0" borderId="16" xfId="0" applyFont="1" applyBorder="1"/>
    <xf numFmtId="0" fontId="12" fillId="0" borderId="16" xfId="1" applyFont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0" fillId="0" borderId="13" xfId="0" applyBorder="1"/>
    <xf numFmtId="0" fontId="4" fillId="0" borderId="0" xfId="0" applyFont="1" applyBorder="1" applyAlignment="1">
      <alignment horizontal="center"/>
    </xf>
    <xf numFmtId="0" fontId="10" fillId="0" borderId="0" xfId="0" applyFont="1" applyAlignment="1"/>
    <xf numFmtId="2" fontId="10" fillId="0" borderId="0" xfId="0" applyNumberFormat="1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10" fontId="10" fillId="0" borderId="0" xfId="0" applyNumberFormat="1" applyFont="1"/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0" borderId="17" xfId="0" applyFont="1" applyBorder="1"/>
    <xf numFmtId="0" fontId="0" fillId="0" borderId="0" xfId="0" applyFont="1" applyBorder="1"/>
    <xf numFmtId="0" fontId="10" fillId="0" borderId="0" xfId="0" applyFont="1" applyAlignment="1">
      <alignment horizontal="right"/>
    </xf>
    <xf numFmtId="9" fontId="10" fillId="0" borderId="0" xfId="0" applyNumberFormat="1" applyFont="1"/>
    <xf numFmtId="8" fontId="10" fillId="0" borderId="0" xfId="0" applyNumberFormat="1" applyFont="1"/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/>
    <xf numFmtId="0" fontId="16" fillId="5" borderId="0" xfId="0" applyFont="1" applyFill="1"/>
    <xf numFmtId="0" fontId="17" fillId="5" borderId="0" xfId="0" applyFont="1" applyFill="1"/>
    <xf numFmtId="0" fontId="0" fillId="5" borderId="0" xfId="0" applyFill="1"/>
    <xf numFmtId="0" fontId="16" fillId="5" borderId="0" xfId="0" applyFont="1" applyFill="1" applyAlignment="1"/>
    <xf numFmtId="0" fontId="10" fillId="5" borderId="0" xfId="0" applyFont="1" applyFill="1"/>
    <xf numFmtId="0" fontId="17" fillId="0" borderId="0" xfId="0" applyFont="1" applyFill="1" applyBorder="1"/>
    <xf numFmtId="0" fontId="16" fillId="0" borderId="0" xfId="0" applyFont="1" applyFill="1" applyAlignment="1"/>
    <xf numFmtId="0" fontId="10" fillId="0" borderId="0" xfId="0" applyFont="1" applyFill="1"/>
    <xf numFmtId="0" fontId="16" fillId="5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2" fontId="0" fillId="0" borderId="0" xfId="0" applyNumberForma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5" fillId="0" borderId="0" xfId="0" applyNumberFormat="1" applyFont="1"/>
    <xf numFmtId="167" fontId="16" fillId="5" borderId="0" xfId="0" applyNumberFormat="1" applyFont="1" applyFill="1"/>
    <xf numFmtId="167" fontId="10" fillId="0" borderId="0" xfId="0" applyNumberFormat="1" applyFont="1"/>
    <xf numFmtId="167" fontId="5" fillId="5" borderId="0" xfId="0" applyNumberFormat="1" applyFont="1" applyFill="1"/>
    <xf numFmtId="167" fontId="10" fillId="5" borderId="0" xfId="0" applyNumberFormat="1" applyFont="1" applyFill="1"/>
    <xf numFmtId="167" fontId="13" fillId="0" borderId="10" xfId="0" applyNumberFormat="1" applyFont="1" applyBorder="1"/>
    <xf numFmtId="167" fontId="13" fillId="0" borderId="5" xfId="0" applyNumberFormat="1" applyFont="1" applyBorder="1" applyAlignment="1">
      <alignment horizontal="center"/>
    </xf>
    <xf numFmtId="167" fontId="13" fillId="0" borderId="11" xfId="0" applyNumberFormat="1" applyFont="1" applyBorder="1"/>
    <xf numFmtId="167" fontId="13" fillId="0" borderId="12" xfId="0" applyNumberFormat="1" applyFont="1" applyBorder="1"/>
    <xf numFmtId="167" fontId="13" fillId="0" borderId="0" xfId="0" applyNumberFormat="1" applyFont="1" applyBorder="1" applyAlignment="1">
      <alignment horizontal="center"/>
    </xf>
    <xf numFmtId="167" fontId="10" fillId="0" borderId="10" xfId="0" applyNumberFormat="1" applyFont="1" applyBorder="1"/>
    <xf numFmtId="167" fontId="15" fillId="0" borderId="11" xfId="0" applyNumberFormat="1" applyFont="1" applyBorder="1"/>
    <xf numFmtId="167" fontId="15" fillId="0" borderId="12" xfId="0" applyNumberFormat="1" applyFont="1" applyBorder="1"/>
    <xf numFmtId="167" fontId="10" fillId="5" borderId="0" xfId="0" applyNumberFormat="1" applyFont="1" applyFill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/>
    <xf numFmtId="167" fontId="0" fillId="0" borderId="0" xfId="0" applyNumberFormat="1" applyFill="1" applyBorder="1"/>
    <xf numFmtId="167" fontId="10" fillId="0" borderId="0" xfId="0" applyNumberFormat="1" applyFont="1" applyFill="1"/>
    <xf numFmtId="167" fontId="10" fillId="3" borderId="0" xfId="0" applyNumberFormat="1" applyFont="1" applyFill="1" applyAlignment="1">
      <alignment horizontal="center"/>
    </xf>
    <xf numFmtId="167" fontId="10" fillId="3" borderId="0" xfId="0" applyNumberFormat="1" applyFont="1" applyFill="1"/>
    <xf numFmtId="167" fontId="0" fillId="0" borderId="0" xfId="0" applyNumberFormat="1" applyBorder="1"/>
    <xf numFmtId="167" fontId="7" fillId="0" borderId="0" xfId="0" applyNumberFormat="1" applyFont="1" applyBorder="1"/>
    <xf numFmtId="167" fontId="7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1" xfId="0" applyNumberFormat="1" applyFont="1" applyBorder="1"/>
    <xf numFmtId="167" fontId="10" fillId="0" borderId="1" xfId="0" applyNumberFormat="1" applyFont="1" applyBorder="1"/>
    <xf numFmtId="167" fontId="10" fillId="4" borderId="1" xfId="0" applyNumberFormat="1" applyFont="1" applyFill="1" applyBorder="1"/>
    <xf numFmtId="167" fontId="6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164" fontId="10" fillId="0" borderId="1" xfId="0" applyNumberFormat="1" applyFont="1" applyBorder="1"/>
    <xf numFmtId="164" fontId="0" fillId="0" borderId="0" xfId="0" applyNumberForma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7" fontId="5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'Investment Analysis'!$C$49</c:f>
              <c:strCache>
                <c:ptCount val="1"/>
                <c:pt idx="0">
                  <c:v>NPV_D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Analysis'!$C$51:$C$71</c:f>
              <c:numCache>
                <c:formatCode>"$"#,##0.00_);[Red]\("$"#,##0.00\)</c:formatCode>
                <c:ptCount val="21"/>
                <c:pt idx="0">
                  <c:v>9600.6590888722822</c:v>
                </c:pt>
                <c:pt idx="1">
                  <c:v>7815.5545569746055</c:v>
                </c:pt>
                <c:pt idx="2">
                  <c:v>6279.7205859327105</c:v>
                </c:pt>
                <c:pt idx="3">
                  <c:v>4954.2710280507408</c:v>
                </c:pt>
                <c:pt idx="4">
                  <c:v>3806.9374678542245</c:v>
                </c:pt>
                <c:pt idx="5">
                  <c:v>2810.8626767636633</c:v>
                </c:pt>
                <c:pt idx="6">
                  <c:v>1943.6269162942326</c:v>
                </c:pt>
                <c:pt idx="7">
                  <c:v>1186.4599104389517</c:v>
                </c:pt>
                <c:pt idx="8">
                  <c:v>523.60128612999506</c:v>
                </c:pt>
                <c:pt idx="9">
                  <c:v>-58.219934371426461</c:v>
                </c:pt>
                <c:pt idx="10">
                  <c:v>-570.21011428001157</c:v>
                </c:pt>
                <c:pt idx="11">
                  <c:v>-1021.858602398454</c:v>
                </c:pt>
                <c:pt idx="12">
                  <c:v>-1421.2229387124621</c:v>
                </c:pt>
                <c:pt idx="13">
                  <c:v>-1775.1634854453191</c:v>
                </c:pt>
                <c:pt idx="14">
                  <c:v>-2089.5369572669497</c:v>
                </c:pt>
                <c:pt idx="15">
                  <c:v>-2369.3564635353114</c:v>
                </c:pt>
                <c:pt idx="16">
                  <c:v>9600.6590888722822</c:v>
                </c:pt>
                <c:pt idx="17">
                  <c:v>9600.6590888722822</c:v>
                </c:pt>
                <c:pt idx="18">
                  <c:v>9600.6590888722822</c:v>
                </c:pt>
                <c:pt idx="19">
                  <c:v>9600.6590888722822</c:v>
                </c:pt>
                <c:pt idx="20">
                  <c:v>9600.6590888722822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'Investment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46176"/>
        <c:axId val="116552448"/>
      </c:scatterChart>
      <c:valAx>
        <c:axId val="11654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Discount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52448"/>
        <c:crosses val="autoZero"/>
        <c:crossBetween val="midCat"/>
      </c:valAx>
      <c:valAx>
        <c:axId val="1165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  <a:r>
                  <a:rPr lang="en-US" baseline="0"/>
                  <a:t> (U.S. DOLLARS)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46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80076354092103"/>
          <c:y val="0.87934361419585094"/>
          <c:w val="0.64964956653145634"/>
          <c:h val="6.20693909574599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</a:t>
            </a:r>
            <a:r>
              <a:rPr lang="en-US" baseline="0"/>
              <a:t> for Two Muscadine Grapes Investments</a:t>
            </a:r>
            <a:endParaRPr lang="en-US"/>
          </a:p>
        </c:rich>
      </c:tx>
      <c:layout>
        <c:manualLayout>
          <c:xMode val="edge"/>
          <c:yMode val="edge"/>
          <c:x val="0.2988932546453562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'Investment Analysis'!$D$49</c:f>
              <c:strCache>
                <c:ptCount val="1"/>
                <c:pt idx="0">
                  <c:v>MIRR_D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Analysis'!$D$51:$D$71</c:f>
              <c:numCache>
                <c:formatCode>0%</c:formatCode>
                <c:ptCount val="21"/>
                <c:pt idx="0">
                  <c:v>4.4425168398268156E-2</c:v>
                </c:pt>
                <c:pt idx="1">
                  <c:v>4.9093660011269469E-2</c:v>
                </c:pt>
                <c:pt idx="2">
                  <c:v>5.385242128252532E-2</c:v>
                </c:pt>
                <c:pt idx="3">
                  <c:v>5.8699575726929965E-2</c:v>
                </c:pt>
                <c:pt idx="4">
                  <c:v>6.3633012265986055E-2</c:v>
                </c:pt>
                <c:pt idx="5">
                  <c:v>6.8650413694156143E-2</c:v>
                </c:pt>
                <c:pt idx="6">
                  <c:v>7.3749285825521538E-2</c:v>
                </c:pt>
                <c:pt idx="7">
                  <c:v>7.892698670371523E-2</c:v>
                </c:pt>
                <c:pt idx="8">
                  <c:v>8.4180755317152967E-2</c:v>
                </c:pt>
                <c:pt idx="9">
                  <c:v>8.9507739333732017E-2</c:v>
                </c:pt>
                <c:pt idx="10">
                  <c:v>9.4905021449408045E-2</c:v>
                </c:pt>
                <c:pt idx="11">
                  <c:v>0.10036964402866078</c:v>
                </c:pt>
                <c:pt idx="12">
                  <c:v>0.10589863179769088</c:v>
                </c:pt>
                <c:pt idx="13">
                  <c:v>0.1114890124298602</c:v>
                </c:pt>
                <c:pt idx="14">
                  <c:v>0.11713783493482666</c:v>
                </c:pt>
                <c:pt idx="15">
                  <c:v>0.12284218582626805</c:v>
                </c:pt>
                <c:pt idx="16">
                  <c:v>4.4425168398268156E-2</c:v>
                </c:pt>
                <c:pt idx="17">
                  <c:v>4.4425168398268156E-2</c:v>
                </c:pt>
                <c:pt idx="18">
                  <c:v>4.4425168398268156E-2</c:v>
                </c:pt>
                <c:pt idx="19">
                  <c:v>4.4425168398268156E-2</c:v>
                </c:pt>
                <c:pt idx="20">
                  <c:v>4.4425168398268156E-2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'Investment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65504"/>
        <c:axId val="116567424"/>
      </c:scatterChart>
      <c:valAx>
        <c:axId val="11656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Finance</a:t>
                </a:r>
                <a:r>
                  <a:rPr lang="en-US" baseline="0"/>
                  <a:t> and reinvestment rate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7424"/>
        <c:crosses val="autoZero"/>
        <c:crossBetween val="midCat"/>
      </c:valAx>
      <c:valAx>
        <c:axId val="11656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MIRR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48</xdr:row>
      <xdr:rowOff>200026</xdr:rowOff>
    </xdr:from>
    <xdr:to>
      <xdr:col>12</xdr:col>
      <xdr:colOff>552450</xdr:colOff>
      <xdr:row>71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523875</xdr:colOff>
      <xdr:row>48</xdr:row>
      <xdr:rowOff>152400</xdr:rowOff>
    </xdr:from>
    <xdr:to>
      <xdr:col>23</xdr:col>
      <xdr:colOff>76200</xdr:colOff>
      <xdr:row>70</xdr:row>
      <xdr:rowOff>219075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7"/>
  <sheetViews>
    <sheetView workbookViewId="0">
      <selection activeCell="G16" sqref="G16"/>
    </sheetView>
  </sheetViews>
  <sheetFormatPr defaultRowHeight="14.4"/>
  <cols>
    <col min="1" max="1" width="1.44140625" customWidth="1"/>
    <col min="2" max="2" width="4.77734375" customWidth="1"/>
    <col min="3" max="3" width="3.6640625" customWidth="1"/>
    <col min="4" max="5" width="4.109375" customWidth="1"/>
    <col min="6" max="6" width="3.5546875" customWidth="1"/>
    <col min="7" max="7" width="4.88671875" customWidth="1"/>
    <col min="8" max="8" width="4" customWidth="1"/>
    <col min="9" max="9" width="4.44140625" customWidth="1"/>
    <col min="10" max="10" width="5.88671875" customWidth="1"/>
    <col min="11" max="11" width="3.88671875" customWidth="1"/>
    <col min="12" max="12" width="4.77734375" customWidth="1"/>
    <col min="13" max="13" width="4" customWidth="1"/>
    <col min="14" max="14" width="5" customWidth="1"/>
    <col min="15" max="15" width="6.88671875" customWidth="1"/>
    <col min="16" max="16" width="5.77734375" customWidth="1"/>
    <col min="17" max="17" width="2.5546875" customWidth="1"/>
    <col min="19" max="19" width="5.33203125" customWidth="1"/>
  </cols>
  <sheetData>
    <row r="2" spans="2:13" ht="23.4">
      <c r="B2" s="82" t="s">
        <v>223</v>
      </c>
      <c r="C2" s="82"/>
      <c r="D2" s="82"/>
      <c r="E2" s="82"/>
      <c r="F2" s="82"/>
      <c r="G2" s="82"/>
      <c r="H2" s="82"/>
      <c r="I2" s="82"/>
      <c r="J2" s="83"/>
      <c r="K2" s="83"/>
      <c r="L2" s="84"/>
      <c r="M2" s="84"/>
    </row>
    <row r="3" spans="2:13" ht="23.4">
      <c r="B3" s="82" t="s">
        <v>247</v>
      </c>
      <c r="C3" s="82"/>
      <c r="D3" s="82"/>
      <c r="E3" s="82"/>
      <c r="F3" s="82"/>
      <c r="G3" s="82"/>
      <c r="H3" s="82"/>
      <c r="I3" s="82"/>
      <c r="J3" s="83"/>
      <c r="K3" s="83"/>
      <c r="L3" s="84"/>
      <c r="M3" s="84"/>
    </row>
    <row r="4" spans="2:13" ht="23.4"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2:13" ht="23.4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3" ht="26.4">
      <c r="B6" s="81"/>
      <c r="C6" s="81"/>
      <c r="D6" s="81" t="s">
        <v>246</v>
      </c>
      <c r="E6" s="81"/>
      <c r="F6" s="81"/>
      <c r="G6" s="81"/>
      <c r="H6" s="81"/>
      <c r="I6" s="81"/>
      <c r="J6" s="81"/>
      <c r="K6" s="81"/>
    </row>
    <row r="7" spans="2:13" ht="23.4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2:13" ht="26.4">
      <c r="D8" s="81" t="s">
        <v>245</v>
      </c>
      <c r="E8" s="81"/>
      <c r="F8" s="81"/>
      <c r="G8" s="81"/>
      <c r="H8" s="81"/>
      <c r="I8" s="81"/>
      <c r="J8" s="81"/>
      <c r="K8" s="81"/>
    </row>
    <row r="9" spans="2:13" ht="23.4">
      <c r="B9" s="81" t="s">
        <v>222</v>
      </c>
      <c r="C9" s="81"/>
      <c r="D9" s="81"/>
      <c r="E9" s="81"/>
      <c r="F9" s="81"/>
      <c r="G9" s="81"/>
      <c r="H9" s="81"/>
      <c r="I9" s="81"/>
      <c r="J9" s="81"/>
      <c r="K9" s="81"/>
    </row>
    <row r="10" spans="2:13" ht="23.4"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2:13" ht="23.4"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2:13" ht="23.4"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2:13" ht="23.4">
      <c r="B13" s="81" t="s">
        <v>225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13" ht="23.4">
      <c r="B14" s="81" t="s">
        <v>239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13" ht="23.4">
      <c r="B15" s="81" t="s">
        <v>224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2:13" ht="23.4"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2:11" ht="23.4">
      <c r="B17" s="81"/>
      <c r="C17" s="81"/>
      <c r="D17" s="81"/>
      <c r="E17" s="81"/>
      <c r="F17" s="81"/>
      <c r="G17" s="81"/>
      <c r="H17" s="81"/>
      <c r="I17" s="81"/>
      <c r="J17" s="81"/>
      <c r="K17" s="81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7"/>
  <sheetViews>
    <sheetView workbookViewId="0">
      <selection activeCell="N11" sqref="N11"/>
    </sheetView>
  </sheetViews>
  <sheetFormatPr defaultRowHeight="14.4"/>
  <cols>
    <col min="1" max="7" width="14.88671875" style="116" customWidth="1"/>
    <col min="8" max="8" width="13.44140625" style="116" customWidth="1"/>
    <col min="9" max="9" width="5.5546875" style="116" customWidth="1"/>
    <col min="10" max="10" width="4.33203125" style="116" customWidth="1"/>
    <col min="11" max="11" width="3.44140625" customWidth="1"/>
    <col min="12" max="12" width="3.77734375" customWidth="1"/>
    <col min="13" max="13" width="8.109375" customWidth="1"/>
    <col min="14" max="14" width="8.44140625" customWidth="1"/>
    <col min="15" max="15" width="8.88671875" customWidth="1"/>
    <col min="16" max="16" width="8.33203125" customWidth="1"/>
    <col min="17" max="17" width="9" customWidth="1"/>
    <col min="18" max="18" width="9.5546875" customWidth="1"/>
    <col min="19" max="19" width="6.109375" customWidth="1"/>
  </cols>
  <sheetData>
    <row r="1" spans="1:22" ht="23.4">
      <c r="A1" s="102"/>
      <c r="B1" s="103" t="s">
        <v>216</v>
      </c>
      <c r="C1" s="103"/>
      <c r="D1" s="103"/>
      <c r="E1" s="103"/>
      <c r="F1" s="103"/>
      <c r="G1" s="103"/>
      <c r="H1" s="103"/>
      <c r="I1" s="103"/>
      <c r="J1" s="103"/>
      <c r="K1" s="17"/>
      <c r="L1" s="17"/>
      <c r="M1" s="39"/>
      <c r="N1" s="39"/>
      <c r="O1" s="39"/>
      <c r="P1" s="39"/>
      <c r="Q1" s="39"/>
      <c r="R1" s="39"/>
      <c r="S1" s="40"/>
      <c r="T1" s="40"/>
      <c r="U1" s="40"/>
      <c r="V1" s="40"/>
    </row>
    <row r="2" spans="1:22" ht="23.4">
      <c r="A2" s="102"/>
      <c r="B2" s="103" t="s">
        <v>217</v>
      </c>
      <c r="C2" s="103"/>
      <c r="D2" s="103"/>
      <c r="E2" s="103"/>
      <c r="F2" s="103"/>
      <c r="G2" s="103"/>
      <c r="H2" s="103"/>
      <c r="I2" s="103"/>
      <c r="J2" s="103"/>
      <c r="K2" s="17"/>
      <c r="L2" s="17"/>
      <c r="M2" s="39"/>
      <c r="N2" s="39"/>
      <c r="O2" s="39"/>
      <c r="P2" s="39"/>
      <c r="Q2" s="39"/>
      <c r="R2" s="39"/>
      <c r="S2" s="40"/>
      <c r="T2" s="40"/>
      <c r="U2" s="40"/>
      <c r="V2" s="40"/>
    </row>
    <row r="3" spans="1:22" ht="18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</row>
    <row r="4" spans="1:22" ht="18">
      <c r="A4" s="104"/>
      <c r="B4" s="105" t="s">
        <v>241</v>
      </c>
      <c r="C4" s="106"/>
      <c r="D4" s="106"/>
      <c r="E4" s="106"/>
      <c r="F4" s="106"/>
      <c r="G4" s="106"/>
      <c r="H4" s="104"/>
      <c r="I4" s="104"/>
      <c r="J4" s="104"/>
      <c r="T4" s="40"/>
      <c r="U4" s="40"/>
      <c r="V4" s="40"/>
    </row>
    <row r="5" spans="1:22" ht="18.600000000000001" thickBot="1">
      <c r="A5" s="104"/>
      <c r="B5" s="104"/>
      <c r="C5" s="137" t="s">
        <v>194</v>
      </c>
      <c r="D5" s="137"/>
      <c r="E5" s="137"/>
      <c r="F5" s="137"/>
      <c r="G5" s="137"/>
      <c r="H5" s="137"/>
      <c r="I5" s="104"/>
      <c r="J5" s="104"/>
      <c r="T5" s="40"/>
      <c r="U5" s="40"/>
      <c r="V5" s="40"/>
    </row>
    <row r="6" spans="1:22" ht="21.6" thickBot="1">
      <c r="A6" s="104"/>
      <c r="B6" s="107"/>
      <c r="C6" s="108">
        <v>7</v>
      </c>
      <c r="D6" s="108">
        <v>7.5</v>
      </c>
      <c r="E6" s="108">
        <v>8</v>
      </c>
      <c r="F6" s="108">
        <v>8.5</v>
      </c>
      <c r="G6" s="108">
        <v>9</v>
      </c>
      <c r="H6" s="108">
        <v>9.5</v>
      </c>
      <c r="I6" s="104"/>
      <c r="J6" s="104"/>
      <c r="T6" s="40"/>
      <c r="U6" s="40"/>
      <c r="V6" s="40"/>
    </row>
    <row r="7" spans="1:22" ht="21">
      <c r="A7" s="104"/>
      <c r="B7" s="109">
        <v>350</v>
      </c>
      <c r="C7" s="100">
        <v>-28.71</v>
      </c>
      <c r="D7" s="100">
        <v>-23.72</v>
      </c>
      <c r="E7" s="100">
        <v>-18.73</v>
      </c>
      <c r="F7" s="100">
        <v>-13.75</v>
      </c>
      <c r="G7" s="100">
        <v>-8.76</v>
      </c>
      <c r="H7" s="100">
        <v>-3.77</v>
      </c>
      <c r="I7" s="104"/>
      <c r="J7" s="104"/>
      <c r="T7" s="40"/>
      <c r="U7" s="40"/>
      <c r="V7" s="40"/>
    </row>
    <row r="8" spans="1:22" ht="21">
      <c r="A8" s="104"/>
      <c r="B8" s="109">
        <v>400</v>
      </c>
      <c r="C8" s="100">
        <v>-18.52</v>
      </c>
      <c r="D8" s="100">
        <v>-12.82</v>
      </c>
      <c r="E8" s="100">
        <v>-7.12</v>
      </c>
      <c r="F8" s="100">
        <v>-1.42</v>
      </c>
      <c r="G8" s="101">
        <v>4.28</v>
      </c>
      <c r="H8" s="101">
        <v>9.98</v>
      </c>
      <c r="I8" s="104"/>
      <c r="J8" s="104"/>
      <c r="T8" s="40"/>
      <c r="U8" s="40"/>
      <c r="V8" s="40"/>
    </row>
    <row r="9" spans="1:22" ht="21">
      <c r="A9" s="102" t="s">
        <v>207</v>
      </c>
      <c r="B9" s="109">
        <v>450</v>
      </c>
      <c r="C9" s="100">
        <v>-8.34</v>
      </c>
      <c r="D9" s="100">
        <v>-1.93</v>
      </c>
      <c r="E9" s="101">
        <v>4.49</v>
      </c>
      <c r="F9" s="101">
        <v>10.9</v>
      </c>
      <c r="G9" s="101">
        <v>17.309999999999999</v>
      </c>
      <c r="H9" s="101">
        <v>23.72</v>
      </c>
      <c r="I9" s="104"/>
      <c r="J9" s="104"/>
      <c r="T9" s="40"/>
      <c r="U9" s="40"/>
      <c r="V9" s="40"/>
    </row>
    <row r="10" spans="1:22" ht="21">
      <c r="A10" s="104"/>
      <c r="B10" s="109">
        <v>500</v>
      </c>
      <c r="C10" s="101">
        <v>1.85</v>
      </c>
      <c r="D10" s="101">
        <v>8.9700000000000006</v>
      </c>
      <c r="E10" s="101">
        <v>16.100000000000001</v>
      </c>
      <c r="F10" s="101">
        <v>23.22</v>
      </c>
      <c r="G10" s="101">
        <v>30.35</v>
      </c>
      <c r="H10" s="101">
        <v>37.47</v>
      </c>
      <c r="I10" s="104"/>
      <c r="J10" s="104"/>
      <c r="T10" s="40"/>
      <c r="U10" s="40"/>
      <c r="V10" s="40"/>
    </row>
    <row r="11" spans="1:22" ht="21">
      <c r="A11" s="104"/>
      <c r="B11" s="109">
        <v>550</v>
      </c>
      <c r="C11" s="101">
        <v>12.03</v>
      </c>
      <c r="D11" s="101">
        <v>19.87</v>
      </c>
      <c r="E11" s="101">
        <v>27.7</v>
      </c>
      <c r="F11" s="101">
        <v>35.54</v>
      </c>
      <c r="G11" s="101">
        <v>43.38</v>
      </c>
      <c r="H11" s="101">
        <v>51.22</v>
      </c>
      <c r="I11" s="104"/>
      <c r="J11" s="104"/>
      <c r="T11" s="40"/>
      <c r="U11" s="40"/>
      <c r="V11" s="40"/>
    </row>
    <row r="12" spans="1:22" ht="21.6" thickBot="1">
      <c r="A12" s="104"/>
      <c r="B12" s="110">
        <v>600</v>
      </c>
      <c r="C12" s="101">
        <v>22.21</v>
      </c>
      <c r="D12" s="101">
        <v>30.76</v>
      </c>
      <c r="E12" s="101">
        <v>39.31</v>
      </c>
      <c r="F12" s="101">
        <v>47.86</v>
      </c>
      <c r="G12" s="101">
        <v>56.41</v>
      </c>
      <c r="H12" s="101">
        <v>64.959999999999994</v>
      </c>
      <c r="I12" s="104"/>
      <c r="J12" s="104"/>
      <c r="T12" s="40"/>
      <c r="U12" s="40"/>
      <c r="V12" s="40"/>
    </row>
    <row r="13" spans="1:22" ht="18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40"/>
      <c r="L13" s="40"/>
      <c r="M13" s="70"/>
      <c r="N13" s="70"/>
      <c r="O13" s="70"/>
      <c r="P13" s="70"/>
      <c r="Q13" s="70"/>
      <c r="R13" s="70"/>
      <c r="S13" s="70"/>
      <c r="T13" s="40"/>
      <c r="U13" s="40"/>
      <c r="V13" s="40"/>
    </row>
    <row r="14" spans="1:22" ht="18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40"/>
      <c r="L14" s="40"/>
      <c r="M14" s="70"/>
      <c r="N14" s="70"/>
      <c r="O14" s="70"/>
      <c r="P14" s="70"/>
      <c r="Q14" s="70"/>
      <c r="R14" s="70"/>
      <c r="S14" s="70"/>
      <c r="T14" s="40"/>
      <c r="U14" s="40"/>
      <c r="V14" s="40"/>
    </row>
    <row r="15" spans="1:22" ht="18">
      <c r="A15" s="104"/>
      <c r="B15" s="105" t="s">
        <v>242</v>
      </c>
      <c r="C15" s="106"/>
      <c r="D15" s="106"/>
      <c r="E15" s="106"/>
      <c r="F15" s="106"/>
      <c r="G15" s="106"/>
      <c r="H15" s="104"/>
      <c r="I15" s="104"/>
      <c r="J15" s="104"/>
      <c r="K15" s="40"/>
      <c r="L15" s="40"/>
      <c r="M15" s="70"/>
      <c r="N15" s="70"/>
      <c r="O15" s="70"/>
      <c r="P15" s="70"/>
      <c r="Q15" s="70"/>
      <c r="R15" s="70"/>
      <c r="S15" s="70"/>
      <c r="T15" s="40"/>
      <c r="U15" s="40"/>
      <c r="V15" s="40"/>
    </row>
    <row r="16" spans="1:22" ht="18.600000000000001" thickBot="1">
      <c r="A16" s="104"/>
      <c r="B16" s="104"/>
      <c r="C16" s="138" t="s">
        <v>194</v>
      </c>
      <c r="D16" s="138"/>
      <c r="E16" s="138"/>
      <c r="F16" s="138"/>
      <c r="G16" s="138"/>
      <c r="H16" s="138"/>
      <c r="I16" s="117"/>
      <c r="J16" s="104"/>
      <c r="K16" s="40"/>
      <c r="L16" s="40"/>
      <c r="M16" s="70"/>
      <c r="N16" s="70"/>
      <c r="O16" s="70"/>
      <c r="P16" s="70"/>
      <c r="Q16" s="70"/>
      <c r="R16" s="70"/>
      <c r="S16" s="70"/>
      <c r="T16" s="40"/>
      <c r="U16" s="40"/>
      <c r="V16" s="40"/>
    </row>
    <row r="17" spans="1:22" ht="21.6" thickBot="1">
      <c r="A17" s="104"/>
      <c r="B17" s="107"/>
      <c r="C17" s="108">
        <v>7</v>
      </c>
      <c r="D17" s="108">
        <v>7.5</v>
      </c>
      <c r="E17" s="108">
        <v>8</v>
      </c>
      <c r="F17" s="108">
        <v>8.5</v>
      </c>
      <c r="G17" s="108">
        <v>9</v>
      </c>
      <c r="H17" s="108">
        <v>9.5</v>
      </c>
      <c r="I17" s="111"/>
      <c r="J17" s="104"/>
      <c r="K17" s="40"/>
      <c r="L17" s="40"/>
      <c r="M17" s="70"/>
      <c r="N17" s="70"/>
      <c r="O17" s="70"/>
      <c r="P17" s="70"/>
      <c r="Q17" s="70"/>
      <c r="R17" s="70"/>
      <c r="S17" s="70"/>
      <c r="T17" s="40"/>
      <c r="U17" s="40"/>
      <c r="V17" s="40"/>
    </row>
    <row r="18" spans="1:22" ht="21">
      <c r="A18" s="104"/>
      <c r="B18" s="109">
        <v>350</v>
      </c>
      <c r="C18" s="100" t="s">
        <v>195</v>
      </c>
      <c r="D18" s="100" t="s">
        <v>195</v>
      </c>
      <c r="E18" s="100" t="s">
        <v>195</v>
      </c>
      <c r="F18" s="100" t="s">
        <v>195</v>
      </c>
      <c r="G18" s="100" t="s">
        <v>195</v>
      </c>
      <c r="H18" s="100" t="s">
        <v>195</v>
      </c>
      <c r="I18" s="100"/>
      <c r="J18" s="104"/>
      <c r="K18" s="40"/>
      <c r="L18" s="40"/>
      <c r="M18" s="70"/>
      <c r="N18" s="70"/>
      <c r="O18" s="70"/>
      <c r="P18" s="70"/>
      <c r="Q18" s="70"/>
      <c r="R18" s="70"/>
      <c r="S18" s="70"/>
      <c r="T18" s="40"/>
      <c r="U18" s="40"/>
      <c r="V18" s="40"/>
    </row>
    <row r="19" spans="1:22" ht="21">
      <c r="A19" s="104"/>
      <c r="B19" s="109">
        <v>400</v>
      </c>
      <c r="C19" s="100" t="s">
        <v>195</v>
      </c>
      <c r="D19" s="100" t="s">
        <v>195</v>
      </c>
      <c r="E19" s="100" t="s">
        <v>195</v>
      </c>
      <c r="F19" s="100" t="s">
        <v>195</v>
      </c>
      <c r="G19" s="101">
        <v>16</v>
      </c>
      <c r="H19" s="101">
        <v>13</v>
      </c>
      <c r="I19" s="101"/>
      <c r="J19" s="104"/>
      <c r="K19" s="40"/>
      <c r="L19" s="40"/>
      <c r="M19" s="70"/>
      <c r="N19" s="70"/>
      <c r="O19" s="70"/>
      <c r="P19" s="70"/>
      <c r="Q19" s="70"/>
      <c r="R19" s="70"/>
      <c r="S19" s="70"/>
      <c r="T19" s="40"/>
      <c r="U19" s="40"/>
      <c r="V19" s="40"/>
    </row>
    <row r="20" spans="1:22" ht="21">
      <c r="A20" s="102" t="s">
        <v>207</v>
      </c>
      <c r="B20" s="109">
        <v>450</v>
      </c>
      <c r="C20" s="100" t="s">
        <v>195</v>
      </c>
      <c r="D20" s="100" t="s">
        <v>195</v>
      </c>
      <c r="E20" s="101">
        <v>16</v>
      </c>
      <c r="F20" s="101">
        <v>12</v>
      </c>
      <c r="G20" s="101">
        <v>10</v>
      </c>
      <c r="H20" s="101">
        <v>9</v>
      </c>
      <c r="I20" s="101"/>
      <c r="J20" s="104"/>
      <c r="K20" s="40"/>
      <c r="L20" s="40"/>
      <c r="M20" s="70"/>
      <c r="N20" s="70"/>
      <c r="O20" s="70"/>
      <c r="P20" s="70"/>
      <c r="Q20" s="70"/>
      <c r="R20" s="70"/>
      <c r="S20" s="70"/>
      <c r="T20" s="40"/>
      <c r="U20" s="40"/>
      <c r="V20" s="40"/>
    </row>
    <row r="21" spans="1:22" ht="21">
      <c r="A21" s="104"/>
      <c r="B21" s="109">
        <v>500</v>
      </c>
      <c r="C21" s="101">
        <v>18</v>
      </c>
      <c r="D21" s="101">
        <v>13</v>
      </c>
      <c r="E21" s="101">
        <v>11</v>
      </c>
      <c r="F21" s="101">
        <v>9</v>
      </c>
      <c r="G21" s="101">
        <v>8</v>
      </c>
      <c r="H21" s="101">
        <v>8</v>
      </c>
      <c r="I21" s="101"/>
      <c r="J21" s="104"/>
      <c r="K21" s="40"/>
      <c r="L21" s="40"/>
      <c r="M21" s="70"/>
      <c r="N21" s="70"/>
      <c r="O21" s="70"/>
      <c r="P21" s="70"/>
      <c r="Q21" s="70"/>
      <c r="R21" s="70"/>
      <c r="S21" s="70"/>
      <c r="T21" s="40"/>
      <c r="U21" s="40"/>
      <c r="V21" s="40"/>
    </row>
    <row r="22" spans="1:22" ht="21">
      <c r="A22" s="104"/>
      <c r="B22" s="109">
        <v>550</v>
      </c>
      <c r="C22" s="101">
        <v>12</v>
      </c>
      <c r="D22" s="101">
        <v>10</v>
      </c>
      <c r="E22" s="101">
        <v>8</v>
      </c>
      <c r="F22" s="101">
        <v>8</v>
      </c>
      <c r="G22" s="101">
        <v>7</v>
      </c>
      <c r="H22" s="101">
        <v>7</v>
      </c>
      <c r="I22" s="101"/>
      <c r="J22" s="104"/>
      <c r="K22" s="40"/>
      <c r="L22" s="40"/>
      <c r="M22" s="70"/>
      <c r="N22" s="70"/>
      <c r="O22" s="70"/>
      <c r="P22" s="70"/>
      <c r="Q22" s="70"/>
      <c r="R22" s="70"/>
      <c r="S22" s="70"/>
      <c r="T22" s="40"/>
      <c r="U22" s="40"/>
      <c r="V22" s="40"/>
    </row>
    <row r="23" spans="1:22" ht="21.6" thickBot="1">
      <c r="A23" s="104"/>
      <c r="B23" s="110">
        <v>600</v>
      </c>
      <c r="C23" s="101">
        <v>9</v>
      </c>
      <c r="D23" s="101">
        <v>8</v>
      </c>
      <c r="E23" s="101">
        <v>7</v>
      </c>
      <c r="F23" s="101">
        <v>7</v>
      </c>
      <c r="G23" s="101">
        <v>6</v>
      </c>
      <c r="H23" s="101">
        <v>6</v>
      </c>
      <c r="I23" s="101"/>
      <c r="J23" s="104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8">
      <c r="A24" s="104"/>
      <c r="B24" s="104" t="s">
        <v>240</v>
      </c>
      <c r="C24" s="104"/>
      <c r="D24" s="104"/>
      <c r="E24" s="104"/>
      <c r="F24" s="104"/>
      <c r="G24" s="104"/>
      <c r="H24" s="104"/>
      <c r="I24" s="104"/>
      <c r="J24" s="104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ht="18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ht="18">
      <c r="A26" s="104"/>
      <c r="B26" s="105" t="s">
        <v>243</v>
      </c>
      <c r="C26" s="106"/>
      <c r="D26" s="106"/>
      <c r="E26" s="106"/>
      <c r="F26" s="106"/>
      <c r="G26" s="106"/>
      <c r="H26" s="104"/>
      <c r="I26" s="104"/>
      <c r="J26" s="104"/>
    </row>
    <row r="27" spans="1:22" ht="18.600000000000001" thickBot="1">
      <c r="A27" s="104"/>
      <c r="B27" s="104"/>
      <c r="C27" s="137" t="s">
        <v>194</v>
      </c>
      <c r="D27" s="137"/>
      <c r="E27" s="137"/>
      <c r="F27" s="137"/>
      <c r="G27" s="137"/>
      <c r="H27" s="137"/>
      <c r="I27" s="104"/>
      <c r="J27" s="104"/>
    </row>
    <row r="28" spans="1:22" ht="21.6" thickBot="1">
      <c r="A28" s="104"/>
      <c r="B28" s="112"/>
      <c r="C28" s="108">
        <v>7</v>
      </c>
      <c r="D28" s="108">
        <v>7.5</v>
      </c>
      <c r="E28" s="108">
        <v>8</v>
      </c>
      <c r="F28" s="108">
        <v>8.5</v>
      </c>
      <c r="G28" s="108">
        <v>9</v>
      </c>
      <c r="H28" s="108">
        <v>9.5</v>
      </c>
      <c r="I28" s="104"/>
      <c r="J28" s="104"/>
    </row>
    <row r="29" spans="1:22" ht="21">
      <c r="A29" s="104"/>
      <c r="B29" s="113">
        <v>350</v>
      </c>
      <c r="C29" s="99">
        <v>-12614.946790087357</v>
      </c>
      <c r="D29" s="100">
        <v>-10910.628385282693</v>
      </c>
      <c r="E29" s="100">
        <v>-9206.3099804780304</v>
      </c>
      <c r="F29" s="100">
        <v>-7501.991575673369</v>
      </c>
      <c r="G29" s="100">
        <v>-5797.6731708687039</v>
      </c>
      <c r="H29" s="100">
        <v>-4093.354766064042</v>
      </c>
      <c r="I29" s="104"/>
      <c r="J29" s="104"/>
    </row>
    <row r="30" spans="1:22" ht="21">
      <c r="A30" s="104"/>
      <c r="B30" s="113">
        <v>400</v>
      </c>
      <c r="C30" s="100">
        <v>-9096.1706866652676</v>
      </c>
      <c r="D30" s="100">
        <v>-7148.3782240313658</v>
      </c>
      <c r="E30" s="100">
        <v>-5200.5857613974667</v>
      </c>
      <c r="F30" s="100">
        <v>-3252.7932987635659</v>
      </c>
      <c r="G30" s="100">
        <v>-1305.000836129665</v>
      </c>
      <c r="H30" s="101">
        <v>642.79162650423496</v>
      </c>
      <c r="I30" s="104"/>
      <c r="J30" s="104"/>
    </row>
    <row r="31" spans="1:22" ht="21">
      <c r="A31" s="102" t="s">
        <v>207</v>
      </c>
      <c r="B31" s="113">
        <v>450</v>
      </c>
      <c r="C31" s="100">
        <v>-5577.3945832431782</v>
      </c>
      <c r="D31" s="100">
        <v>-3386.1280627800397</v>
      </c>
      <c r="E31" s="100">
        <v>-1194.8615423169017</v>
      </c>
      <c r="F31" s="101">
        <v>996.40497814623632</v>
      </c>
      <c r="G31" s="101">
        <v>3187.6714986093748</v>
      </c>
      <c r="H31" s="101">
        <v>5378.9380190725142</v>
      </c>
      <c r="I31" s="104"/>
      <c r="J31" s="104"/>
    </row>
    <row r="32" spans="1:22" ht="21">
      <c r="A32" s="104"/>
      <c r="B32" s="113">
        <v>500</v>
      </c>
      <c r="C32" s="100">
        <v>-2058.6184798210888</v>
      </c>
      <c r="D32" s="101">
        <v>376.12209847128725</v>
      </c>
      <c r="E32" s="101">
        <v>2810.8626767636633</v>
      </c>
      <c r="F32" s="101">
        <v>5245.6032550560385</v>
      </c>
      <c r="G32" s="101">
        <v>7680.3438333484146</v>
      </c>
      <c r="H32" s="101">
        <v>10115.08441164079</v>
      </c>
      <c r="I32" s="104"/>
      <c r="J32" s="104"/>
    </row>
    <row r="33" spans="1:22" ht="21">
      <c r="A33" s="104"/>
      <c r="B33" s="113">
        <v>550</v>
      </c>
      <c r="C33" s="101">
        <v>1460.1576236010014</v>
      </c>
      <c r="D33" s="101">
        <v>4138.3722597226142</v>
      </c>
      <c r="E33" s="101">
        <v>6816.586895844227</v>
      </c>
      <c r="F33" s="101">
        <v>9494.8015319658407</v>
      </c>
      <c r="G33" s="101">
        <v>12173.016168087452</v>
      </c>
      <c r="H33" s="101">
        <v>14851.230804209066</v>
      </c>
      <c r="I33" s="104"/>
      <c r="J33" s="104"/>
    </row>
    <row r="34" spans="1:22" ht="21.6" thickBot="1">
      <c r="A34" s="104"/>
      <c r="B34" s="114">
        <v>600</v>
      </c>
      <c r="C34" s="101">
        <v>4978.933727023089</v>
      </c>
      <c r="D34" s="101">
        <v>7900.6224209739403</v>
      </c>
      <c r="E34" s="101">
        <v>10822.311114924789</v>
      </c>
      <c r="F34" s="101">
        <v>13743.99980887564</v>
      </c>
      <c r="G34" s="101">
        <v>16665.688502826495</v>
      </c>
      <c r="H34" s="101">
        <v>19587.377196777339</v>
      </c>
      <c r="I34" s="104"/>
      <c r="J34" s="104"/>
    </row>
    <row r="35" spans="1:22" ht="18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22" ht="18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8" spans="1:22" ht="18">
      <c r="A38" s="104"/>
      <c r="B38" s="105" t="s">
        <v>244</v>
      </c>
      <c r="C38" s="115"/>
      <c r="D38" s="115"/>
      <c r="E38" s="115"/>
      <c r="F38" s="115"/>
      <c r="G38" s="115"/>
      <c r="H38" s="115"/>
      <c r="I38" s="115"/>
      <c r="J38" s="104"/>
      <c r="K38" s="40"/>
      <c r="L38" s="40"/>
    </row>
    <row r="39" spans="1:22" ht="18.600000000000001" thickBot="1">
      <c r="A39" s="104"/>
      <c r="B39" s="104"/>
      <c r="C39" s="138" t="s">
        <v>194</v>
      </c>
      <c r="D39" s="138"/>
      <c r="E39" s="138"/>
      <c r="F39" s="138"/>
      <c r="G39" s="138"/>
      <c r="H39" s="138"/>
      <c r="I39" s="117"/>
      <c r="J39" s="104"/>
      <c r="K39" s="40"/>
      <c r="L39" s="40"/>
    </row>
    <row r="40" spans="1:22" ht="21.6" thickBot="1">
      <c r="A40" s="104"/>
      <c r="B40" s="107"/>
      <c r="C40" s="108">
        <v>7</v>
      </c>
      <c r="D40" s="108">
        <v>7.5</v>
      </c>
      <c r="E40" s="108">
        <v>8</v>
      </c>
      <c r="F40" s="108">
        <v>8.5</v>
      </c>
      <c r="G40" s="108">
        <v>9</v>
      </c>
      <c r="H40" s="108">
        <v>9.5</v>
      </c>
      <c r="I40" s="111"/>
      <c r="J40" s="104"/>
      <c r="K40" s="40"/>
      <c r="L40" s="40"/>
    </row>
    <row r="41" spans="1:22" ht="21">
      <c r="A41" s="104"/>
      <c r="B41" s="109">
        <v>350</v>
      </c>
      <c r="C41" s="100">
        <v>-100</v>
      </c>
      <c r="D41" s="100">
        <v>-100</v>
      </c>
      <c r="E41" s="100">
        <v>-100</v>
      </c>
      <c r="F41" s="100">
        <v>-100</v>
      </c>
      <c r="G41" s="100">
        <v>-4</v>
      </c>
      <c r="H41" s="100">
        <v>0</v>
      </c>
      <c r="I41" s="100"/>
      <c r="J41" s="104"/>
      <c r="K41" s="40"/>
      <c r="L41" s="40"/>
    </row>
    <row r="42" spans="1:22" ht="21">
      <c r="A42" s="104"/>
      <c r="B42" s="109">
        <v>400</v>
      </c>
      <c r="C42" s="100">
        <v>-100</v>
      </c>
      <c r="D42" s="100">
        <v>-100</v>
      </c>
      <c r="E42" s="100">
        <v>-2</v>
      </c>
      <c r="F42" s="100">
        <v>2</v>
      </c>
      <c r="G42" s="101">
        <v>4</v>
      </c>
      <c r="H42" s="101">
        <v>5</v>
      </c>
      <c r="I42" s="101"/>
      <c r="J42" s="104"/>
      <c r="K42" s="40"/>
      <c r="L42" s="40"/>
    </row>
    <row r="43" spans="1:22" ht="21">
      <c r="A43" s="102" t="s">
        <v>207</v>
      </c>
      <c r="B43" s="109">
        <v>450</v>
      </c>
      <c r="C43" s="100">
        <v>-4</v>
      </c>
      <c r="D43" s="100">
        <v>1</v>
      </c>
      <c r="E43" s="101">
        <v>4</v>
      </c>
      <c r="F43" s="101">
        <v>6</v>
      </c>
      <c r="G43" s="101">
        <v>7</v>
      </c>
      <c r="H43" s="101">
        <v>8</v>
      </c>
      <c r="I43" s="101"/>
      <c r="J43" s="104"/>
      <c r="K43" s="40"/>
      <c r="L43" s="40"/>
    </row>
    <row r="44" spans="1:22" ht="21">
      <c r="A44" s="104"/>
      <c r="B44" s="109">
        <v>500</v>
      </c>
      <c r="C44" s="100">
        <v>3</v>
      </c>
      <c r="D44" s="101">
        <v>5</v>
      </c>
      <c r="E44" s="101">
        <v>7</v>
      </c>
      <c r="F44" s="101">
        <v>8</v>
      </c>
      <c r="G44" s="101">
        <v>9</v>
      </c>
      <c r="H44" s="101">
        <v>10</v>
      </c>
      <c r="I44" s="101"/>
      <c r="J44" s="104"/>
      <c r="K44" s="40"/>
      <c r="L44" s="40"/>
    </row>
    <row r="45" spans="1:22" ht="21">
      <c r="A45" s="104"/>
      <c r="B45" s="109">
        <v>550</v>
      </c>
      <c r="C45" s="101">
        <v>6</v>
      </c>
      <c r="D45" s="101">
        <v>8</v>
      </c>
      <c r="E45" s="101">
        <v>9</v>
      </c>
      <c r="F45" s="101">
        <v>10</v>
      </c>
      <c r="G45" s="101">
        <v>11</v>
      </c>
      <c r="H45" s="101">
        <v>11</v>
      </c>
      <c r="I45" s="101"/>
      <c r="J45" s="104"/>
      <c r="K45" s="40"/>
      <c r="L45" s="40"/>
    </row>
    <row r="46" spans="1:22" ht="21.6" thickBot="1">
      <c r="A46" s="104"/>
      <c r="B46" s="110">
        <v>600</v>
      </c>
      <c r="C46" s="101">
        <v>8</v>
      </c>
      <c r="D46" s="101">
        <v>9</v>
      </c>
      <c r="E46" s="101">
        <v>10</v>
      </c>
      <c r="F46" s="101">
        <v>11</v>
      </c>
      <c r="G46" s="101">
        <v>12</v>
      </c>
      <c r="H46" s="101">
        <v>13</v>
      </c>
      <c r="I46" s="101"/>
      <c r="J46" s="104"/>
      <c r="K46" s="40"/>
      <c r="L46" s="40"/>
    </row>
    <row r="47" spans="1:22" ht="18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40"/>
      <c r="L47" s="40"/>
    </row>
  </sheetData>
  <mergeCells count="4">
    <mergeCell ref="C5:H5"/>
    <mergeCell ref="C27:H27"/>
    <mergeCell ref="C39:H39"/>
    <mergeCell ref="C16:H1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9"/>
  <sheetViews>
    <sheetView workbookViewId="0">
      <selection activeCell="A14" sqref="A14"/>
    </sheetView>
  </sheetViews>
  <sheetFormatPr defaultColWidth="9.109375" defaultRowHeight="14.4"/>
  <cols>
    <col min="1" max="1" width="20.33203125" style="5" customWidth="1"/>
    <col min="2" max="16384" width="9.109375" style="5"/>
  </cols>
  <sheetData>
    <row r="1" spans="1:7" ht="23.4">
      <c r="A1" s="92" t="s">
        <v>144</v>
      </c>
    </row>
    <row r="3" spans="1:7">
      <c r="A3" s="5" t="s">
        <v>139</v>
      </c>
    </row>
    <row r="4" spans="1:7">
      <c r="A4" s="5" t="s">
        <v>140</v>
      </c>
    </row>
    <row r="6" spans="1:7">
      <c r="A6" s="5" t="s">
        <v>142</v>
      </c>
      <c r="D6" s="6"/>
    </row>
    <row r="7" spans="1:7">
      <c r="A7" s="5" t="s">
        <v>141</v>
      </c>
      <c r="D7" s="6"/>
    </row>
    <row r="8" spans="1:7">
      <c r="A8" s="5" t="s">
        <v>143</v>
      </c>
      <c r="D8" s="6"/>
    </row>
    <row r="9" spans="1:7">
      <c r="A9" s="8" t="s">
        <v>130</v>
      </c>
      <c r="B9" s="7"/>
      <c r="C9" s="7"/>
      <c r="D9" s="7"/>
      <c r="E9" s="7"/>
      <c r="F9" s="7"/>
      <c r="G9" s="7"/>
    </row>
    <row r="10" spans="1:7">
      <c r="A10" s="7" t="s">
        <v>131</v>
      </c>
      <c r="B10" s="7"/>
      <c r="C10" s="7"/>
      <c r="D10" s="7"/>
      <c r="E10" s="7"/>
      <c r="F10" s="7"/>
      <c r="G10" s="7"/>
    </row>
    <row r="11" spans="1:7">
      <c r="A11" s="7" t="s">
        <v>132</v>
      </c>
      <c r="B11" s="7"/>
      <c r="C11" s="7"/>
      <c r="D11" s="7"/>
      <c r="E11" s="7"/>
      <c r="F11" s="7"/>
      <c r="G11" s="7"/>
    </row>
    <row r="13" spans="1:7">
      <c r="A13" s="7" t="s">
        <v>133</v>
      </c>
      <c r="B13" s="7"/>
      <c r="C13" s="7"/>
      <c r="D13" s="7"/>
      <c r="E13" s="7"/>
      <c r="F13" s="7"/>
      <c r="G13" s="7"/>
    </row>
    <row r="14" spans="1:7">
      <c r="A14" s="8" t="s">
        <v>134</v>
      </c>
      <c r="B14" s="7"/>
      <c r="C14" s="7"/>
      <c r="D14" s="7"/>
      <c r="E14" s="7"/>
      <c r="F14" s="7"/>
      <c r="G14" s="7"/>
    </row>
    <row r="15" spans="1:7">
      <c r="A15" s="8" t="s">
        <v>135</v>
      </c>
      <c r="B15" s="7"/>
      <c r="C15" s="7"/>
      <c r="D15" s="7"/>
      <c r="E15" s="7"/>
      <c r="F15" s="7"/>
      <c r="G15" s="7"/>
    </row>
    <row r="17" spans="1:7">
      <c r="A17" s="8" t="s">
        <v>136</v>
      </c>
      <c r="B17" s="7"/>
      <c r="C17" s="7"/>
      <c r="D17" s="7"/>
      <c r="E17" s="7"/>
      <c r="F17" s="7"/>
      <c r="G17" s="7"/>
    </row>
    <row r="18" spans="1:7">
      <c r="A18" s="8" t="s">
        <v>137</v>
      </c>
      <c r="B18" s="7"/>
      <c r="C18" s="7"/>
      <c r="D18" s="7"/>
      <c r="E18" s="7"/>
      <c r="F18" s="7"/>
      <c r="G18" s="7"/>
    </row>
    <row r="19" spans="1:7">
      <c r="A19" s="8" t="s">
        <v>138</v>
      </c>
      <c r="B19" s="7"/>
      <c r="C19" s="7"/>
      <c r="D19" s="7"/>
      <c r="E19" s="7"/>
      <c r="F19" s="7"/>
      <c r="G19" s="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"/>
  <sheetViews>
    <sheetView workbookViewId="0">
      <selection activeCell="L26" sqref="L26"/>
    </sheetView>
  </sheetViews>
  <sheetFormatPr defaultRowHeight="14.4"/>
  <cols>
    <col min="2" max="2" width="20.109375" customWidth="1"/>
    <col min="3" max="3" width="8.5546875" customWidth="1"/>
    <col min="4" max="4" width="13.5546875" customWidth="1"/>
    <col min="5" max="5" width="9.5546875" bestFit="1" customWidth="1"/>
    <col min="6" max="6" width="10.88671875" customWidth="1"/>
    <col min="10" max="10" width="10.33203125" customWidth="1"/>
    <col min="11" max="11" width="9.88671875" customWidth="1"/>
    <col min="14" max="14" width="20.88671875" customWidth="1"/>
    <col min="15" max="15" width="5.44140625" customWidth="1"/>
    <col min="16" max="16" width="5.5546875" customWidth="1"/>
    <col min="17" max="17" width="24.6640625" customWidth="1"/>
    <col min="18" max="18" width="8.109375" customWidth="1"/>
    <col min="19" max="19" width="6.5546875" customWidth="1"/>
    <col min="20" max="20" width="16.33203125" customWidth="1"/>
    <col min="21" max="21" width="5.6640625" customWidth="1"/>
    <col min="22" max="22" width="6.33203125" customWidth="1"/>
  </cols>
  <sheetData>
    <row r="2" spans="2:22" ht="18" thickBot="1">
      <c r="B2" s="36" t="s">
        <v>208</v>
      </c>
    </row>
    <row r="3" spans="2:22" ht="18" thickBot="1">
      <c r="B3" s="19" t="s">
        <v>8</v>
      </c>
      <c r="C3" s="20" t="s">
        <v>196</v>
      </c>
      <c r="D3" s="20" t="s">
        <v>9</v>
      </c>
      <c r="E3" s="20" t="s">
        <v>10</v>
      </c>
      <c r="F3" s="20" t="s">
        <v>12</v>
      </c>
      <c r="G3" s="20" t="s">
        <v>13</v>
      </c>
      <c r="H3" s="20" t="s">
        <v>14</v>
      </c>
      <c r="I3" s="20" t="s">
        <v>38</v>
      </c>
      <c r="J3" s="20" t="s">
        <v>188</v>
      </c>
      <c r="K3" s="21" t="s">
        <v>1</v>
      </c>
      <c r="N3" s="36" t="s">
        <v>209</v>
      </c>
    </row>
    <row r="4" spans="2:22" ht="16.2" thickBot="1">
      <c r="B4" s="22"/>
      <c r="C4" s="23" t="s">
        <v>197</v>
      </c>
      <c r="D4" s="23"/>
      <c r="E4" s="23" t="s">
        <v>11</v>
      </c>
      <c r="F4" s="23" t="s">
        <v>153</v>
      </c>
      <c r="G4" s="23" t="s">
        <v>14</v>
      </c>
      <c r="H4" s="23" t="s">
        <v>152</v>
      </c>
      <c r="I4" s="23" t="s">
        <v>39</v>
      </c>
      <c r="J4" s="23" t="s">
        <v>61</v>
      </c>
      <c r="K4" s="24" t="s">
        <v>61</v>
      </c>
      <c r="N4" s="2" t="s">
        <v>66</v>
      </c>
      <c r="O4" s="3" t="s">
        <v>6</v>
      </c>
      <c r="P4" s="3" t="s">
        <v>199</v>
      </c>
      <c r="Q4" s="3" t="s">
        <v>66</v>
      </c>
      <c r="R4" s="3" t="s">
        <v>6</v>
      </c>
      <c r="S4" s="3" t="s">
        <v>199</v>
      </c>
      <c r="T4" s="3" t="s">
        <v>66</v>
      </c>
      <c r="U4" s="3" t="s">
        <v>6</v>
      </c>
      <c r="V4" s="4" t="s">
        <v>199</v>
      </c>
    </row>
    <row r="5" spans="2:22">
      <c r="B5" s="5" t="s">
        <v>25</v>
      </c>
      <c r="C5" s="25" t="s">
        <v>16</v>
      </c>
      <c r="D5" s="25" t="s">
        <v>35</v>
      </c>
      <c r="E5" s="26">
        <v>606.31722000000002</v>
      </c>
      <c r="F5" s="25">
        <v>54</v>
      </c>
      <c r="G5" s="25">
        <v>23</v>
      </c>
      <c r="H5" s="25">
        <v>1242</v>
      </c>
      <c r="I5" s="26">
        <v>139.45296060000001</v>
      </c>
      <c r="J5" s="26">
        <v>9.552811688640892</v>
      </c>
      <c r="K5" s="26">
        <v>11.0495</v>
      </c>
      <c r="N5" s="5" t="s">
        <v>64</v>
      </c>
      <c r="O5" s="5" t="s">
        <v>65</v>
      </c>
      <c r="P5" s="32">
        <v>41.290371104639995</v>
      </c>
      <c r="Q5" s="5" t="s">
        <v>81</v>
      </c>
      <c r="R5" s="5" t="s">
        <v>82</v>
      </c>
      <c r="S5" s="32">
        <v>494.39786454239999</v>
      </c>
      <c r="T5" s="5" t="s">
        <v>98</v>
      </c>
      <c r="U5" s="5" t="s">
        <v>94</v>
      </c>
      <c r="V5" s="32">
        <v>10.0835432592384</v>
      </c>
    </row>
    <row r="6" spans="2:22">
      <c r="B6" s="27" t="s">
        <v>17</v>
      </c>
      <c r="C6" s="28" t="s">
        <v>21</v>
      </c>
      <c r="D6" s="28" t="s">
        <v>35</v>
      </c>
      <c r="E6" s="29">
        <v>8109.2211699999998</v>
      </c>
      <c r="F6" s="28">
        <v>150</v>
      </c>
      <c r="G6" s="28">
        <v>12</v>
      </c>
      <c r="H6" s="28">
        <v>1800</v>
      </c>
      <c r="I6" s="29">
        <v>1865.1208690999999</v>
      </c>
      <c r="J6" s="29">
        <v>2.5015591317932437</v>
      </c>
      <c r="K6" s="29">
        <v>2.2549999999999999</v>
      </c>
      <c r="N6" s="27" t="s">
        <v>200</v>
      </c>
      <c r="O6" s="27" t="s">
        <v>72</v>
      </c>
      <c r="P6" s="34">
        <v>4.9983080810880001</v>
      </c>
      <c r="Q6" s="27" t="s">
        <v>84</v>
      </c>
      <c r="R6" s="27" t="s">
        <v>83</v>
      </c>
      <c r="S6" s="34">
        <v>30.424483971840001</v>
      </c>
      <c r="T6" s="27" t="s">
        <v>99</v>
      </c>
      <c r="U6" s="27" t="s">
        <v>100</v>
      </c>
      <c r="V6" s="34">
        <v>1.4668947629280003</v>
      </c>
    </row>
    <row r="7" spans="2:22">
      <c r="B7" s="5" t="s">
        <v>18</v>
      </c>
      <c r="C7" s="25" t="s">
        <v>20</v>
      </c>
      <c r="D7" s="25" t="s">
        <v>15</v>
      </c>
      <c r="E7" s="26">
        <v>2499.1570000000002</v>
      </c>
      <c r="F7" s="25">
        <v>180</v>
      </c>
      <c r="G7" s="25">
        <v>10</v>
      </c>
      <c r="H7" s="25">
        <v>1800</v>
      </c>
      <c r="I7" s="26">
        <v>574.8061100000001</v>
      </c>
      <c r="J7" s="26">
        <v>2.2343012959163864</v>
      </c>
      <c r="K7" s="26">
        <v>3.3825000000000003</v>
      </c>
      <c r="N7" s="5" t="s">
        <v>201</v>
      </c>
      <c r="O7" s="5" t="s">
        <v>72</v>
      </c>
      <c r="P7" s="32">
        <v>0.10865887132800001</v>
      </c>
      <c r="Q7" s="5" t="s">
        <v>85</v>
      </c>
      <c r="R7" s="5" t="s">
        <v>86</v>
      </c>
      <c r="S7" s="32">
        <v>24.861149759846398</v>
      </c>
      <c r="T7" s="5" t="s">
        <v>101</v>
      </c>
      <c r="U7" s="5" t="s">
        <v>102</v>
      </c>
      <c r="V7" s="32">
        <v>4.6180020314399988</v>
      </c>
    </row>
    <row r="8" spans="2:22">
      <c r="B8" s="27" t="s">
        <v>19</v>
      </c>
      <c r="C8" s="28" t="s">
        <v>20</v>
      </c>
      <c r="D8" s="28" t="s">
        <v>36</v>
      </c>
      <c r="E8" s="29">
        <v>1195.249</v>
      </c>
      <c r="F8" s="28">
        <v>200</v>
      </c>
      <c r="G8" s="28">
        <v>15</v>
      </c>
      <c r="H8" s="28">
        <v>3000</v>
      </c>
      <c r="I8" s="29">
        <v>274.90727000000004</v>
      </c>
      <c r="J8" s="29">
        <v>3.5182201329684051</v>
      </c>
      <c r="K8" s="29">
        <v>6.1499999999999995</v>
      </c>
      <c r="N8" s="27" t="s">
        <v>202</v>
      </c>
      <c r="O8" s="27" t="s">
        <v>72</v>
      </c>
      <c r="P8" s="34">
        <v>8.9860886588256008</v>
      </c>
      <c r="Q8" s="27" t="s">
        <v>87</v>
      </c>
      <c r="R8" s="27" t="s">
        <v>86</v>
      </c>
      <c r="S8" s="34">
        <v>1.684212505584</v>
      </c>
      <c r="T8" s="27" t="s">
        <v>103</v>
      </c>
      <c r="U8" s="27" t="s">
        <v>94</v>
      </c>
      <c r="V8" s="34">
        <v>25.437041777884797</v>
      </c>
    </row>
    <row r="9" spans="2:22">
      <c r="B9" s="5" t="s">
        <v>22</v>
      </c>
      <c r="C9" s="25" t="s">
        <v>23</v>
      </c>
      <c r="D9" s="25" t="s">
        <v>24</v>
      </c>
      <c r="E9" s="26">
        <v>648.69422999999995</v>
      </c>
      <c r="F9" s="25">
        <v>200</v>
      </c>
      <c r="G9" s="25">
        <v>5</v>
      </c>
      <c r="H9" s="25">
        <v>1000</v>
      </c>
      <c r="I9" s="26">
        <v>149.1996729</v>
      </c>
      <c r="J9" s="26">
        <v>1.0115936790204834</v>
      </c>
      <c r="K9" s="26">
        <v>6.1499999999999995</v>
      </c>
      <c r="N9" s="5" t="s">
        <v>203</v>
      </c>
      <c r="O9" s="5" t="s">
        <v>72</v>
      </c>
      <c r="P9" s="32">
        <v>3.25976613984</v>
      </c>
      <c r="Q9" s="5" t="s">
        <v>88</v>
      </c>
      <c r="R9" s="5" t="s">
        <v>89</v>
      </c>
      <c r="S9" s="32">
        <v>0.3042448397184</v>
      </c>
      <c r="T9" s="5" t="s">
        <v>205</v>
      </c>
      <c r="U9" s="5" t="s">
        <v>94</v>
      </c>
      <c r="V9" s="32">
        <v>3.7921946093472001</v>
      </c>
    </row>
    <row r="10" spans="2:22">
      <c r="B10" s="27" t="s">
        <v>26</v>
      </c>
      <c r="C10" s="28" t="s">
        <v>27</v>
      </c>
      <c r="D10" s="28" t="s">
        <v>15</v>
      </c>
      <c r="E10" s="29">
        <v>3785.67956</v>
      </c>
      <c r="F10" s="28">
        <v>185</v>
      </c>
      <c r="G10" s="28">
        <v>10</v>
      </c>
      <c r="H10" s="28">
        <v>1850</v>
      </c>
      <c r="I10" s="29">
        <v>870.70629880000001</v>
      </c>
      <c r="J10" s="29">
        <v>3.9952722508836276</v>
      </c>
      <c r="K10" s="29">
        <v>5.8629999999999995</v>
      </c>
      <c r="N10" s="27" t="s">
        <v>204</v>
      </c>
      <c r="O10" s="27" t="s">
        <v>76</v>
      </c>
      <c r="P10" s="34">
        <v>8.4753919635839989E-2</v>
      </c>
      <c r="Q10" s="27" t="s">
        <v>90</v>
      </c>
      <c r="R10" s="27" t="s">
        <v>86</v>
      </c>
      <c r="S10" s="34">
        <v>4.5962702571744005</v>
      </c>
      <c r="T10" s="27" t="s">
        <v>108</v>
      </c>
      <c r="U10" s="27" t="s">
        <v>72</v>
      </c>
      <c r="V10" s="34">
        <v>6.5195322796799999</v>
      </c>
    </row>
    <row r="11" spans="2:22">
      <c r="B11" s="5" t="s">
        <v>28</v>
      </c>
      <c r="C11" s="25" t="s">
        <v>29</v>
      </c>
      <c r="D11" s="25" t="s">
        <v>35</v>
      </c>
      <c r="E11" s="26">
        <v>3800.8918199999998</v>
      </c>
      <c r="F11" s="25">
        <v>185</v>
      </c>
      <c r="G11" s="25">
        <v>10</v>
      </c>
      <c r="H11" s="25">
        <v>1850</v>
      </c>
      <c r="I11" s="26">
        <v>874.20511859999999</v>
      </c>
      <c r="J11" s="26">
        <v>8.3770033510924691</v>
      </c>
      <c r="K11" s="26">
        <v>8.6715</v>
      </c>
      <c r="N11" s="5" t="s">
        <v>74</v>
      </c>
      <c r="O11" s="5" t="s">
        <v>72</v>
      </c>
      <c r="P11" s="32">
        <v>7.2258149433119998</v>
      </c>
      <c r="Q11" s="5" t="s">
        <v>91</v>
      </c>
      <c r="R11" s="5" t="s">
        <v>86</v>
      </c>
      <c r="S11" s="32">
        <v>4.3463548531200003</v>
      </c>
      <c r="T11" s="5" t="s">
        <v>63</v>
      </c>
      <c r="U11" s="5" t="s">
        <v>109</v>
      </c>
      <c r="V11" s="32">
        <v>41.290371104639995</v>
      </c>
    </row>
    <row r="12" spans="2:22">
      <c r="B12" s="27" t="s">
        <v>30</v>
      </c>
      <c r="C12" s="28" t="s">
        <v>31</v>
      </c>
      <c r="D12" s="28" t="s">
        <v>36</v>
      </c>
      <c r="E12" s="29">
        <v>5432.95</v>
      </c>
      <c r="F12" s="28">
        <v>200</v>
      </c>
      <c r="G12" s="28">
        <v>8</v>
      </c>
      <c r="H12" s="28">
        <v>1600</v>
      </c>
      <c r="I12" s="29">
        <v>1249.5785000000001</v>
      </c>
      <c r="J12" s="29">
        <v>0.48451614413493793</v>
      </c>
      <c r="K12" s="29">
        <v>0.63549999999999995</v>
      </c>
      <c r="N12" s="27" t="s">
        <v>75</v>
      </c>
      <c r="O12" s="27" t="s">
        <v>72</v>
      </c>
      <c r="P12" s="34">
        <v>2.44482460488</v>
      </c>
      <c r="Q12" s="27" t="s">
        <v>92</v>
      </c>
      <c r="R12" s="27" t="s">
        <v>94</v>
      </c>
      <c r="S12" s="34">
        <v>6.0088355844384003</v>
      </c>
      <c r="T12" s="27" t="s">
        <v>206</v>
      </c>
      <c r="U12" s="27" t="s">
        <v>72</v>
      </c>
      <c r="V12" s="34">
        <v>0.80407564782719998</v>
      </c>
    </row>
    <row r="13" spans="2:22">
      <c r="B13" s="5" t="s">
        <v>32</v>
      </c>
      <c r="C13" s="25" t="s">
        <v>24</v>
      </c>
      <c r="D13" s="25"/>
      <c r="E13" s="26">
        <v>13582.375</v>
      </c>
      <c r="F13" s="25">
        <v>200</v>
      </c>
      <c r="G13" s="25">
        <v>13</v>
      </c>
      <c r="H13" s="25">
        <v>2600</v>
      </c>
      <c r="I13" s="26">
        <v>3123.94625</v>
      </c>
      <c r="J13" s="26">
        <v>1.9580429096759304</v>
      </c>
      <c r="K13" s="26">
        <v>2.5522499999999999</v>
      </c>
      <c r="N13" s="5" t="s">
        <v>78</v>
      </c>
      <c r="O13" s="5" t="s">
        <v>72</v>
      </c>
      <c r="P13" s="32">
        <v>2.3361657335520003</v>
      </c>
      <c r="Q13" s="5" t="s">
        <v>93</v>
      </c>
      <c r="R13" s="5" t="s">
        <v>86</v>
      </c>
      <c r="S13" s="32">
        <v>19.373876757782398</v>
      </c>
      <c r="T13" s="5" t="s">
        <v>150</v>
      </c>
      <c r="U13" s="5" t="s">
        <v>76</v>
      </c>
      <c r="V13" s="32">
        <v>2.9446554129887999E-2</v>
      </c>
    </row>
    <row r="14" spans="2:22">
      <c r="B14" s="27" t="s">
        <v>33</v>
      </c>
      <c r="C14" s="28" t="s">
        <v>34</v>
      </c>
      <c r="D14" s="28" t="s">
        <v>37</v>
      </c>
      <c r="E14" s="29">
        <v>543.29499999999996</v>
      </c>
      <c r="F14" s="28">
        <v>200</v>
      </c>
      <c r="G14" s="28">
        <v>15</v>
      </c>
      <c r="H14" s="28">
        <v>3000</v>
      </c>
      <c r="I14" s="29">
        <v>124.95784999999999</v>
      </c>
      <c r="J14" s="29">
        <v>1.5895607067942463</v>
      </c>
      <c r="K14" s="29">
        <v>10.25</v>
      </c>
      <c r="N14" s="27" t="s">
        <v>79</v>
      </c>
      <c r="O14" s="27" t="s">
        <v>72</v>
      </c>
      <c r="P14" s="34">
        <v>1.7928713769119999</v>
      </c>
      <c r="Q14" s="27" t="s">
        <v>95</v>
      </c>
      <c r="R14" s="27" t="s">
        <v>94</v>
      </c>
      <c r="S14" s="34">
        <v>2.2927021850207994</v>
      </c>
      <c r="T14" s="27" t="s">
        <v>148</v>
      </c>
      <c r="U14" s="27" t="s">
        <v>72</v>
      </c>
      <c r="V14" s="34">
        <v>0.48896492097599997</v>
      </c>
    </row>
    <row r="15" spans="2:22" ht="15" thickBot="1">
      <c r="B15" s="10" t="s">
        <v>198</v>
      </c>
      <c r="C15" s="30"/>
      <c r="D15" s="30" t="s">
        <v>168</v>
      </c>
      <c r="E15" s="31">
        <v>42000</v>
      </c>
      <c r="F15" s="30">
        <v>600</v>
      </c>
      <c r="G15" s="30">
        <v>15</v>
      </c>
      <c r="H15" s="30">
        <v>9000</v>
      </c>
      <c r="I15" s="31">
        <v>10500</v>
      </c>
      <c r="J15" s="31">
        <v>3.2921393254337481</v>
      </c>
      <c r="K15" s="31">
        <v>7.9950000000000001</v>
      </c>
      <c r="N15" s="10" t="s">
        <v>80</v>
      </c>
      <c r="O15" s="10" t="s">
        <v>72</v>
      </c>
      <c r="P15" s="33">
        <v>7.497462121632001</v>
      </c>
      <c r="Q15" s="10" t="s">
        <v>96</v>
      </c>
      <c r="R15" s="10" t="s">
        <v>97</v>
      </c>
      <c r="S15" s="33">
        <v>12.397977218524801</v>
      </c>
      <c r="T15" s="10" t="s">
        <v>149</v>
      </c>
      <c r="U15" s="10" t="s">
        <v>76</v>
      </c>
      <c r="V15" s="33">
        <v>2.1731774265599999E-2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8"/>
  <sheetViews>
    <sheetView workbookViewId="0">
      <selection activeCell="N8" sqref="N8"/>
    </sheetView>
  </sheetViews>
  <sheetFormatPr defaultRowHeight="14.4"/>
  <cols>
    <col min="1" max="1" width="4.44140625" customWidth="1"/>
    <col min="2" max="2" width="28" customWidth="1"/>
    <col min="3" max="3" width="9.5546875" customWidth="1"/>
    <col min="4" max="4" width="11.88671875" customWidth="1"/>
    <col min="5" max="5" width="19.44140625" customWidth="1"/>
    <col min="6" max="6" width="12.5546875" customWidth="1"/>
    <col min="7" max="8" width="10.5546875" bestFit="1" customWidth="1"/>
    <col min="9" max="9" width="13.33203125" customWidth="1"/>
  </cols>
  <sheetData>
    <row r="1" spans="1:10" ht="23.4">
      <c r="A1" s="82" t="s">
        <v>221</v>
      </c>
      <c r="B1" s="82"/>
      <c r="C1" s="82"/>
      <c r="D1" s="82"/>
      <c r="E1" s="82"/>
      <c r="F1" s="82"/>
      <c r="G1" s="82"/>
      <c r="H1" s="83"/>
      <c r="I1" s="83"/>
      <c r="J1" s="84"/>
    </row>
    <row r="2" spans="1:10" ht="23.4">
      <c r="A2" s="82" t="s">
        <v>248</v>
      </c>
      <c r="B2" s="82"/>
      <c r="C2" s="82"/>
      <c r="D2" s="82"/>
      <c r="E2" s="82"/>
      <c r="F2" s="82"/>
      <c r="G2" s="82"/>
      <c r="H2" s="83"/>
      <c r="I2" s="83"/>
      <c r="J2" s="84"/>
    </row>
    <row r="3" spans="1:10" ht="18">
      <c r="A3" s="40"/>
      <c r="B3" s="40"/>
      <c r="C3" s="40"/>
      <c r="D3" s="40"/>
      <c r="E3" s="40"/>
      <c r="F3" s="40"/>
      <c r="G3" s="40"/>
      <c r="H3" s="40"/>
    </row>
    <row r="4" spans="1:10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189</v>
      </c>
      <c r="G4" s="55" t="s">
        <v>1</v>
      </c>
      <c r="H4" s="55" t="s">
        <v>2</v>
      </c>
      <c r="I4" s="56" t="s">
        <v>213</v>
      </c>
    </row>
    <row r="5" spans="1:10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10" ht="18.600000000000001" thickTop="1">
      <c r="A6" s="133" t="s">
        <v>62</v>
      </c>
      <c r="B6" s="133"/>
      <c r="C6" s="40"/>
      <c r="D6" s="40"/>
      <c r="E6" s="40"/>
      <c r="F6" s="40"/>
      <c r="G6" s="40"/>
      <c r="H6" s="40"/>
    </row>
    <row r="7" spans="1:10" ht="18">
      <c r="A7" s="40"/>
      <c r="B7" s="40" t="s">
        <v>67</v>
      </c>
      <c r="C7" s="40" t="s">
        <v>68</v>
      </c>
      <c r="D7" s="40">
        <v>3</v>
      </c>
      <c r="E7" s="41">
        <f>'Machinery and Equipement Cost'!U11*D7</f>
        <v>3.0090982563584925</v>
      </c>
      <c r="F7" s="41"/>
      <c r="G7" s="41">
        <f>'Machinery and Equipement Cost'!V11*D7</f>
        <v>18.45</v>
      </c>
      <c r="H7" s="41">
        <f>E7+F7+G7</f>
        <v>21.459098256358491</v>
      </c>
      <c r="I7" s="60"/>
    </row>
    <row r="8" spans="1:10" ht="18">
      <c r="A8" s="40"/>
      <c r="B8" s="40" t="s">
        <v>64</v>
      </c>
      <c r="C8" s="40" t="s">
        <v>97</v>
      </c>
      <c r="D8" s="40">
        <v>0.6</v>
      </c>
      <c r="E8" s="41"/>
      <c r="F8" s="41">
        <f>'Material Costs'!I6*D8</f>
        <v>25.17061022538854</v>
      </c>
      <c r="G8" s="41"/>
      <c r="H8" s="41">
        <f>E8+F8+G8</f>
        <v>25.17061022538854</v>
      </c>
    </row>
    <row r="9" spans="1:10" ht="18">
      <c r="A9" s="40"/>
      <c r="B9" s="40" t="s">
        <v>85</v>
      </c>
      <c r="C9" s="40" t="s">
        <v>86</v>
      </c>
      <c r="D9" s="40">
        <v>0.75</v>
      </c>
      <c r="E9" s="41"/>
      <c r="F9" s="41">
        <f>'Material Costs'!I19*D9</f>
        <v>18.944196117002953</v>
      </c>
      <c r="G9" s="41"/>
      <c r="H9" s="41">
        <f t="shared" ref="H9:H11" si="0">E9+F9+G9</f>
        <v>18.944196117002953</v>
      </c>
      <c r="I9" s="60"/>
    </row>
    <row r="10" spans="1:10" ht="18">
      <c r="A10" s="40"/>
      <c r="B10" s="40" t="s">
        <v>87</v>
      </c>
      <c r="C10" s="40" t="s">
        <v>86</v>
      </c>
      <c r="D10" s="40">
        <v>0.75</v>
      </c>
      <c r="E10" s="41"/>
      <c r="F10" s="41">
        <f>'Material Costs'!I20*D10</f>
        <v>1.283369929255008</v>
      </c>
      <c r="G10" s="41"/>
      <c r="H10" s="41">
        <f t="shared" si="0"/>
        <v>1.283369929255008</v>
      </c>
    </row>
    <row r="11" spans="1:10" ht="18">
      <c r="A11" s="40"/>
      <c r="B11" s="40" t="s">
        <v>91</v>
      </c>
      <c r="C11" s="40" t="s">
        <v>86</v>
      </c>
      <c r="D11" s="40">
        <v>2</v>
      </c>
      <c r="E11" s="41"/>
      <c r="F11" s="41">
        <f>'Material Costs'!I23*D11</f>
        <v>8.831793061539841</v>
      </c>
      <c r="G11" s="41"/>
      <c r="H11" s="41">
        <f t="shared" si="0"/>
        <v>8.831793061539841</v>
      </c>
      <c r="I11" s="60"/>
    </row>
    <row r="12" spans="1:10" ht="18">
      <c r="A12" s="133" t="s">
        <v>107</v>
      </c>
      <c r="B12" s="133"/>
      <c r="C12" s="40"/>
      <c r="D12" s="40"/>
      <c r="E12" s="41"/>
      <c r="F12" s="41"/>
      <c r="G12" s="41"/>
      <c r="H12" s="41"/>
    </row>
    <row r="13" spans="1:10" ht="18">
      <c r="A13" s="40"/>
      <c r="B13" s="40" t="s">
        <v>110</v>
      </c>
      <c r="C13" s="40" t="s">
        <v>111</v>
      </c>
      <c r="D13" s="40">
        <v>1</v>
      </c>
      <c r="E13" s="41"/>
      <c r="F13" s="41"/>
      <c r="G13" s="41">
        <f>'Machinery and Equipement Cost'!C26*D13</f>
        <v>8</v>
      </c>
      <c r="H13" s="41">
        <f t="shared" ref="H13" si="1">E13+F13+G13</f>
        <v>8</v>
      </c>
      <c r="I13" s="60"/>
    </row>
    <row r="14" spans="1:10" ht="18">
      <c r="A14" s="134" t="s">
        <v>232</v>
      </c>
      <c r="B14" s="134"/>
      <c r="C14" s="40" t="s">
        <v>72</v>
      </c>
      <c r="D14" s="40">
        <v>1</v>
      </c>
      <c r="E14" s="41"/>
      <c r="F14" s="41">
        <f>'Material Costs'!I33*D14</f>
        <v>6.6238447961548799</v>
      </c>
      <c r="G14" s="41"/>
      <c r="H14" s="41">
        <f t="shared" ref="H14:H16" si="2">E14+F14+G14</f>
        <v>6.6238447961548799</v>
      </c>
    </row>
    <row r="15" spans="1:10" ht="18">
      <c r="A15" s="134" t="s">
        <v>233</v>
      </c>
      <c r="B15" s="134"/>
      <c r="C15" s="40" t="s">
        <v>109</v>
      </c>
      <c r="D15" s="40">
        <v>2</v>
      </c>
      <c r="E15" s="41"/>
      <c r="F15" s="41">
        <f>'Material Costs'!I34*D15</f>
        <v>83.902034084628468</v>
      </c>
      <c r="G15" s="41"/>
      <c r="H15" s="41">
        <f t="shared" si="2"/>
        <v>83.902034084628468</v>
      </c>
      <c r="I15" s="60"/>
    </row>
    <row r="16" spans="1:10" ht="18">
      <c r="A16" s="134" t="s">
        <v>234</v>
      </c>
      <c r="B16" s="134"/>
      <c r="C16" s="40" t="s">
        <v>111</v>
      </c>
      <c r="D16" s="40">
        <v>0.6</v>
      </c>
      <c r="E16" s="41"/>
      <c r="F16" s="41"/>
      <c r="G16" s="41">
        <f>'Machinery and Equipement Cost'!C26*D16</f>
        <v>4.8</v>
      </c>
      <c r="H16" s="41">
        <f t="shared" si="2"/>
        <v>4.8</v>
      </c>
    </row>
    <row r="17" spans="1:9" ht="18">
      <c r="A17" s="134" t="s">
        <v>235</v>
      </c>
      <c r="B17" s="134"/>
      <c r="C17" s="40" t="s">
        <v>21</v>
      </c>
      <c r="D17" s="40">
        <v>1</v>
      </c>
      <c r="E17" s="41">
        <f>'Machinery and Equipement Cost'!U8*D17</f>
        <v>2.4826727120238017</v>
      </c>
      <c r="F17" s="41"/>
      <c r="G17" s="41">
        <f>'Machinery and Equipement Cost'!V8*D17</f>
        <v>2.2549999999999999</v>
      </c>
      <c r="H17" s="41">
        <f>E17+F17+G17</f>
        <v>4.7376727120238016</v>
      </c>
      <c r="I17" s="60"/>
    </row>
    <row r="18" spans="1:9" ht="18">
      <c r="A18" s="134" t="s">
        <v>236</v>
      </c>
      <c r="B18" s="134"/>
      <c r="C18" s="40" t="s">
        <v>27</v>
      </c>
      <c r="D18" s="40">
        <v>1</v>
      </c>
      <c r="E18" s="41">
        <f>'Machinery and Equipement Cost'!U9*D18</f>
        <v>2.223747000935786</v>
      </c>
      <c r="F18" s="41"/>
      <c r="G18" s="41">
        <f>'Machinery and Equipement Cost'!V9*D18</f>
        <v>3.3825000000000003</v>
      </c>
      <c r="H18" s="41">
        <f>E18+F18+G18</f>
        <v>5.6062470009357863</v>
      </c>
    </row>
    <row r="19" spans="1:9" ht="18">
      <c r="A19" s="134" t="s">
        <v>237</v>
      </c>
      <c r="B19" s="134"/>
      <c r="C19" s="40" t="s">
        <v>16</v>
      </c>
      <c r="D19" s="40">
        <v>3</v>
      </c>
      <c r="E19" s="41">
        <f>'Machinery and Equipement Cost'!U7*D19</f>
        <v>28.602692329939984</v>
      </c>
      <c r="F19" s="41"/>
      <c r="G19" s="41">
        <f>'Machinery and Equipement Cost'!V7*D19</f>
        <v>33.148499999999999</v>
      </c>
      <c r="H19" s="41">
        <f>E19+F19+G19</f>
        <v>61.751192329939983</v>
      </c>
      <c r="I19" s="60"/>
    </row>
    <row r="20" spans="1:9" ht="18">
      <c r="A20" s="133" t="s">
        <v>112</v>
      </c>
      <c r="B20" s="133"/>
      <c r="C20" s="40"/>
      <c r="D20" s="40"/>
      <c r="E20" s="41"/>
      <c r="F20" s="41"/>
      <c r="G20" s="41"/>
      <c r="H20" s="41"/>
    </row>
    <row r="21" spans="1:9" ht="18">
      <c r="A21" s="40"/>
      <c r="B21" s="40" t="s">
        <v>19</v>
      </c>
      <c r="C21" s="40" t="s">
        <v>113</v>
      </c>
      <c r="D21" s="40"/>
      <c r="E21" s="41">
        <f>'Machinery and Equipement Cost'!U10</f>
        <v>3.514502902697056</v>
      </c>
      <c r="F21" s="41"/>
      <c r="G21" s="41">
        <f>'Machinery and Equipement Cost'!V10</f>
        <v>6.1499999999999995</v>
      </c>
      <c r="H21" s="41">
        <f t="shared" ref="H21:H48" si="3">E21+F21+G21</f>
        <v>9.6645029026970555</v>
      </c>
      <c r="I21" s="60"/>
    </row>
    <row r="22" spans="1:9" ht="18">
      <c r="A22" s="40"/>
      <c r="B22" s="40" t="s">
        <v>71</v>
      </c>
      <c r="C22" s="40" t="s">
        <v>72</v>
      </c>
      <c r="D22" s="40">
        <v>181</v>
      </c>
      <c r="F22" s="41">
        <f>'Material Costs'!H7*D22</f>
        <v>904.69376267692803</v>
      </c>
      <c r="G22" s="41"/>
      <c r="H22" s="41">
        <f>E22+F22+G22</f>
        <v>904.69376267692803</v>
      </c>
    </row>
    <row r="23" spans="1:9" ht="18">
      <c r="A23" s="40"/>
      <c r="B23" s="40" t="s">
        <v>145</v>
      </c>
      <c r="C23" s="40" t="s">
        <v>72</v>
      </c>
      <c r="D23" s="40">
        <v>181</v>
      </c>
      <c r="F23" s="41">
        <f>'Material Costs'!H8*D23</f>
        <v>19.667255710368</v>
      </c>
      <c r="G23" s="41"/>
      <c r="H23" s="41">
        <f>E23+F23+G23</f>
        <v>19.667255710368</v>
      </c>
      <c r="I23" s="60"/>
    </row>
    <row r="24" spans="1:9" ht="18">
      <c r="A24" s="40"/>
      <c r="B24" s="40" t="s">
        <v>110</v>
      </c>
      <c r="C24" s="40" t="s">
        <v>111</v>
      </c>
      <c r="D24" s="40">
        <v>4.5</v>
      </c>
      <c r="E24" s="41"/>
      <c r="F24" s="41"/>
      <c r="G24" s="41">
        <f>'Machinery and Equipement Cost'!C26*D24</f>
        <v>36</v>
      </c>
      <c r="H24" s="41">
        <f t="shared" si="3"/>
        <v>36</v>
      </c>
      <c r="I24" s="60"/>
    </row>
    <row r="25" spans="1:9" ht="18">
      <c r="A25" s="133" t="s">
        <v>114</v>
      </c>
      <c r="B25" s="133"/>
      <c r="C25" s="40"/>
      <c r="D25" s="40"/>
      <c r="E25" s="41"/>
      <c r="F25" s="41"/>
      <c r="G25" s="41"/>
      <c r="H25" s="41"/>
    </row>
    <row r="26" spans="1:9" ht="18">
      <c r="A26" s="40"/>
      <c r="B26" s="40" t="s">
        <v>73</v>
      </c>
      <c r="C26" s="40" t="s">
        <v>72</v>
      </c>
      <c r="D26" s="40">
        <v>24</v>
      </c>
      <c r="F26" s="41">
        <f>'Material Costs'!H9*D26</f>
        <v>215.66612781181442</v>
      </c>
      <c r="G26" s="41"/>
      <c r="H26" s="41">
        <f t="shared" ref="H26:H31" si="4">E26+F26+G26</f>
        <v>215.66612781181442</v>
      </c>
      <c r="I26" s="60"/>
    </row>
    <row r="27" spans="1:9" ht="18">
      <c r="A27" s="40"/>
      <c r="B27" s="40" t="s">
        <v>146</v>
      </c>
      <c r="C27" s="40" t="s">
        <v>72</v>
      </c>
      <c r="D27" s="40">
        <v>181</v>
      </c>
      <c r="F27" s="41">
        <f>'Material Costs'!H10*D27</f>
        <v>590.01767131103998</v>
      </c>
      <c r="G27" s="41"/>
      <c r="H27" s="41">
        <f t="shared" si="4"/>
        <v>590.01767131103998</v>
      </c>
    </row>
    <row r="28" spans="1:9" ht="18">
      <c r="A28" s="40"/>
      <c r="B28" s="40" t="s">
        <v>77</v>
      </c>
      <c r="C28" s="40" t="s">
        <v>76</v>
      </c>
      <c r="D28" s="40">
        <v>3630</v>
      </c>
      <c r="F28" s="41">
        <f>'Material Costs'!H11*D28</f>
        <v>307.65672827809914</v>
      </c>
      <c r="G28" s="41"/>
      <c r="H28" s="41">
        <f t="shared" si="4"/>
        <v>307.65672827809914</v>
      </c>
      <c r="I28" s="60"/>
    </row>
    <row r="29" spans="1:9" ht="18">
      <c r="A29" s="40"/>
      <c r="B29" s="40" t="s">
        <v>147</v>
      </c>
      <c r="C29" s="40" t="s">
        <v>72</v>
      </c>
      <c r="D29" s="40">
        <v>181</v>
      </c>
      <c r="F29" s="41">
        <f>'Material Costs'!H35*D29</f>
        <v>145.5376922567232</v>
      </c>
      <c r="G29" s="41"/>
      <c r="H29" s="41">
        <f t="shared" si="4"/>
        <v>145.5376922567232</v>
      </c>
    </row>
    <row r="30" spans="1:9" ht="18">
      <c r="A30" s="40"/>
      <c r="B30" s="40" t="s">
        <v>78</v>
      </c>
      <c r="C30" s="40" t="s">
        <v>72</v>
      </c>
      <c r="D30" s="40">
        <v>12</v>
      </c>
      <c r="F30" s="41">
        <f>'Material Costs'!H14*D30</f>
        <v>28.033988802624002</v>
      </c>
      <c r="G30" s="41"/>
      <c r="H30" s="41">
        <f t="shared" si="4"/>
        <v>28.033988802624002</v>
      </c>
      <c r="I30" s="60"/>
    </row>
    <row r="31" spans="1:9" ht="18">
      <c r="A31" s="40"/>
      <c r="B31" s="40" t="s">
        <v>79</v>
      </c>
      <c r="C31" s="40" t="s">
        <v>72</v>
      </c>
      <c r="D31" s="40">
        <v>24</v>
      </c>
      <c r="F31" s="41">
        <f>'Material Costs'!H15*D31</f>
        <v>43.028913045887997</v>
      </c>
      <c r="G31" s="41"/>
      <c r="H31" s="41">
        <f t="shared" si="4"/>
        <v>43.028913045887997</v>
      </c>
    </row>
    <row r="32" spans="1:9" ht="18">
      <c r="A32" s="40"/>
      <c r="B32" s="40" t="s">
        <v>19</v>
      </c>
      <c r="C32" s="40" t="s">
        <v>113</v>
      </c>
      <c r="D32" s="40"/>
      <c r="E32" s="41">
        <f>'Machinery and Equipement Cost'!U10</f>
        <v>3.514502902697056</v>
      </c>
      <c r="F32" s="41"/>
      <c r="G32" s="41">
        <f>'Machinery and Equipement Cost'!V10</f>
        <v>6.1499999999999995</v>
      </c>
      <c r="H32" s="41">
        <f t="shared" si="3"/>
        <v>9.6645029026970555</v>
      </c>
      <c r="I32" s="60"/>
    </row>
    <row r="33" spans="1:17" ht="18">
      <c r="A33" s="40"/>
      <c r="B33" s="40" t="s">
        <v>110</v>
      </c>
      <c r="C33" s="40" t="s">
        <v>111</v>
      </c>
      <c r="D33" s="40">
        <v>100</v>
      </c>
      <c r="E33" s="41"/>
      <c r="F33" s="41"/>
      <c r="G33" s="41">
        <f>'Machinery and Equipement Cost'!C26*D33</f>
        <v>800</v>
      </c>
      <c r="H33" s="41">
        <f t="shared" si="3"/>
        <v>800</v>
      </c>
      <c r="Q33" s="1"/>
    </row>
    <row r="34" spans="1:17" ht="18">
      <c r="A34" s="133" t="s">
        <v>115</v>
      </c>
      <c r="B34" s="133"/>
      <c r="C34" s="40"/>
      <c r="D34" s="40"/>
      <c r="E34" s="41"/>
      <c r="F34" s="41"/>
      <c r="G34" s="41"/>
      <c r="H34" s="41"/>
      <c r="I34" s="60"/>
    </row>
    <row r="35" spans="1:17" ht="18">
      <c r="A35" s="40"/>
      <c r="B35" s="40" t="s">
        <v>151</v>
      </c>
      <c r="C35" s="40" t="s">
        <v>76</v>
      </c>
      <c r="D35" s="40">
        <v>3630</v>
      </c>
      <c r="F35" s="41">
        <f>'Material Costs'!H36*D35</f>
        <v>106.89099149149344</v>
      </c>
      <c r="G35" s="41"/>
      <c r="H35" s="41">
        <f>E35+F35+G35</f>
        <v>106.89099149149344</v>
      </c>
      <c r="I35" s="60"/>
    </row>
    <row r="36" spans="1:17" ht="18">
      <c r="A36" s="40"/>
      <c r="B36" s="40" t="s">
        <v>148</v>
      </c>
      <c r="C36" s="40" t="s">
        <v>72</v>
      </c>
      <c r="D36" s="40">
        <v>181</v>
      </c>
      <c r="F36" s="41">
        <f>'Material Costs'!H37*D36</f>
        <v>88.502650696655991</v>
      </c>
      <c r="G36" s="41"/>
      <c r="H36" s="41">
        <f>E36+F36+G36</f>
        <v>88.502650696655991</v>
      </c>
      <c r="I36" s="60"/>
      <c r="M36" s="132"/>
    </row>
    <row r="37" spans="1:17" ht="18">
      <c r="A37" s="40"/>
      <c r="B37" s="40" t="s">
        <v>149</v>
      </c>
      <c r="C37" s="40" t="s">
        <v>76</v>
      </c>
      <c r="D37" s="40">
        <f>3630*3.667</f>
        <v>13311.21</v>
      </c>
      <c r="F37" s="41">
        <f>'Material Costs'!H38*D37</f>
        <v>289.27621092199735</v>
      </c>
      <c r="G37" s="41"/>
      <c r="H37" s="41">
        <f>E37+F37+G37</f>
        <v>289.27621092199735</v>
      </c>
      <c r="I37" s="60"/>
    </row>
    <row r="38" spans="1:17" ht="18">
      <c r="A38" s="40"/>
      <c r="B38" s="40" t="s">
        <v>110</v>
      </c>
      <c r="C38" s="40" t="s">
        <v>111</v>
      </c>
      <c r="D38" s="40">
        <v>50</v>
      </c>
      <c r="E38" s="41"/>
      <c r="F38" s="41"/>
      <c r="G38" s="41">
        <f>'Machinery and Equipement Cost'!C26*D38</f>
        <v>400</v>
      </c>
      <c r="H38" s="41">
        <f t="shared" si="3"/>
        <v>400</v>
      </c>
    </row>
    <row r="39" spans="1:17" ht="18">
      <c r="A39" s="39" t="s">
        <v>32</v>
      </c>
      <c r="B39" s="39"/>
      <c r="C39" s="40" t="s">
        <v>24</v>
      </c>
      <c r="D39" s="40">
        <v>2</v>
      </c>
      <c r="E39" s="41">
        <f>'Machinery and Equipement Cost'!U15*D39</f>
        <v>3.8886055485422002</v>
      </c>
      <c r="F39" s="41"/>
      <c r="G39" s="41">
        <f>'Machinery and Equipement Cost'!V15*D39</f>
        <v>5.1044999999999998</v>
      </c>
      <c r="H39" s="41">
        <f t="shared" si="3"/>
        <v>8.9931055485422</v>
      </c>
      <c r="I39" s="60"/>
    </row>
    <row r="40" spans="1:17" ht="18">
      <c r="A40" s="40"/>
      <c r="B40" s="40" t="s">
        <v>110</v>
      </c>
      <c r="C40" s="40" t="s">
        <v>111</v>
      </c>
      <c r="D40" s="40">
        <v>2</v>
      </c>
      <c r="E40" s="41"/>
      <c r="F40" s="41"/>
      <c r="G40" s="41">
        <f>'Machinery and Equipement Cost'!C26*D40</f>
        <v>16</v>
      </c>
      <c r="H40" s="41">
        <f t="shared" si="3"/>
        <v>16</v>
      </c>
    </row>
    <row r="41" spans="1:17" ht="18">
      <c r="A41" s="40"/>
      <c r="B41" s="40" t="s">
        <v>116</v>
      </c>
      <c r="C41" s="40" t="s">
        <v>83</v>
      </c>
      <c r="D41" s="40">
        <v>0.5</v>
      </c>
      <c r="E41" s="41"/>
      <c r="F41" s="41">
        <f>'Material Costs'!I18*D41</f>
        <v>15.45563785769472</v>
      </c>
      <c r="G41" s="41"/>
      <c r="H41" s="41">
        <f t="shared" si="3"/>
        <v>15.45563785769472</v>
      </c>
      <c r="I41" s="60"/>
    </row>
    <row r="42" spans="1:17" ht="18">
      <c r="A42" s="133" t="s">
        <v>4</v>
      </c>
      <c r="B42" s="133"/>
      <c r="C42" s="40"/>
      <c r="D42" s="40"/>
      <c r="E42" s="41"/>
      <c r="F42" s="41"/>
      <c r="G42" s="41"/>
      <c r="H42" s="41"/>
    </row>
    <row r="43" spans="1:17" ht="18">
      <c r="A43" s="40"/>
      <c r="B43" s="40" t="s">
        <v>118</v>
      </c>
      <c r="C43" s="40" t="s">
        <v>111</v>
      </c>
      <c r="D43" s="40">
        <v>10</v>
      </c>
      <c r="E43" s="41"/>
      <c r="F43" s="41"/>
      <c r="G43" s="41">
        <f>'Machinery and Equipement Cost'!C26*D43</f>
        <v>80</v>
      </c>
      <c r="H43" s="41">
        <f t="shared" si="3"/>
        <v>80</v>
      </c>
      <c r="I43" s="60"/>
    </row>
    <row r="44" spans="1:17" ht="18">
      <c r="A44" s="40"/>
      <c r="B44" s="40" t="s">
        <v>117</v>
      </c>
      <c r="C44" s="40" t="s">
        <v>89</v>
      </c>
      <c r="D44" s="40">
        <v>27</v>
      </c>
      <c r="E44" s="41"/>
      <c r="F44" s="41">
        <f>'Material Costs'!I21*D44</f>
        <v>8.346044443155149</v>
      </c>
      <c r="G44" s="41"/>
      <c r="H44" s="41">
        <f t="shared" si="3"/>
        <v>8.346044443155149</v>
      </c>
      <c r="I44" s="60"/>
    </row>
    <row r="45" spans="1:17" ht="18">
      <c r="A45" s="133" t="s">
        <v>119</v>
      </c>
      <c r="B45" s="133"/>
      <c r="C45" s="40"/>
      <c r="D45" s="40"/>
      <c r="E45" s="41"/>
      <c r="F45" s="41"/>
      <c r="G45" s="41"/>
      <c r="H45" s="41"/>
    </row>
    <row r="46" spans="1:17" ht="18">
      <c r="A46" s="40"/>
      <c r="B46" s="40" t="s">
        <v>26</v>
      </c>
      <c r="C46" s="40" t="s">
        <v>120</v>
      </c>
      <c r="D46" s="40">
        <v>6</v>
      </c>
      <c r="E46" s="41">
        <f>'Machinery and Equipement Cost'!U12*D46</f>
        <v>23.835871767894808</v>
      </c>
      <c r="F46" s="41"/>
      <c r="G46" s="41">
        <f>'Machinery and Equipement Cost'!V12*D46</f>
        <v>35.177999999999997</v>
      </c>
      <c r="H46" s="41">
        <f t="shared" si="3"/>
        <v>59.013871767894805</v>
      </c>
      <c r="I46" s="60"/>
    </row>
    <row r="47" spans="1:17" ht="18">
      <c r="A47" s="133" t="s">
        <v>28</v>
      </c>
      <c r="B47" s="133"/>
      <c r="C47" s="40" t="s">
        <v>121</v>
      </c>
      <c r="D47" s="40">
        <v>1</v>
      </c>
      <c r="E47" s="41">
        <f>'Machinery and Equipement Cost'!U13*D47</f>
        <v>8.3434031304030931</v>
      </c>
      <c r="F47" s="41"/>
      <c r="G47" s="41">
        <f>'Machinery and Equipement Cost'!V13*D47</f>
        <v>8.6715</v>
      </c>
      <c r="H47" s="41">
        <f t="shared" si="3"/>
        <v>17.014903130403091</v>
      </c>
    </row>
    <row r="48" spans="1:17" ht="18">
      <c r="A48" s="40"/>
      <c r="B48" s="40" t="s">
        <v>116</v>
      </c>
      <c r="C48" s="40" t="s">
        <v>83</v>
      </c>
      <c r="D48" s="40">
        <v>1</v>
      </c>
      <c r="E48" s="41"/>
      <c r="F48" s="41">
        <f>'Material Costs'!I18*D48</f>
        <v>30.91127571538944</v>
      </c>
      <c r="G48" s="41"/>
      <c r="H48" s="41">
        <f t="shared" si="3"/>
        <v>30.91127571538944</v>
      </c>
      <c r="I48" s="60"/>
    </row>
    <row r="49" spans="1:9" ht="18">
      <c r="A49" s="39" t="s">
        <v>122</v>
      </c>
      <c r="B49" s="40"/>
      <c r="C49" s="40"/>
      <c r="D49" s="40"/>
      <c r="E49" s="41"/>
      <c r="F49" s="41"/>
      <c r="G49" s="41"/>
      <c r="H49" s="41"/>
    </row>
    <row r="50" spans="1:9" ht="18">
      <c r="A50" s="40"/>
      <c r="B50" s="40" t="s">
        <v>118</v>
      </c>
      <c r="C50" s="40" t="s">
        <v>111</v>
      </c>
      <c r="D50" s="40">
        <v>68</v>
      </c>
      <c r="E50" s="41"/>
      <c r="F50" s="41"/>
      <c r="G50" s="41">
        <f>'Machinery and Equipement Cost'!C26*D50</f>
        <v>544</v>
      </c>
      <c r="H50" s="41">
        <f t="shared" ref="H50" si="5">E50+F50+G50</f>
        <v>544</v>
      </c>
      <c r="I50" s="60"/>
    </row>
    <row r="51" spans="1:9" ht="18">
      <c r="A51" s="133" t="s">
        <v>123</v>
      </c>
      <c r="B51" s="133"/>
      <c r="C51" s="40" t="s">
        <v>31</v>
      </c>
      <c r="D51" s="40">
        <v>1</v>
      </c>
      <c r="E51" s="41">
        <f>'Machinery and Equipement Cost'!U14*D51</f>
        <v>0.48032934484910866</v>
      </c>
      <c r="F51" s="41"/>
      <c r="G51" s="41">
        <f>'Machinery and Equipement Cost'!V14*D51</f>
        <v>0.63549999999999995</v>
      </c>
      <c r="H51" s="41">
        <f t="shared" ref="H51:H52" si="6">E51+F51+G51</f>
        <v>1.1158293448491086</v>
      </c>
    </row>
    <row r="52" spans="1:9" ht="18">
      <c r="A52" s="47"/>
      <c r="B52" s="40" t="s">
        <v>93</v>
      </c>
      <c r="C52" s="40" t="s">
        <v>86</v>
      </c>
      <c r="D52" s="40">
        <v>1.75</v>
      </c>
      <c r="E52" s="41"/>
      <c r="F52" s="41">
        <f>'Material Costs'!I25*D52</f>
        <v>34.446752875337104</v>
      </c>
      <c r="G52" s="41"/>
      <c r="H52" s="41">
        <f t="shared" si="6"/>
        <v>34.446752875337104</v>
      </c>
      <c r="I52" s="60"/>
    </row>
    <row r="53" spans="1:9" ht="18">
      <c r="A53" s="40"/>
      <c r="B53" s="40"/>
      <c r="C53" s="40"/>
      <c r="D53" s="40"/>
      <c r="E53" s="41"/>
      <c r="F53" s="41"/>
      <c r="G53" s="41"/>
      <c r="H53" s="41"/>
    </row>
    <row r="54" spans="1:9" ht="18">
      <c r="A54" s="48"/>
      <c r="B54" s="48"/>
      <c r="C54" s="48"/>
      <c r="D54" s="48"/>
      <c r="E54" s="49">
        <f>SUM(E7:E52)</f>
        <v>79.895425896341379</v>
      </c>
      <c r="F54" s="49">
        <f>SUM(F7:F52)</f>
        <v>2972.8875521091786</v>
      </c>
      <c r="G54" s="49">
        <f>SUM(G7:G52)</f>
        <v>2007.9255000000001</v>
      </c>
      <c r="H54" s="50">
        <f>SUM(H7:H52)</f>
        <v>5060.7084780055202</v>
      </c>
      <c r="I54" s="60"/>
    </row>
    <row r="55" spans="1:9" ht="18">
      <c r="A55" s="40"/>
      <c r="B55" s="40"/>
      <c r="C55" s="40"/>
      <c r="D55" s="40"/>
      <c r="E55" s="40"/>
      <c r="F55" s="40"/>
      <c r="G55" s="40"/>
      <c r="H55" s="40"/>
    </row>
    <row r="56" spans="1:9" ht="18">
      <c r="A56" s="40"/>
      <c r="B56" s="40" t="s">
        <v>210</v>
      </c>
      <c r="C56" s="40"/>
      <c r="D56" s="40"/>
      <c r="E56" s="40"/>
      <c r="F56" s="40"/>
      <c r="G56" s="40"/>
      <c r="H56" s="41">
        <v>4280.2</v>
      </c>
      <c r="I56" s="60"/>
    </row>
    <row r="57" spans="1:9" ht="18">
      <c r="A57" s="40"/>
      <c r="B57" s="40" t="s">
        <v>211</v>
      </c>
      <c r="C57" s="40"/>
      <c r="D57" s="40"/>
      <c r="E57" s="40"/>
      <c r="F57" s="40"/>
      <c r="G57" s="40"/>
      <c r="H57" s="40"/>
    </row>
    <row r="58" spans="1:9" ht="18">
      <c r="A58" s="40"/>
      <c r="B58" s="40" t="s">
        <v>212</v>
      </c>
      <c r="C58" s="40"/>
      <c r="D58" s="40"/>
      <c r="E58" s="40"/>
      <c r="F58" s="40"/>
      <c r="G58" s="40"/>
      <c r="H58" s="40"/>
    </row>
  </sheetData>
  <mergeCells count="15">
    <mergeCell ref="A17:B17"/>
    <mergeCell ref="A18:B18"/>
    <mergeCell ref="A19:B19"/>
    <mergeCell ref="A20:B20"/>
    <mergeCell ref="A6:B6"/>
    <mergeCell ref="A12:B12"/>
    <mergeCell ref="A14:B14"/>
    <mergeCell ref="A15:B15"/>
    <mergeCell ref="A16:B16"/>
    <mergeCell ref="A51:B51"/>
    <mergeCell ref="A25:B25"/>
    <mergeCell ref="A34:B34"/>
    <mergeCell ref="A42:B42"/>
    <mergeCell ref="A45:B45"/>
    <mergeCell ref="A47:B4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workbookViewId="0">
      <selection activeCell="M13" sqref="M13"/>
    </sheetView>
  </sheetViews>
  <sheetFormatPr defaultRowHeight="14.4"/>
  <cols>
    <col min="1" max="1" width="4.33203125" customWidth="1"/>
    <col min="2" max="2" width="22.44140625" customWidth="1"/>
    <col min="3" max="3" width="7.109375" customWidth="1"/>
    <col min="4" max="4" width="7.21875" customWidth="1"/>
    <col min="5" max="5" width="12.33203125" customWidth="1"/>
    <col min="6" max="6" width="9.33203125" customWidth="1"/>
    <col min="7" max="7" width="10.88671875" customWidth="1"/>
    <col min="8" max="8" width="10.5546875" bestFit="1" customWidth="1"/>
    <col min="9" max="9" width="8.44140625" customWidth="1"/>
  </cols>
  <sheetData>
    <row r="1" spans="1:10" ht="23.4">
      <c r="A1" s="82" t="s">
        <v>220</v>
      </c>
      <c r="B1" s="82"/>
      <c r="C1" s="82"/>
      <c r="D1" s="82"/>
      <c r="E1" s="82"/>
      <c r="F1" s="82"/>
      <c r="G1" s="82"/>
      <c r="H1" s="83"/>
      <c r="I1" s="83"/>
      <c r="J1" s="84"/>
    </row>
    <row r="2" spans="1:10" ht="23.4">
      <c r="A2" s="82" t="s">
        <v>248</v>
      </c>
      <c r="B2" s="82"/>
      <c r="C2" s="82"/>
      <c r="D2" s="82"/>
      <c r="E2" s="82"/>
      <c r="F2" s="82"/>
      <c r="G2" s="82"/>
      <c r="H2" s="83"/>
      <c r="I2" s="83"/>
      <c r="J2" s="84"/>
    </row>
    <row r="3" spans="1:10" ht="18">
      <c r="A3" s="40"/>
      <c r="B3" s="40"/>
      <c r="C3" s="40"/>
      <c r="D3" s="40"/>
      <c r="E3" s="40"/>
      <c r="F3" s="40"/>
      <c r="G3" s="40"/>
      <c r="H3" s="40"/>
      <c r="I3" s="40"/>
    </row>
    <row r="4" spans="1:10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0</v>
      </c>
      <c r="G4" s="55" t="s">
        <v>1</v>
      </c>
      <c r="H4" s="55" t="s">
        <v>2</v>
      </c>
      <c r="I4" s="56" t="s">
        <v>213</v>
      </c>
    </row>
    <row r="5" spans="1:10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10" ht="18.600000000000001" thickTop="1">
      <c r="A6" s="133" t="s">
        <v>124</v>
      </c>
      <c r="B6" s="133"/>
      <c r="C6" s="40"/>
      <c r="D6" s="40"/>
      <c r="E6" s="40"/>
      <c r="F6" s="40"/>
      <c r="G6" s="40"/>
      <c r="H6" s="40"/>
      <c r="I6" s="40"/>
    </row>
    <row r="7" spans="1:10" ht="18">
      <c r="A7" s="40"/>
      <c r="B7" s="40" t="s">
        <v>118</v>
      </c>
      <c r="C7" s="40" t="s">
        <v>111</v>
      </c>
      <c r="D7" s="40">
        <v>48</v>
      </c>
      <c r="E7" s="41"/>
      <c r="F7" s="41"/>
      <c r="G7" s="41">
        <f>'Machinery and Equipement Cost'!C26*D7</f>
        <v>384</v>
      </c>
      <c r="H7" s="41">
        <f>E7+F7+G7</f>
        <v>384</v>
      </c>
      <c r="I7" s="46"/>
    </row>
    <row r="8" spans="1:10" ht="18">
      <c r="A8" s="133" t="s">
        <v>119</v>
      </c>
      <c r="B8" s="133"/>
      <c r="C8" s="40"/>
      <c r="D8" s="40"/>
      <c r="E8" s="41"/>
      <c r="F8" s="41"/>
      <c r="G8" s="41"/>
      <c r="H8" s="41"/>
      <c r="I8" s="40"/>
    </row>
    <row r="9" spans="1:10" ht="18">
      <c r="A9" s="40"/>
      <c r="B9" s="40" t="s">
        <v>26</v>
      </c>
      <c r="C9" s="40" t="s">
        <v>120</v>
      </c>
      <c r="D9" s="40">
        <v>7</v>
      </c>
      <c r="E9" s="41">
        <f>'Machinery and Equipement Cost'!U12*D9</f>
        <v>27.808517062543945</v>
      </c>
      <c r="F9" s="41"/>
      <c r="G9" s="41">
        <f>'Machinery and Equipement Cost'!V12*D9</f>
        <v>41.040999999999997</v>
      </c>
      <c r="H9" s="41">
        <f t="shared" ref="H9:H29" si="0">E9+F9+G9</f>
        <v>68.849517062543939</v>
      </c>
      <c r="I9" s="46"/>
    </row>
    <row r="10" spans="1:10" ht="18">
      <c r="A10" s="133" t="s">
        <v>125</v>
      </c>
      <c r="B10" s="133"/>
      <c r="C10" s="40"/>
      <c r="D10" s="40"/>
      <c r="E10" s="41"/>
      <c r="F10" s="41"/>
      <c r="G10" s="41"/>
      <c r="H10" s="41"/>
      <c r="I10" s="40"/>
    </row>
    <row r="11" spans="1:10" ht="18">
      <c r="A11" s="40"/>
      <c r="B11" s="40" t="s">
        <v>118</v>
      </c>
      <c r="C11" s="40" t="s">
        <v>111</v>
      </c>
      <c r="D11" s="40">
        <v>2</v>
      </c>
      <c r="E11" s="41"/>
      <c r="F11" s="41"/>
      <c r="G11" s="41">
        <f>'Machinery and Equipement Cost'!C26*D11</f>
        <v>16</v>
      </c>
      <c r="H11" s="41">
        <f t="shared" si="0"/>
        <v>16</v>
      </c>
      <c r="I11" s="46"/>
    </row>
    <row r="12" spans="1:10" ht="18">
      <c r="A12" s="133" t="s">
        <v>62</v>
      </c>
      <c r="B12" s="133"/>
      <c r="C12" s="40"/>
      <c r="D12" s="40"/>
      <c r="E12" s="41"/>
      <c r="F12" s="41"/>
      <c r="G12" s="41"/>
      <c r="H12" s="41"/>
      <c r="I12" s="40"/>
    </row>
    <row r="13" spans="1:10" ht="18">
      <c r="A13" s="40"/>
      <c r="B13" s="40" t="s">
        <v>67</v>
      </c>
      <c r="C13" s="40" t="s">
        <v>68</v>
      </c>
      <c r="D13" s="40">
        <v>6</v>
      </c>
      <c r="E13" s="41">
        <f>'Machinery and Equipement Cost'!U11*D13</f>
        <v>6.018196512716985</v>
      </c>
      <c r="F13" s="41"/>
      <c r="G13" s="41">
        <f>'Machinery and Equipement Cost'!V11*D13</f>
        <v>36.9</v>
      </c>
      <c r="H13" s="41">
        <f t="shared" si="0"/>
        <v>42.918196512716982</v>
      </c>
      <c r="I13" s="46"/>
    </row>
    <row r="14" spans="1:10" ht="18">
      <c r="A14" s="40"/>
      <c r="B14" s="40" t="s">
        <v>95</v>
      </c>
      <c r="C14" s="40" t="s">
        <v>94</v>
      </c>
      <c r="D14" s="40">
        <v>5</v>
      </c>
      <c r="E14" s="41"/>
      <c r="F14" s="41">
        <f>'Material Costs'!I26*D14</f>
        <v>11.646927099905662</v>
      </c>
      <c r="G14" s="41"/>
      <c r="H14" s="41">
        <f t="shared" si="0"/>
        <v>11.646927099905662</v>
      </c>
      <c r="I14" s="40"/>
    </row>
    <row r="15" spans="1:10" ht="18">
      <c r="A15" s="40"/>
      <c r="B15" s="40" t="s">
        <v>91</v>
      </c>
      <c r="C15" s="40" t="s">
        <v>86</v>
      </c>
      <c r="D15" s="40">
        <v>10</v>
      </c>
      <c r="E15" s="41"/>
      <c r="F15" s="41">
        <f>'Material Costs'!I23*D15</f>
        <v>44.158965307699205</v>
      </c>
      <c r="G15" s="41"/>
      <c r="H15" s="41">
        <f t="shared" si="0"/>
        <v>44.158965307699205</v>
      </c>
      <c r="I15" s="46"/>
    </row>
    <row r="16" spans="1:10" ht="18">
      <c r="A16" s="133" t="s">
        <v>126</v>
      </c>
      <c r="B16" s="133"/>
      <c r="C16" s="40"/>
      <c r="D16" s="40"/>
      <c r="E16" s="41"/>
      <c r="F16" s="41"/>
      <c r="G16" s="41"/>
      <c r="H16" s="41"/>
      <c r="I16" s="40"/>
    </row>
    <row r="17" spans="1:9" ht="18">
      <c r="A17" s="40"/>
      <c r="B17" s="40" t="s">
        <v>118</v>
      </c>
      <c r="C17" s="40" t="s">
        <v>111</v>
      </c>
      <c r="D17" s="40">
        <v>2</v>
      </c>
      <c r="E17" s="41"/>
      <c r="F17" s="41"/>
      <c r="G17" s="41">
        <f>'Machinery and Equipement Cost'!C26*D17</f>
        <v>16</v>
      </c>
      <c r="H17" s="41">
        <f t="shared" si="0"/>
        <v>16</v>
      </c>
      <c r="I17" s="46"/>
    </row>
    <row r="18" spans="1:9" ht="18">
      <c r="A18" s="133" t="s">
        <v>123</v>
      </c>
      <c r="B18" s="133"/>
      <c r="C18" s="40" t="s">
        <v>31</v>
      </c>
      <c r="D18" s="40">
        <v>1</v>
      </c>
      <c r="E18" s="41">
        <f>'Machinery and Equipement Cost'!U14*D18</f>
        <v>0.48032934484910866</v>
      </c>
      <c r="F18" s="41"/>
      <c r="G18" s="41">
        <f>'Machinery and Equipement Cost'!U14*D18</f>
        <v>0.48032934484910866</v>
      </c>
      <c r="H18" s="41">
        <f t="shared" si="0"/>
        <v>0.96065868969821733</v>
      </c>
      <c r="I18" s="40"/>
    </row>
    <row r="19" spans="1:9" ht="18">
      <c r="A19" s="40"/>
      <c r="B19" s="40" t="s">
        <v>96</v>
      </c>
      <c r="C19" s="40" t="s">
        <v>97</v>
      </c>
      <c r="D19" s="40">
        <v>10</v>
      </c>
      <c r="E19" s="41"/>
      <c r="F19" s="41">
        <f>'Material Costs'!I27*D19</f>
        <v>125.96344854021197</v>
      </c>
      <c r="G19" s="41"/>
      <c r="H19" s="41">
        <f t="shared" si="0"/>
        <v>125.96344854021197</v>
      </c>
      <c r="I19" s="46"/>
    </row>
    <row r="20" spans="1:9" ht="18">
      <c r="A20" s="133" t="s">
        <v>32</v>
      </c>
      <c r="B20" s="133"/>
      <c r="C20" s="40" t="s">
        <v>24</v>
      </c>
      <c r="D20" s="40">
        <v>2</v>
      </c>
      <c r="E20" s="41">
        <f>'Machinery and Equipement Cost'!U15*D20</f>
        <v>3.8886055485422002</v>
      </c>
      <c r="F20" s="41"/>
      <c r="G20" s="41">
        <f>'Machinery and Equipement Cost'!V15*D20</f>
        <v>5.1044999999999998</v>
      </c>
      <c r="H20" s="41">
        <f t="shared" si="0"/>
        <v>8.9931055485422</v>
      </c>
      <c r="I20" s="40"/>
    </row>
    <row r="21" spans="1:9" ht="18">
      <c r="A21" s="40"/>
      <c r="B21" s="40" t="s">
        <v>118</v>
      </c>
      <c r="C21" s="40" t="s">
        <v>111</v>
      </c>
      <c r="D21" s="40">
        <v>2</v>
      </c>
      <c r="E21" s="41"/>
      <c r="F21" s="41"/>
      <c r="G21" s="41">
        <f>'Machinery and Equipement Cost'!C26*D21</f>
        <v>16</v>
      </c>
      <c r="H21" s="41">
        <f t="shared" si="0"/>
        <v>16</v>
      </c>
      <c r="I21" s="46"/>
    </row>
    <row r="22" spans="1:9" ht="18">
      <c r="A22" s="40"/>
      <c r="B22" s="40" t="s">
        <v>116</v>
      </c>
      <c r="C22" s="40" t="s">
        <v>83</v>
      </c>
      <c r="D22" s="40">
        <v>2</v>
      </c>
      <c r="E22" s="41"/>
      <c r="F22" s="41">
        <f>'Material Costs'!I18*D22</f>
        <v>61.82255143077888</v>
      </c>
      <c r="G22" s="41"/>
      <c r="H22" s="41">
        <f t="shared" si="0"/>
        <v>61.82255143077888</v>
      </c>
      <c r="I22" s="46"/>
    </row>
    <row r="23" spans="1:9" ht="18">
      <c r="A23" s="133" t="s">
        <v>4</v>
      </c>
      <c r="B23" s="133"/>
      <c r="C23" s="40"/>
      <c r="D23" s="40"/>
      <c r="E23" s="41"/>
      <c r="F23" s="41"/>
      <c r="G23" s="41"/>
      <c r="H23" s="41"/>
      <c r="I23" s="40"/>
    </row>
    <row r="24" spans="1:9" ht="18">
      <c r="A24" s="40"/>
      <c r="B24" s="40" t="s">
        <v>118</v>
      </c>
      <c r="C24" s="40" t="s">
        <v>111</v>
      </c>
      <c r="D24" s="40">
        <v>12</v>
      </c>
      <c r="E24" s="41"/>
      <c r="F24" s="41"/>
      <c r="G24" s="41">
        <f>'Machinery and Equipement Cost'!C26*D24</f>
        <v>96</v>
      </c>
      <c r="H24" s="41">
        <f t="shared" si="0"/>
        <v>96</v>
      </c>
      <c r="I24" s="46"/>
    </row>
    <row r="25" spans="1:9" ht="18">
      <c r="A25" s="40"/>
      <c r="B25" s="40" t="s">
        <v>117</v>
      </c>
      <c r="C25" s="40" t="s">
        <v>89</v>
      </c>
      <c r="D25" s="40">
        <v>41.5</v>
      </c>
      <c r="E25" s="41"/>
      <c r="F25" s="41">
        <f>'Material Costs'!I21*D25</f>
        <v>12.828179421886619</v>
      </c>
      <c r="G25" s="41"/>
      <c r="H25" s="41">
        <f t="shared" si="0"/>
        <v>12.828179421886619</v>
      </c>
      <c r="I25" s="40"/>
    </row>
    <row r="26" spans="1:9" ht="18">
      <c r="A26" s="133" t="s">
        <v>28</v>
      </c>
      <c r="B26" s="133"/>
      <c r="C26" s="40" t="s">
        <v>121</v>
      </c>
      <c r="D26" s="40">
        <v>1</v>
      </c>
      <c r="E26" s="41">
        <f>'Machinery and Equipement Cost'!U13*D26</f>
        <v>8.3434031304030931</v>
      </c>
      <c r="F26" s="41"/>
      <c r="G26" s="41">
        <f>'Machinery and Equipement Cost'!V13*D26</f>
        <v>8.6715</v>
      </c>
      <c r="H26" s="41">
        <f t="shared" si="0"/>
        <v>17.014903130403091</v>
      </c>
      <c r="I26" s="46"/>
    </row>
    <row r="27" spans="1:9" ht="18">
      <c r="A27" s="40"/>
      <c r="B27" s="40" t="s">
        <v>116</v>
      </c>
      <c r="C27" s="40" t="s">
        <v>83</v>
      </c>
      <c r="D27" s="40">
        <v>1</v>
      </c>
      <c r="E27" s="41"/>
      <c r="F27" s="41">
        <f>'Material Costs'!I18*D27</f>
        <v>30.91127571538944</v>
      </c>
      <c r="G27" s="41"/>
      <c r="H27" s="41">
        <f t="shared" si="0"/>
        <v>30.91127571538944</v>
      </c>
      <c r="I27" s="40"/>
    </row>
    <row r="28" spans="1:9" ht="18">
      <c r="A28" s="133" t="s">
        <v>67</v>
      </c>
      <c r="B28" s="133"/>
      <c r="C28" s="40" t="s">
        <v>68</v>
      </c>
      <c r="D28" s="40">
        <v>2</v>
      </c>
      <c r="E28" s="41">
        <f>'Machinery and Equipement Cost'!U11*D28</f>
        <v>2.006065504238995</v>
      </c>
      <c r="F28" s="41"/>
      <c r="G28" s="41">
        <f>'Machinery and Equipement Cost'!V11*D28</f>
        <v>12.299999999999999</v>
      </c>
      <c r="H28" s="41">
        <f t="shared" si="0"/>
        <v>14.306065504238994</v>
      </c>
      <c r="I28" s="46"/>
    </row>
    <row r="29" spans="1:9" ht="18">
      <c r="A29" s="40"/>
      <c r="B29" s="40" t="s">
        <v>90</v>
      </c>
      <c r="C29" s="40" t="s">
        <v>86</v>
      </c>
      <c r="D29" s="40">
        <v>3</v>
      </c>
      <c r="E29" s="41"/>
      <c r="F29" s="41">
        <f>'Material Costs'!I22*D29</f>
        <v>14.009431743867573</v>
      </c>
      <c r="G29" s="41"/>
      <c r="H29" s="41">
        <f t="shared" si="0"/>
        <v>14.009431743867573</v>
      </c>
      <c r="I29" s="46"/>
    </row>
    <row r="30" spans="1:9" ht="18">
      <c r="A30" s="40"/>
      <c r="B30" s="40"/>
      <c r="C30" s="40"/>
      <c r="D30" s="40"/>
      <c r="E30" s="41"/>
      <c r="F30" s="41"/>
      <c r="G30" s="41"/>
      <c r="H30" s="41"/>
      <c r="I30" s="40"/>
    </row>
    <row r="31" spans="1:9" ht="18">
      <c r="A31" s="48"/>
      <c r="B31" s="48"/>
      <c r="C31" s="48"/>
      <c r="D31" s="48"/>
      <c r="E31" s="49">
        <f>SUM(E7:E29)</f>
        <v>48.545117103294338</v>
      </c>
      <c r="F31" s="49">
        <f>SUM(F7:F29)</f>
        <v>301.34077925973935</v>
      </c>
      <c r="G31" s="49">
        <f>SUM(G7:G29)</f>
        <v>632.49732934484905</v>
      </c>
      <c r="H31" s="50">
        <f>SUM(H7:H29)</f>
        <v>982.38322570788273</v>
      </c>
      <c r="I31" s="46"/>
    </row>
  </sheetData>
  <mergeCells count="10">
    <mergeCell ref="A28:B28"/>
    <mergeCell ref="A6:B6"/>
    <mergeCell ref="A10:B10"/>
    <mergeCell ref="A8:B8"/>
    <mergeCell ref="A16:B16"/>
    <mergeCell ref="A18:B18"/>
    <mergeCell ref="A20:B20"/>
    <mergeCell ref="A23:B23"/>
    <mergeCell ref="A26:B26"/>
    <mergeCell ref="A12:B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"/>
  <sheetViews>
    <sheetView workbookViewId="0">
      <selection activeCell="M20" sqref="M20"/>
    </sheetView>
  </sheetViews>
  <sheetFormatPr defaultRowHeight="14.4"/>
  <cols>
    <col min="1" max="1" width="4.33203125" customWidth="1"/>
    <col min="2" max="2" width="21" customWidth="1"/>
    <col min="3" max="4" width="8.21875" customWidth="1"/>
    <col min="5" max="5" width="12.5546875" customWidth="1"/>
    <col min="6" max="6" width="10.44140625" customWidth="1"/>
    <col min="7" max="7" width="9.5546875" customWidth="1"/>
    <col min="8" max="8" width="10.5546875" bestFit="1" customWidth="1"/>
    <col min="9" max="9" width="12.6640625" customWidth="1"/>
    <col min="10" max="10" width="5.5546875" customWidth="1"/>
  </cols>
  <sheetData>
    <row r="1" spans="1:15" ht="23.4">
      <c r="A1" s="82" t="s">
        <v>219</v>
      </c>
      <c r="B1" s="82"/>
      <c r="C1" s="82"/>
      <c r="D1" s="82"/>
      <c r="E1" s="82"/>
      <c r="F1" s="82"/>
      <c r="G1" s="82"/>
      <c r="H1" s="83"/>
      <c r="I1" s="83"/>
      <c r="J1" s="84"/>
    </row>
    <row r="2" spans="1:15" ht="23.4">
      <c r="A2" s="82" t="s">
        <v>248</v>
      </c>
      <c r="B2" s="82"/>
      <c r="C2" s="82"/>
      <c r="D2" s="82"/>
      <c r="E2" s="82"/>
      <c r="F2" s="82"/>
      <c r="G2" s="82"/>
      <c r="H2" s="83"/>
      <c r="I2" s="83"/>
      <c r="J2" s="84"/>
    </row>
    <row r="3" spans="1:15" ht="18">
      <c r="A3" s="40"/>
      <c r="B3" s="40"/>
      <c r="C3" s="40"/>
      <c r="D3" s="40"/>
      <c r="E3" s="40"/>
      <c r="F3" s="40"/>
      <c r="G3" s="40"/>
      <c r="H3" s="40"/>
      <c r="I3" s="40"/>
    </row>
    <row r="4" spans="1:15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0</v>
      </c>
      <c r="G4" s="55" t="s">
        <v>1</v>
      </c>
      <c r="H4" s="55" t="s">
        <v>2</v>
      </c>
      <c r="I4" s="56" t="s">
        <v>213</v>
      </c>
    </row>
    <row r="5" spans="1:15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15" ht="18.600000000000001" thickTop="1">
      <c r="A6" s="39" t="s">
        <v>124</v>
      </c>
      <c r="B6" s="39"/>
      <c r="C6" s="40"/>
      <c r="D6" s="40"/>
      <c r="E6" s="40"/>
      <c r="F6" s="40"/>
      <c r="G6" s="40"/>
      <c r="H6" s="40"/>
      <c r="I6" s="40"/>
    </row>
    <row r="7" spans="1:15" ht="18">
      <c r="A7" s="40"/>
      <c r="B7" s="40" t="s">
        <v>118</v>
      </c>
      <c r="C7" s="40" t="s">
        <v>111</v>
      </c>
      <c r="D7" s="40">
        <v>60</v>
      </c>
      <c r="E7" s="41"/>
      <c r="F7" s="41"/>
      <c r="G7" s="41">
        <f>'Machinery and Equipement Cost'!C26*D7</f>
        <v>480</v>
      </c>
      <c r="H7" s="41">
        <f>E7+F7+G7</f>
        <v>480</v>
      </c>
      <c r="I7" s="46"/>
    </row>
    <row r="8" spans="1:15" ht="18">
      <c r="A8" s="39" t="s">
        <v>119</v>
      </c>
      <c r="B8" s="39"/>
      <c r="C8" s="40"/>
      <c r="D8" s="40"/>
      <c r="E8" s="41"/>
      <c r="F8" s="41"/>
      <c r="G8" s="41"/>
      <c r="H8" s="41"/>
      <c r="I8" s="40"/>
    </row>
    <row r="9" spans="1:15" ht="18">
      <c r="A9" s="40"/>
      <c r="B9" s="40" t="s">
        <v>26</v>
      </c>
      <c r="C9" s="40" t="s">
        <v>120</v>
      </c>
      <c r="D9" s="40">
        <v>7</v>
      </c>
      <c r="E9" s="41">
        <f>'Machinery and Equipement Cost'!U12*D9</f>
        <v>27.808517062543945</v>
      </c>
      <c r="F9" s="41"/>
      <c r="G9" s="41">
        <f>'Machinery and Equipement Cost'!V12*D9</f>
        <v>41.040999999999997</v>
      </c>
      <c r="H9" s="41">
        <f t="shared" ref="H9:H25" si="0">E9+F9+G9</f>
        <v>68.849517062543939</v>
      </c>
      <c r="I9" s="46"/>
    </row>
    <row r="10" spans="1:15" ht="18">
      <c r="A10" s="39" t="s">
        <v>125</v>
      </c>
      <c r="B10" s="39"/>
      <c r="C10" s="40"/>
      <c r="D10" s="40"/>
      <c r="E10" s="41"/>
      <c r="F10" s="41"/>
      <c r="G10" s="41"/>
      <c r="H10" s="41"/>
      <c r="I10" s="40"/>
    </row>
    <row r="11" spans="1:15" ht="18">
      <c r="A11" s="40"/>
      <c r="B11" s="40" t="s">
        <v>118</v>
      </c>
      <c r="C11" s="40" t="s">
        <v>111</v>
      </c>
      <c r="D11" s="40">
        <v>2</v>
      </c>
      <c r="E11" s="41"/>
      <c r="F11" s="41"/>
      <c r="G11" s="41">
        <f>'Machinery and Equipement Cost'!C26*D11</f>
        <v>16</v>
      </c>
      <c r="H11" s="41">
        <f t="shared" si="0"/>
        <v>16</v>
      </c>
      <c r="I11" s="46"/>
    </row>
    <row r="12" spans="1:15" ht="18">
      <c r="A12" s="39" t="s">
        <v>32</v>
      </c>
      <c r="B12" s="39"/>
      <c r="C12" s="40" t="s">
        <v>24</v>
      </c>
      <c r="D12" s="40">
        <v>2</v>
      </c>
      <c r="E12" s="41">
        <f>'Machinery and Equipement Cost'!U15*D12</f>
        <v>3.8886055485422002</v>
      </c>
      <c r="F12" s="41"/>
      <c r="G12" s="41">
        <f>'Machinery and Equipement Cost'!V15*D12</f>
        <v>5.1044999999999998</v>
      </c>
      <c r="H12" s="41">
        <f t="shared" si="0"/>
        <v>8.9931055485422</v>
      </c>
      <c r="I12" s="40"/>
    </row>
    <row r="13" spans="1:15" ht="18">
      <c r="A13" s="40"/>
      <c r="B13" s="40" t="s">
        <v>118</v>
      </c>
      <c r="C13" s="40" t="s">
        <v>111</v>
      </c>
      <c r="D13" s="40">
        <v>2</v>
      </c>
      <c r="E13" s="41"/>
      <c r="F13" s="41"/>
      <c r="G13" s="41">
        <f>'Machinery and Equipement Cost'!C26*D13</f>
        <v>16</v>
      </c>
      <c r="H13" s="41">
        <f t="shared" si="0"/>
        <v>16</v>
      </c>
      <c r="I13" s="46"/>
    </row>
    <row r="14" spans="1:15" ht="18">
      <c r="A14" s="40"/>
      <c r="B14" s="40" t="s">
        <v>116</v>
      </c>
      <c r="C14" s="40" t="s">
        <v>83</v>
      </c>
      <c r="D14" s="40">
        <v>3</v>
      </c>
      <c r="E14" s="41"/>
      <c r="F14" s="41">
        <f>'Material Costs'!H18*D14</f>
        <v>91.273451915519999</v>
      </c>
      <c r="G14" s="41"/>
      <c r="H14" s="41">
        <f t="shared" si="0"/>
        <v>91.273451915519999</v>
      </c>
      <c r="I14" s="46"/>
    </row>
    <row r="15" spans="1:15" ht="18">
      <c r="A15" s="39" t="s">
        <v>4</v>
      </c>
      <c r="B15" s="39"/>
      <c r="C15" s="40"/>
      <c r="D15" s="40"/>
      <c r="E15" s="41"/>
      <c r="F15" s="41"/>
      <c r="G15" s="41"/>
      <c r="H15" s="41"/>
      <c r="I15" s="40"/>
      <c r="O15" s="1"/>
    </row>
    <row r="16" spans="1:15" ht="18">
      <c r="A16" s="40"/>
      <c r="B16" s="40" t="s">
        <v>118</v>
      </c>
      <c r="C16" s="40" t="s">
        <v>111</v>
      </c>
      <c r="D16" s="40">
        <v>12</v>
      </c>
      <c r="E16" s="41"/>
      <c r="F16" s="41"/>
      <c r="G16" s="41">
        <f>'Machinery and Equipement Cost'!C26*D16</f>
        <v>96</v>
      </c>
      <c r="H16" s="41">
        <f t="shared" si="0"/>
        <v>96</v>
      </c>
      <c r="I16" s="46"/>
    </row>
    <row r="17" spans="1:9" ht="18">
      <c r="A17" s="40"/>
      <c r="B17" s="40" t="s">
        <v>117</v>
      </c>
      <c r="C17" s="40" t="s">
        <v>89</v>
      </c>
      <c r="D17" s="40">
        <v>55</v>
      </c>
      <c r="E17" s="41"/>
      <c r="F17" s="41">
        <f>'Material Costs'!H21*D17</f>
        <v>16.733466184512</v>
      </c>
      <c r="G17" s="41"/>
      <c r="H17" s="41">
        <f t="shared" si="0"/>
        <v>16.733466184512</v>
      </c>
      <c r="I17" s="40"/>
    </row>
    <row r="18" spans="1:9" ht="18">
      <c r="A18" s="39" t="s">
        <v>28</v>
      </c>
      <c r="B18" s="39"/>
      <c r="C18" s="40" t="s">
        <v>121</v>
      </c>
      <c r="D18" s="40">
        <v>1</v>
      </c>
      <c r="E18" s="41">
        <f>'Machinery and Equipement Cost'!U13*D18</f>
        <v>8.3434031304030931</v>
      </c>
      <c r="F18" s="41"/>
      <c r="G18" s="41">
        <f>'Machinery and Equipement Cost'!V13*D18</f>
        <v>8.6715</v>
      </c>
      <c r="H18" s="41">
        <f t="shared" si="0"/>
        <v>17.014903130403091</v>
      </c>
      <c r="I18" s="46"/>
    </row>
    <row r="19" spans="1:9" ht="18">
      <c r="A19" s="40"/>
      <c r="B19" s="40" t="s">
        <v>116</v>
      </c>
      <c r="C19" s="40" t="s">
        <v>83</v>
      </c>
      <c r="D19" s="40">
        <v>1.5</v>
      </c>
      <c r="E19" s="41"/>
      <c r="F19" s="41">
        <f>'Material Costs'!H18*D19</f>
        <v>45.63672595776</v>
      </c>
      <c r="G19" s="41"/>
      <c r="H19" s="41">
        <f t="shared" si="0"/>
        <v>45.63672595776</v>
      </c>
      <c r="I19" s="46"/>
    </row>
    <row r="20" spans="1:9" ht="18">
      <c r="A20" s="39" t="s">
        <v>62</v>
      </c>
      <c r="B20" s="39"/>
      <c r="C20" s="40"/>
      <c r="D20" s="40"/>
      <c r="E20" s="41"/>
      <c r="F20" s="41"/>
      <c r="G20" s="41"/>
      <c r="H20" s="41"/>
      <c r="I20" s="40"/>
    </row>
    <row r="21" spans="1:9" ht="18">
      <c r="A21" s="40"/>
      <c r="B21" s="40" t="s">
        <v>67</v>
      </c>
      <c r="C21" s="40" t="s">
        <v>68</v>
      </c>
      <c r="D21" s="40">
        <v>6</v>
      </c>
      <c r="E21" s="41">
        <f>'Machinery and Equipement Cost'!U11*D21</f>
        <v>6.018196512716985</v>
      </c>
      <c r="F21" s="41"/>
      <c r="G21" s="41">
        <f>'Machinery and Equipement Cost'!V11*D21</f>
        <v>36.9</v>
      </c>
      <c r="H21" s="41">
        <f t="shared" si="0"/>
        <v>42.918196512716982</v>
      </c>
      <c r="I21" s="46"/>
    </row>
    <row r="22" spans="1:9" ht="18">
      <c r="A22" s="40"/>
      <c r="B22" s="40" t="s">
        <v>91</v>
      </c>
      <c r="C22" s="40" t="s">
        <v>86</v>
      </c>
      <c r="D22" s="40">
        <v>12</v>
      </c>
      <c r="E22" s="41"/>
      <c r="F22" s="41">
        <f>'Material Costs'!H23*D22</f>
        <v>52.156258237439999</v>
      </c>
      <c r="G22" s="41"/>
      <c r="H22" s="41">
        <f t="shared" si="0"/>
        <v>52.156258237439999</v>
      </c>
      <c r="I22" s="40"/>
    </row>
    <row r="23" spans="1:9" ht="18">
      <c r="A23" s="133" t="s">
        <v>67</v>
      </c>
      <c r="B23" s="133"/>
      <c r="C23" s="40" t="s">
        <v>68</v>
      </c>
      <c r="D23" s="40">
        <v>3</v>
      </c>
      <c r="E23" s="41">
        <f>'Machinery and Equipement Cost'!U11*D23</f>
        <v>3.0090982563584925</v>
      </c>
      <c r="F23" s="41"/>
      <c r="G23" s="41">
        <f>'Machinery and Equipement Cost'!V11*D23</f>
        <v>18.45</v>
      </c>
      <c r="H23" s="41">
        <f t="shared" si="0"/>
        <v>21.459098256358491</v>
      </c>
      <c r="I23" s="46"/>
    </row>
    <row r="24" spans="1:9" ht="18">
      <c r="A24" s="40"/>
      <c r="B24" s="40" t="s">
        <v>98</v>
      </c>
      <c r="C24" s="40" t="s">
        <v>94</v>
      </c>
      <c r="D24" s="40">
        <v>4</v>
      </c>
      <c r="E24" s="41"/>
      <c r="F24" s="41">
        <f>'Material Costs'!H28*D24</f>
        <v>40.334173036953601</v>
      </c>
      <c r="G24" s="41"/>
      <c r="H24" s="41">
        <f t="shared" si="0"/>
        <v>40.334173036953601</v>
      </c>
      <c r="I24" s="40"/>
    </row>
    <row r="25" spans="1:9" ht="18">
      <c r="A25" s="40"/>
      <c r="B25" s="40" t="s">
        <v>99</v>
      </c>
      <c r="C25" s="40" t="s">
        <v>100</v>
      </c>
      <c r="D25" s="40">
        <v>10</v>
      </c>
      <c r="E25" s="41"/>
      <c r="F25" s="41">
        <f>'Material Costs'!H29*D25</f>
        <v>14.668947629280002</v>
      </c>
      <c r="G25" s="41"/>
      <c r="H25" s="41">
        <f t="shared" si="0"/>
        <v>14.668947629280002</v>
      </c>
      <c r="I25" s="46"/>
    </row>
    <row r="26" spans="1:9" ht="18">
      <c r="A26" s="133" t="s">
        <v>127</v>
      </c>
      <c r="B26" s="133"/>
      <c r="C26" s="40"/>
      <c r="D26" s="40"/>
      <c r="E26" s="41"/>
      <c r="F26" s="41"/>
      <c r="G26" s="41"/>
      <c r="H26" s="41"/>
      <c r="I26" s="40"/>
    </row>
    <row r="27" spans="1:9" ht="18">
      <c r="A27" s="40"/>
      <c r="B27" s="40" t="s">
        <v>118</v>
      </c>
      <c r="C27" s="40" t="s">
        <v>111</v>
      </c>
      <c r="D27" s="40">
        <v>50</v>
      </c>
      <c r="E27" s="41"/>
      <c r="F27" s="41"/>
      <c r="G27" s="41">
        <f>'Machinery and Equipement Cost'!C26*D27</f>
        <v>400</v>
      </c>
      <c r="H27" s="41">
        <f t="shared" ref="H27:H30" si="1">E27+F27+G27</f>
        <v>400</v>
      </c>
      <c r="I27" s="46"/>
    </row>
    <row r="28" spans="1:9" ht="18">
      <c r="A28" s="40"/>
      <c r="B28" s="40" t="s">
        <v>101</v>
      </c>
      <c r="C28" s="40"/>
      <c r="D28" s="40">
        <v>151</v>
      </c>
      <c r="E28" s="41"/>
      <c r="F28" s="41">
        <f>'Material Costs'!H30*D28</f>
        <v>697.31830674743981</v>
      </c>
      <c r="G28" s="41"/>
      <c r="H28" s="41">
        <f t="shared" si="1"/>
        <v>697.31830674743981</v>
      </c>
      <c r="I28" s="46"/>
    </row>
    <row r="29" spans="1:9" ht="18">
      <c r="A29" s="39" t="s">
        <v>128</v>
      </c>
      <c r="B29" s="39"/>
      <c r="C29" s="40"/>
      <c r="D29" s="40"/>
      <c r="E29" s="41"/>
      <c r="F29" s="41"/>
      <c r="G29" s="41"/>
      <c r="H29" s="41"/>
      <c r="I29" s="40"/>
    </row>
    <row r="30" spans="1:9" ht="18">
      <c r="A30" s="40"/>
      <c r="B30" s="40" t="s">
        <v>33</v>
      </c>
      <c r="C30" s="40"/>
      <c r="D30" s="40">
        <v>1</v>
      </c>
      <c r="E30" s="41">
        <f>'Machinery and Equipement Cost'!U16*D30</f>
        <v>1.5867446232553457</v>
      </c>
      <c r="F30" s="41"/>
      <c r="G30" s="41">
        <f>'Machinery and Equipement Cost'!V16*D30</f>
        <v>10.25</v>
      </c>
      <c r="H30" s="41">
        <f t="shared" si="1"/>
        <v>11.836744623255345</v>
      </c>
      <c r="I30" s="46"/>
    </row>
    <row r="31" spans="1:9" ht="18">
      <c r="A31" s="40"/>
      <c r="B31" s="40"/>
      <c r="C31" s="40"/>
      <c r="D31" s="40"/>
      <c r="E31" s="41"/>
      <c r="F31" s="41"/>
      <c r="G31" s="41"/>
      <c r="H31" s="41"/>
      <c r="I31" s="40"/>
    </row>
    <row r="32" spans="1:9" ht="18">
      <c r="A32" s="48"/>
      <c r="B32" s="48"/>
      <c r="C32" s="48"/>
      <c r="D32" s="48"/>
      <c r="E32" s="49">
        <f>SUM(E7:E31)</f>
        <v>50.654565133820057</v>
      </c>
      <c r="F32" s="49">
        <f>SUM(F7:F31)</f>
        <v>958.12132970890548</v>
      </c>
      <c r="G32" s="49">
        <f>SUM(G7:G31)</f>
        <v>1128.4169999999999</v>
      </c>
      <c r="H32" s="50">
        <f>SUM(H7:H30)</f>
        <v>2137.1928948427258</v>
      </c>
      <c r="I32" s="46"/>
    </row>
  </sheetData>
  <mergeCells count="2">
    <mergeCell ref="A26:B26"/>
    <mergeCell ref="A23:B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topLeftCell="A25" workbookViewId="0">
      <selection activeCell="N10" sqref="N10"/>
    </sheetView>
  </sheetViews>
  <sheetFormatPr defaultRowHeight="14.4"/>
  <cols>
    <col min="1" max="1" width="3.6640625" customWidth="1"/>
    <col min="2" max="2" width="28.33203125" customWidth="1"/>
    <col min="3" max="3" width="10.5546875" customWidth="1"/>
    <col min="4" max="4" width="11.6640625" customWidth="1"/>
    <col min="5" max="5" width="19.5546875" customWidth="1"/>
    <col min="6" max="6" width="13.88671875" customWidth="1"/>
    <col min="7" max="7" width="11" customWidth="1"/>
    <col min="8" max="8" width="12.5546875" customWidth="1"/>
    <col min="9" max="9" width="11.33203125" customWidth="1"/>
  </cols>
  <sheetData>
    <row r="1" spans="1:9" ht="23.4">
      <c r="A1" s="82" t="s">
        <v>218</v>
      </c>
      <c r="B1" s="82"/>
      <c r="C1" s="82"/>
      <c r="D1" s="82"/>
      <c r="E1" s="82"/>
      <c r="F1" s="82"/>
      <c r="G1" s="82"/>
      <c r="H1" s="83"/>
      <c r="I1" s="83"/>
    </row>
    <row r="2" spans="1:9" ht="23.4">
      <c r="A2" s="82" t="s">
        <v>248</v>
      </c>
      <c r="B2" s="82"/>
      <c r="C2" s="82"/>
      <c r="D2" s="82"/>
      <c r="E2" s="82"/>
      <c r="F2" s="82"/>
      <c r="G2" s="82"/>
      <c r="H2" s="83"/>
      <c r="I2" s="83"/>
    </row>
    <row r="3" spans="1:9" ht="18">
      <c r="A3" s="40"/>
      <c r="B3" s="40"/>
      <c r="C3" s="40"/>
      <c r="D3" s="40"/>
      <c r="E3" s="40"/>
      <c r="F3" s="40"/>
      <c r="G3" s="40"/>
      <c r="H3" s="40"/>
      <c r="I3" s="40"/>
    </row>
    <row r="4" spans="1:9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0</v>
      </c>
      <c r="G4" s="55" t="s">
        <v>1</v>
      </c>
      <c r="H4" s="55" t="s">
        <v>2</v>
      </c>
      <c r="I4" s="56" t="s">
        <v>213</v>
      </c>
    </row>
    <row r="5" spans="1:9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9" ht="18.600000000000001" thickTop="1">
      <c r="A6" s="39" t="s">
        <v>124</v>
      </c>
      <c r="B6" s="39"/>
      <c r="C6" s="40"/>
      <c r="D6" s="40"/>
      <c r="E6" s="40"/>
      <c r="F6" s="40"/>
      <c r="G6" s="40"/>
      <c r="H6" s="40"/>
      <c r="I6" s="40"/>
    </row>
    <row r="7" spans="1:9" ht="18">
      <c r="A7" s="40"/>
      <c r="B7" s="40" t="s">
        <v>118</v>
      </c>
      <c r="C7" s="40" t="s">
        <v>111</v>
      </c>
      <c r="D7" s="40">
        <v>60</v>
      </c>
      <c r="E7" s="41"/>
      <c r="F7" s="41"/>
      <c r="G7" s="41">
        <f>'Machinery and Equipement Cost'!C26*D7</f>
        <v>480</v>
      </c>
      <c r="H7" s="41">
        <f>E7+F7+G7</f>
        <v>480</v>
      </c>
      <c r="I7" s="46"/>
    </row>
    <row r="8" spans="1:9" ht="18">
      <c r="A8" s="39" t="s">
        <v>119</v>
      </c>
      <c r="B8" s="39"/>
      <c r="C8" s="40"/>
      <c r="D8" s="40"/>
      <c r="E8" s="41"/>
      <c r="F8" s="41"/>
      <c r="G8" s="41"/>
      <c r="H8" s="41"/>
      <c r="I8" s="40"/>
    </row>
    <row r="9" spans="1:9" ht="18">
      <c r="A9" s="40"/>
      <c r="B9" s="40" t="s">
        <v>26</v>
      </c>
      <c r="C9" s="40" t="s">
        <v>120</v>
      </c>
      <c r="D9" s="40">
        <v>7</v>
      </c>
      <c r="E9" s="41">
        <f>'Machinery and Equipement Cost'!U12*D9</f>
        <v>27.808517062543945</v>
      </c>
      <c r="F9" s="41"/>
      <c r="G9" s="41">
        <f>'Machinery and Equipement Cost'!V12*D9</f>
        <v>41.040999999999997</v>
      </c>
      <c r="H9" s="41">
        <f t="shared" ref="H9:H28" si="0">E9+F9+G9</f>
        <v>68.849517062543939</v>
      </c>
      <c r="I9" s="46"/>
    </row>
    <row r="10" spans="1:9" ht="18">
      <c r="A10" s="39" t="s">
        <v>125</v>
      </c>
      <c r="B10" s="39"/>
      <c r="C10" s="40"/>
      <c r="D10" s="40"/>
      <c r="E10" s="41"/>
      <c r="F10" s="41"/>
      <c r="G10" s="41"/>
      <c r="H10" s="41"/>
      <c r="I10" s="40"/>
    </row>
    <row r="11" spans="1:9" ht="18">
      <c r="A11" s="40"/>
      <c r="B11" s="40" t="s">
        <v>118</v>
      </c>
      <c r="C11" s="40" t="s">
        <v>111</v>
      </c>
      <c r="D11" s="40">
        <v>2</v>
      </c>
      <c r="E11" s="41"/>
      <c r="F11" s="41"/>
      <c r="G11" s="41">
        <f>'Machinery and Equipement Cost'!C26*D11</f>
        <v>16</v>
      </c>
      <c r="H11" s="41">
        <f t="shared" si="0"/>
        <v>16</v>
      </c>
      <c r="I11" s="46"/>
    </row>
    <row r="12" spans="1:9" ht="18">
      <c r="A12" s="39" t="s">
        <v>32</v>
      </c>
      <c r="B12" s="39"/>
      <c r="C12" s="40" t="s">
        <v>24</v>
      </c>
      <c r="D12" s="40">
        <v>2</v>
      </c>
      <c r="E12" s="41">
        <f>'Machinery and Equipement Cost'!U15*D12</f>
        <v>3.8886055485422002</v>
      </c>
      <c r="F12" s="41"/>
      <c r="G12" s="41">
        <f>'Machinery and Equipement Cost'!V15*D12</f>
        <v>5.1044999999999998</v>
      </c>
      <c r="H12" s="41">
        <f t="shared" si="0"/>
        <v>8.9931055485422</v>
      </c>
      <c r="I12" s="40"/>
    </row>
    <row r="13" spans="1:9" ht="18">
      <c r="A13" s="40"/>
      <c r="B13" s="40" t="s">
        <v>118</v>
      </c>
      <c r="C13" s="40" t="s">
        <v>111</v>
      </c>
      <c r="D13" s="40">
        <v>2</v>
      </c>
      <c r="E13" s="41"/>
      <c r="F13" s="41"/>
      <c r="G13" s="41">
        <f>'Machinery and Equipement Cost'!C26*D13</f>
        <v>16</v>
      </c>
      <c r="H13" s="41">
        <f t="shared" si="0"/>
        <v>16</v>
      </c>
      <c r="I13" s="46"/>
    </row>
    <row r="14" spans="1:9" ht="18">
      <c r="A14" s="40"/>
      <c r="B14" s="40" t="s">
        <v>116</v>
      </c>
      <c r="C14" s="40" t="s">
        <v>83</v>
      </c>
      <c r="D14" s="40">
        <v>3</v>
      </c>
      <c r="E14" s="41"/>
      <c r="F14" s="41">
        <f>'Material Costs'!H18*D14</f>
        <v>91.273451915519999</v>
      </c>
      <c r="G14" s="41"/>
      <c r="H14" s="41">
        <f t="shared" si="0"/>
        <v>91.273451915519999</v>
      </c>
      <c r="I14" s="46"/>
    </row>
    <row r="15" spans="1:9" ht="18">
      <c r="A15" s="39" t="s">
        <v>4</v>
      </c>
      <c r="B15" s="39"/>
      <c r="C15" s="40"/>
      <c r="D15" s="40"/>
      <c r="E15" s="41"/>
      <c r="F15" s="41"/>
      <c r="G15" s="41"/>
      <c r="H15" s="41"/>
      <c r="I15" s="40"/>
    </row>
    <row r="16" spans="1:9" ht="18">
      <c r="A16" s="40"/>
      <c r="B16" s="40" t="s">
        <v>118</v>
      </c>
      <c r="C16" s="40" t="s">
        <v>111</v>
      </c>
      <c r="D16" s="40">
        <v>12</v>
      </c>
      <c r="E16" s="41"/>
      <c r="F16" s="41"/>
      <c r="G16" s="41">
        <f>'Machinery and Equipement Cost'!C26*D16</f>
        <v>96</v>
      </c>
      <c r="H16" s="41">
        <f t="shared" si="0"/>
        <v>96</v>
      </c>
      <c r="I16" s="46"/>
    </row>
    <row r="17" spans="1:9" ht="18">
      <c r="A17" s="40"/>
      <c r="B17" s="40" t="s">
        <v>117</v>
      </c>
      <c r="C17" s="40" t="s">
        <v>89</v>
      </c>
      <c r="D17" s="40">
        <v>61</v>
      </c>
      <c r="E17" s="41"/>
      <c r="F17" s="41">
        <f>'Material Costs'!H21*D17</f>
        <v>18.558935222822399</v>
      </c>
      <c r="G17" s="41"/>
      <c r="H17" s="41">
        <f t="shared" si="0"/>
        <v>18.558935222822399</v>
      </c>
      <c r="I17" s="46"/>
    </row>
    <row r="18" spans="1:9" ht="18">
      <c r="A18" s="133" t="s">
        <v>129</v>
      </c>
      <c r="B18" s="133"/>
      <c r="C18" s="40"/>
      <c r="D18" s="40"/>
      <c r="E18" s="41"/>
      <c r="F18" s="41"/>
      <c r="G18" s="41"/>
      <c r="H18" s="41"/>
      <c r="I18" s="40"/>
    </row>
    <row r="19" spans="1:9" ht="18">
      <c r="A19" s="40"/>
      <c r="B19" s="40" t="s">
        <v>22</v>
      </c>
      <c r="C19" s="40" t="s">
        <v>68</v>
      </c>
      <c r="D19" s="40">
        <v>2</v>
      </c>
      <c r="E19" s="41">
        <f>'Machinery and Equipement Cost'!U11*D19</f>
        <v>2.006065504238995</v>
      </c>
      <c r="F19" s="41"/>
      <c r="G19" s="41">
        <f>'Machinery and Equipement Cost'!V11*D19</f>
        <v>12.299999999999999</v>
      </c>
      <c r="H19" s="41">
        <f t="shared" si="0"/>
        <v>14.306065504238994</v>
      </c>
      <c r="I19" s="46"/>
    </row>
    <row r="20" spans="1:9" ht="18">
      <c r="A20" s="40"/>
      <c r="B20" s="40" t="s">
        <v>104</v>
      </c>
      <c r="C20" s="40" t="s">
        <v>86</v>
      </c>
      <c r="D20" s="40">
        <v>4</v>
      </c>
      <c r="E20" s="41"/>
      <c r="F20" s="41">
        <f>'Material Costs'!H32*D20</f>
        <v>15.1687784373888</v>
      </c>
      <c r="G20" s="41"/>
      <c r="H20" s="41">
        <f t="shared" si="0"/>
        <v>15.1687784373888</v>
      </c>
      <c r="I20" s="40"/>
    </row>
    <row r="21" spans="1:9" ht="18">
      <c r="A21" s="39" t="s">
        <v>28</v>
      </c>
      <c r="B21" s="39"/>
      <c r="C21" s="40" t="s">
        <v>121</v>
      </c>
      <c r="D21" s="40">
        <v>1</v>
      </c>
      <c r="E21" s="41">
        <f>'Machinery and Equipement Cost'!U13*D21</f>
        <v>8.3434031304030931</v>
      </c>
      <c r="F21" s="41"/>
      <c r="G21" s="41">
        <f>'Machinery and Equipement Cost'!V13*D21</f>
        <v>8.6715</v>
      </c>
      <c r="H21" s="41">
        <f t="shared" si="0"/>
        <v>17.014903130403091</v>
      </c>
      <c r="I21" s="46"/>
    </row>
    <row r="22" spans="1:9" ht="18">
      <c r="A22" s="40"/>
      <c r="B22" s="40" t="s">
        <v>116</v>
      </c>
      <c r="C22" s="40" t="s">
        <v>83</v>
      </c>
      <c r="D22" s="40">
        <v>2.5</v>
      </c>
      <c r="E22" s="41"/>
      <c r="F22" s="41">
        <f>'Material Costs'!H18*D22</f>
        <v>76.061209929599997</v>
      </c>
      <c r="G22" s="41"/>
      <c r="H22" s="41">
        <f t="shared" si="0"/>
        <v>76.061209929599997</v>
      </c>
      <c r="I22" s="46"/>
    </row>
    <row r="23" spans="1:9" ht="18">
      <c r="A23" s="39" t="s">
        <v>62</v>
      </c>
      <c r="B23" s="39"/>
      <c r="C23" s="40"/>
      <c r="D23" s="40"/>
      <c r="E23" s="41"/>
      <c r="F23" s="41"/>
      <c r="G23" s="41"/>
      <c r="H23" s="41"/>
      <c r="I23" s="40"/>
    </row>
    <row r="24" spans="1:9" ht="18">
      <c r="A24" s="40"/>
      <c r="B24" s="40" t="s">
        <v>22</v>
      </c>
      <c r="C24" s="40" t="s">
        <v>68</v>
      </c>
      <c r="D24" s="40">
        <v>6</v>
      </c>
      <c r="E24" s="41">
        <f>'Machinery and Equipement Cost'!U11*D24</f>
        <v>6.018196512716985</v>
      </c>
      <c r="F24" s="41"/>
      <c r="G24" s="41">
        <f>'Machinery and Equipement Cost'!V11*D24</f>
        <v>36.9</v>
      </c>
      <c r="H24" s="41">
        <f t="shared" si="0"/>
        <v>42.918196512716982</v>
      </c>
      <c r="I24" s="46"/>
    </row>
    <row r="25" spans="1:9" ht="18">
      <c r="A25" s="40"/>
      <c r="B25" s="40" t="s">
        <v>91</v>
      </c>
      <c r="C25" s="40" t="s">
        <v>86</v>
      </c>
      <c r="D25" s="40">
        <v>12</v>
      </c>
      <c r="E25" s="41"/>
      <c r="F25" s="41">
        <f>'Material Costs'!H23*D25</f>
        <v>52.156258237439999</v>
      </c>
      <c r="G25" s="41"/>
      <c r="H25" s="41">
        <f t="shared" si="0"/>
        <v>52.156258237439999</v>
      </c>
      <c r="I25" s="40"/>
    </row>
    <row r="26" spans="1:9" ht="18">
      <c r="A26" s="133" t="s">
        <v>22</v>
      </c>
      <c r="B26" s="133"/>
      <c r="C26" s="40" t="s">
        <v>68</v>
      </c>
      <c r="D26" s="40">
        <v>2</v>
      </c>
      <c r="E26" s="41">
        <f>'Machinery and Equipement Cost'!U11*D26</f>
        <v>2.006065504238995</v>
      </c>
      <c r="F26" s="41"/>
      <c r="G26" s="41">
        <f>'Machinery and Equipement Cost'!V11*D26</f>
        <v>12.299999999999999</v>
      </c>
      <c r="H26" s="41">
        <f t="shared" si="0"/>
        <v>14.306065504238994</v>
      </c>
      <c r="I26" s="46"/>
    </row>
    <row r="27" spans="1:9" ht="18">
      <c r="A27" s="40"/>
      <c r="B27" s="40" t="s">
        <v>98</v>
      </c>
      <c r="C27" s="40" t="s">
        <v>94</v>
      </c>
      <c r="D27" s="40">
        <v>4</v>
      </c>
      <c r="E27" s="41"/>
      <c r="F27" s="41">
        <f>'Material Costs'!H28*D27</f>
        <v>40.334173036953601</v>
      </c>
      <c r="G27" s="41"/>
      <c r="H27" s="41">
        <f t="shared" si="0"/>
        <v>40.334173036953601</v>
      </c>
      <c r="I27" s="40"/>
    </row>
    <row r="28" spans="1:9" ht="18">
      <c r="A28" s="40"/>
      <c r="B28" s="40" t="s">
        <v>99</v>
      </c>
      <c r="C28" s="40" t="s">
        <v>100</v>
      </c>
      <c r="D28" s="40">
        <v>10</v>
      </c>
      <c r="E28" s="41"/>
      <c r="F28" s="41">
        <f>'Material Costs'!H29*D28</f>
        <v>14.668947629280002</v>
      </c>
      <c r="G28" s="41"/>
      <c r="H28" s="41">
        <f t="shared" si="0"/>
        <v>14.668947629280002</v>
      </c>
      <c r="I28" s="46"/>
    </row>
    <row r="29" spans="1:9" ht="18">
      <c r="A29" s="39" t="s">
        <v>127</v>
      </c>
      <c r="B29" s="39"/>
      <c r="C29" s="40"/>
      <c r="D29" s="40"/>
      <c r="E29" s="41"/>
      <c r="F29" s="41"/>
      <c r="G29" s="41"/>
      <c r="H29" s="41"/>
      <c r="I29" s="40"/>
    </row>
    <row r="30" spans="1:9" ht="18">
      <c r="A30" s="40"/>
      <c r="B30" s="40" t="s">
        <v>118</v>
      </c>
      <c r="C30" s="40" t="s">
        <v>111</v>
      </c>
      <c r="D30" s="40">
        <v>150</v>
      </c>
      <c r="E30" s="41"/>
      <c r="F30" s="41"/>
      <c r="G30" s="41">
        <f>'Machinery and Equipement Cost'!C26*D30</f>
        <v>1200</v>
      </c>
      <c r="H30" s="41">
        <f t="shared" ref="H30:H33" si="1">E30+F30+G30</f>
        <v>1200</v>
      </c>
      <c r="I30" s="46"/>
    </row>
    <row r="31" spans="1:9" ht="18">
      <c r="A31" s="40"/>
      <c r="B31" s="40" t="s">
        <v>101</v>
      </c>
      <c r="C31" s="40"/>
      <c r="D31" s="40">
        <v>128</v>
      </c>
      <c r="E31" s="41"/>
      <c r="F31" s="41">
        <f>'Material Costs'!H30*D31</f>
        <v>591.10426002431984</v>
      </c>
      <c r="G31" s="41"/>
      <c r="H31" s="41">
        <f t="shared" si="1"/>
        <v>591.10426002431984</v>
      </c>
      <c r="I31" s="46"/>
    </row>
    <row r="32" spans="1:9" ht="18">
      <c r="A32" s="39" t="s">
        <v>128</v>
      </c>
      <c r="B32" s="39"/>
      <c r="C32" s="40"/>
      <c r="D32" s="40"/>
      <c r="E32" s="41"/>
      <c r="F32" s="41"/>
      <c r="G32" s="41"/>
      <c r="H32" s="41"/>
      <c r="I32" s="40"/>
    </row>
    <row r="33" spans="1:9" ht="18">
      <c r="A33" s="40"/>
      <c r="B33" s="40" t="s">
        <v>33</v>
      </c>
      <c r="C33" s="40"/>
      <c r="D33" s="40">
        <v>13</v>
      </c>
      <c r="E33" s="41">
        <f>'Machinery and Equipement Cost'!U16*D33</f>
        <v>20.627680102319495</v>
      </c>
      <c r="F33" s="41"/>
      <c r="G33" s="41">
        <f>'Machinery and Equipement Cost'!V16*D33</f>
        <v>133.25</v>
      </c>
      <c r="H33" s="41">
        <f t="shared" si="1"/>
        <v>153.87768010231949</v>
      </c>
      <c r="I33" s="46"/>
    </row>
    <row r="34" spans="1:9" ht="18">
      <c r="A34" s="40"/>
      <c r="B34" s="40"/>
      <c r="C34" s="40"/>
      <c r="D34" s="40"/>
      <c r="E34" s="41"/>
      <c r="F34" s="41"/>
      <c r="G34" s="41"/>
      <c r="H34" s="41"/>
      <c r="I34" s="40"/>
    </row>
    <row r="35" spans="1:9" ht="18">
      <c r="A35" s="48"/>
      <c r="B35" s="48"/>
      <c r="C35" s="48"/>
      <c r="D35" s="48"/>
      <c r="E35" s="49">
        <f>SUM(E7:E34)</f>
        <v>70.698533365003712</v>
      </c>
      <c r="F35" s="49">
        <f>SUM(F7:F34)</f>
        <v>899.32601443332464</v>
      </c>
      <c r="G35" s="49">
        <f>SUM(G7:G34)</f>
        <v>2057.567</v>
      </c>
      <c r="H35" s="50">
        <f>SUM(H7:H33)</f>
        <v>3027.5915477983285</v>
      </c>
      <c r="I35" s="46"/>
    </row>
  </sheetData>
  <mergeCells count="2">
    <mergeCell ref="A18:B18"/>
    <mergeCell ref="A26:B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K12" sqref="K12"/>
    </sheetView>
  </sheetViews>
  <sheetFormatPr defaultRowHeight="14.4"/>
  <cols>
    <col min="2" max="2" width="10.109375" customWidth="1"/>
    <col min="3" max="3" width="23.6640625" customWidth="1"/>
    <col min="4" max="5" width="10.5546875" customWidth="1"/>
    <col min="6" max="6" width="11.109375" customWidth="1"/>
    <col min="7" max="7" width="8.77734375" customWidth="1"/>
    <col min="8" max="8" width="4" customWidth="1"/>
    <col min="9" max="9" width="10.109375" bestFit="1" customWidth="1"/>
  </cols>
  <sheetData>
    <row r="1" spans="1:11" ht="23.4">
      <c r="A1" s="62"/>
      <c r="B1" s="85" t="s">
        <v>228</v>
      </c>
      <c r="C1" s="82"/>
      <c r="D1" s="82"/>
      <c r="E1" s="82"/>
      <c r="F1" s="82"/>
      <c r="G1" s="82"/>
      <c r="H1" s="82"/>
      <c r="I1" s="35"/>
      <c r="J1" s="39"/>
      <c r="K1" s="1"/>
    </row>
    <row r="2" spans="1:11" ht="23.4">
      <c r="A2" s="40"/>
      <c r="B2" s="82" t="s">
        <v>229</v>
      </c>
      <c r="C2" s="82"/>
      <c r="D2" s="82"/>
      <c r="E2" s="82"/>
      <c r="F2" s="82"/>
      <c r="G2" s="82"/>
      <c r="H2" s="82"/>
      <c r="I2" s="35"/>
      <c r="J2" s="39"/>
      <c r="K2" s="1"/>
    </row>
    <row r="3" spans="1:11" ht="23.4">
      <c r="A3" s="40"/>
      <c r="B3" s="82" t="s">
        <v>249</v>
      </c>
      <c r="C3" s="82"/>
      <c r="D3" s="82"/>
      <c r="E3" s="82"/>
      <c r="F3" s="82"/>
      <c r="G3" s="82"/>
      <c r="H3" s="82"/>
      <c r="I3" s="89"/>
      <c r="J3" s="40"/>
    </row>
    <row r="4" spans="1:11" ht="18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1" ht="18">
      <c r="A5" s="40"/>
      <c r="B5" s="54" t="s">
        <v>166</v>
      </c>
      <c r="C5" s="55" t="s">
        <v>69</v>
      </c>
      <c r="D5" s="55" t="s">
        <v>0</v>
      </c>
      <c r="E5" s="55" t="s">
        <v>1</v>
      </c>
      <c r="F5" s="55" t="s">
        <v>2</v>
      </c>
      <c r="G5" s="56" t="s">
        <v>213</v>
      </c>
      <c r="H5" s="40"/>
      <c r="I5" s="40"/>
      <c r="J5" s="40"/>
    </row>
    <row r="6" spans="1:11" ht="18.600000000000001" thickBot="1">
      <c r="A6" s="40"/>
      <c r="B6" s="57"/>
      <c r="C6" s="58" t="s">
        <v>70</v>
      </c>
      <c r="D6" s="58" t="s">
        <v>3</v>
      </c>
      <c r="E6" s="58" t="s">
        <v>3</v>
      </c>
      <c r="F6" s="58" t="s">
        <v>3</v>
      </c>
      <c r="G6" s="59" t="s">
        <v>3</v>
      </c>
      <c r="H6" s="40"/>
      <c r="I6" s="40"/>
      <c r="J6" s="40"/>
    </row>
    <row r="7" spans="1:11" ht="18.600000000000001" thickTop="1">
      <c r="A7" s="40"/>
      <c r="B7" s="52"/>
      <c r="C7" s="53"/>
      <c r="D7" s="53"/>
      <c r="E7" s="53"/>
      <c r="F7" s="53"/>
      <c r="G7" s="51"/>
      <c r="H7" s="40"/>
      <c r="I7" s="40"/>
      <c r="J7" s="40"/>
    </row>
    <row r="8" spans="1:11" ht="18">
      <c r="A8" s="40"/>
      <c r="B8" s="45" t="s">
        <v>190</v>
      </c>
      <c r="C8" s="63">
        <f>'YEAR 1'!E54</f>
        <v>79.895425896341379</v>
      </c>
      <c r="D8" s="63">
        <f>'YEAR 1'!F54</f>
        <v>2972.8875521091786</v>
      </c>
      <c r="E8" s="63">
        <f>'YEAR 1'!G54</f>
        <v>2007.9255000000001</v>
      </c>
      <c r="F8" s="63">
        <f>'YEAR 1'!H54</f>
        <v>5060.7084780055202</v>
      </c>
      <c r="G8" s="46"/>
      <c r="H8" s="40"/>
      <c r="I8" s="40"/>
      <c r="J8" s="40"/>
    </row>
    <row r="9" spans="1:11" ht="18">
      <c r="A9" s="40"/>
      <c r="B9" s="45" t="s">
        <v>191</v>
      </c>
      <c r="C9" s="63">
        <f>'YEAR 2'!E31</f>
        <v>48.545117103294338</v>
      </c>
      <c r="D9" s="63">
        <f>'YEAR 2'!F31</f>
        <v>301.34077925973935</v>
      </c>
      <c r="E9" s="63">
        <f>'YEAR 2'!G31</f>
        <v>632.49732934484905</v>
      </c>
      <c r="F9" s="63">
        <f>'YEAR 2'!H31</f>
        <v>982.38322570788273</v>
      </c>
      <c r="G9" s="40"/>
      <c r="H9" s="40"/>
      <c r="I9" s="40"/>
      <c r="J9" s="40"/>
    </row>
    <row r="10" spans="1:11" ht="18">
      <c r="A10" s="40"/>
      <c r="B10" s="45" t="s">
        <v>192</v>
      </c>
      <c r="C10" s="63">
        <f>'YEAR 3'!E32</f>
        <v>50.654565133820057</v>
      </c>
      <c r="D10" s="63">
        <f>'YEAR 3'!F32</f>
        <v>958.12132970890548</v>
      </c>
      <c r="E10" s="63">
        <f>'YEAR 3'!G32</f>
        <v>1128.4169999999999</v>
      </c>
      <c r="F10" s="63">
        <f>'YEAR 3'!H32</f>
        <v>2137.1928948427258</v>
      </c>
      <c r="G10" s="46"/>
      <c r="H10" s="40"/>
      <c r="I10" s="40"/>
      <c r="J10" s="40"/>
    </row>
    <row r="11" spans="1:11" ht="18.600000000000001" thickBot="1">
      <c r="A11" s="40"/>
      <c r="B11" s="64" t="s">
        <v>193</v>
      </c>
      <c r="C11" s="65">
        <f>'YEAR 4'!E35</f>
        <v>70.698533365003712</v>
      </c>
      <c r="D11" s="65">
        <f>'YEAR 4'!F35</f>
        <v>899.32601443332464</v>
      </c>
      <c r="E11" s="65">
        <f>'YEAR 4'!G35</f>
        <v>2057.567</v>
      </c>
      <c r="F11" s="65">
        <f>'YEAR 4'!H35</f>
        <v>3027.5915477983285</v>
      </c>
      <c r="G11" s="46"/>
      <c r="H11" s="40"/>
      <c r="I11" s="40"/>
      <c r="J11" s="40"/>
    </row>
    <row r="12" spans="1:11" ht="18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1" ht="18">
      <c r="B13" s="40" t="s">
        <v>238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6">
      <c r="A22" s="5"/>
      <c r="B22" s="9"/>
      <c r="C22" s="61"/>
      <c r="D22" s="61"/>
      <c r="E22" s="61"/>
      <c r="F22" s="61"/>
      <c r="G22" s="5"/>
      <c r="H22" s="5"/>
      <c r="I22" s="5"/>
      <c r="J22" s="5"/>
      <c r="K22" s="5"/>
      <c r="L22" s="5"/>
    </row>
    <row r="23" spans="1:12">
      <c r="A23" s="5"/>
      <c r="B23" s="5"/>
      <c r="C23" s="26"/>
      <c r="D23" s="26"/>
      <c r="E23" s="26"/>
      <c r="F23" s="26"/>
      <c r="G23" s="26"/>
      <c r="H23" s="26"/>
      <c r="I23" s="26"/>
      <c r="J23" s="5"/>
      <c r="K23" s="5"/>
      <c r="L23" s="5"/>
    </row>
    <row r="24" spans="1:12">
      <c r="A24" s="5"/>
      <c r="B24" s="5"/>
      <c r="C24" s="26"/>
      <c r="D24" s="26"/>
      <c r="E24" s="26"/>
      <c r="F24" s="26"/>
      <c r="G24" s="26"/>
      <c r="H24" s="26"/>
      <c r="I24" s="26"/>
      <c r="J24" s="5"/>
      <c r="K24" s="5"/>
      <c r="L24" s="5"/>
    </row>
    <row r="25" spans="1:12">
      <c r="A25" s="5"/>
      <c r="B25" s="5"/>
      <c r="C25" s="26"/>
      <c r="D25" s="26"/>
      <c r="E25" s="26"/>
      <c r="F25" s="26"/>
      <c r="G25" s="26"/>
      <c r="H25" s="26"/>
      <c r="I25" s="26"/>
      <c r="J25" s="5"/>
      <c r="K25" s="5"/>
      <c r="L25" s="5"/>
    </row>
    <row r="26" spans="1:12">
      <c r="A26" s="5"/>
      <c r="B26" s="5"/>
      <c r="C26" s="26"/>
      <c r="D26" s="26"/>
      <c r="E26" s="26"/>
      <c r="F26" s="26"/>
      <c r="G26" s="26"/>
      <c r="H26" s="26"/>
      <c r="I26" s="26"/>
      <c r="J26" s="5"/>
      <c r="K26" s="5"/>
      <c r="L2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51"/>
  <sheetViews>
    <sheetView topLeftCell="N1" workbookViewId="0">
      <selection activeCell="P21" sqref="P21"/>
    </sheetView>
  </sheetViews>
  <sheetFormatPr defaultRowHeight="14.4"/>
  <cols>
    <col min="1" max="1" width="26.6640625" customWidth="1"/>
    <col min="2" max="2" width="10.88671875" customWidth="1"/>
    <col min="3" max="3" width="17.44140625" customWidth="1"/>
    <col min="4" max="4" width="13.88671875" customWidth="1"/>
    <col min="5" max="5" width="13.33203125" customWidth="1"/>
    <col min="6" max="6" width="10" customWidth="1"/>
    <col min="7" max="7" width="11.109375" customWidth="1"/>
    <col min="8" max="8" width="19.5546875" customWidth="1"/>
    <col min="9" max="9" width="13.88671875" customWidth="1"/>
    <col min="10" max="10" width="15.109375" customWidth="1"/>
    <col min="11" max="11" width="21.109375" customWidth="1"/>
    <col min="12" max="12" width="15.109375" customWidth="1"/>
    <col min="13" max="13" width="18" customWidth="1"/>
    <col min="14" max="14" width="17.6640625" customWidth="1"/>
    <col min="15" max="15" width="9.5546875" customWidth="1"/>
    <col min="16" max="16" width="9.6640625" customWidth="1"/>
    <col min="17" max="17" width="10.77734375" customWidth="1"/>
    <col min="18" max="18" width="11.33203125" customWidth="1"/>
    <col min="19" max="19" width="12.33203125" customWidth="1"/>
    <col min="20" max="20" width="11.6640625" customWidth="1"/>
    <col min="21" max="21" width="12" customWidth="1"/>
    <col min="22" max="22" width="10.6640625" customWidth="1"/>
  </cols>
  <sheetData>
    <row r="2" spans="1:23" ht="23.4">
      <c r="A2" s="82" t="s">
        <v>230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>
        <v>2017</v>
      </c>
      <c r="O2" s="40"/>
      <c r="P2" s="40"/>
      <c r="Q2" s="40"/>
      <c r="R2" s="40"/>
      <c r="S2" s="40"/>
      <c r="T2" s="40"/>
      <c r="U2" s="40"/>
      <c r="V2" s="40"/>
      <c r="W2" s="40"/>
    </row>
    <row r="3" spans="1:23" ht="18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8">
      <c r="A4" s="68" t="s">
        <v>8</v>
      </c>
      <c r="B4" s="68" t="s">
        <v>196</v>
      </c>
      <c r="C4" s="68" t="s">
        <v>9</v>
      </c>
      <c r="D4" s="68" t="s">
        <v>10</v>
      </c>
      <c r="E4" s="68" t="s">
        <v>12</v>
      </c>
      <c r="F4" s="68" t="s">
        <v>13</v>
      </c>
      <c r="G4" s="68" t="s">
        <v>14</v>
      </c>
      <c r="H4" s="68" t="s">
        <v>48</v>
      </c>
      <c r="I4" s="68" t="s">
        <v>38</v>
      </c>
      <c r="J4" s="68" t="s">
        <v>2</v>
      </c>
      <c r="K4" s="68" t="s">
        <v>155</v>
      </c>
      <c r="L4" s="68" t="s">
        <v>47</v>
      </c>
      <c r="M4" s="68" t="s">
        <v>156</v>
      </c>
      <c r="N4" s="68" t="s">
        <v>161</v>
      </c>
      <c r="O4" s="68" t="s">
        <v>162</v>
      </c>
      <c r="P4" s="68" t="s">
        <v>163</v>
      </c>
      <c r="Q4" s="68" t="s">
        <v>2</v>
      </c>
      <c r="R4" s="68" t="s">
        <v>43</v>
      </c>
      <c r="S4" s="68" t="s">
        <v>160</v>
      </c>
      <c r="T4" s="68" t="s">
        <v>60</v>
      </c>
      <c r="U4" s="68" t="s">
        <v>164</v>
      </c>
      <c r="V4" s="68" t="s">
        <v>1</v>
      </c>
      <c r="W4" s="40"/>
    </row>
    <row r="5" spans="1:23" ht="18.600000000000001" thickBot="1">
      <c r="A5" s="69"/>
      <c r="B5" s="69" t="s">
        <v>197</v>
      </c>
      <c r="C5" s="69"/>
      <c r="D5" s="69" t="s">
        <v>11</v>
      </c>
      <c r="E5" s="69" t="s">
        <v>153</v>
      </c>
      <c r="F5" s="69" t="s">
        <v>14</v>
      </c>
      <c r="G5" s="69" t="s">
        <v>152</v>
      </c>
      <c r="H5" s="69" t="s">
        <v>154</v>
      </c>
      <c r="I5" s="69" t="s">
        <v>39</v>
      </c>
      <c r="J5" s="69" t="s">
        <v>42</v>
      </c>
      <c r="K5" s="69" t="s">
        <v>40</v>
      </c>
      <c r="L5" s="69" t="s">
        <v>46</v>
      </c>
      <c r="M5" s="69" t="s">
        <v>157</v>
      </c>
      <c r="N5" s="69" t="s">
        <v>45</v>
      </c>
      <c r="O5" s="69" t="s">
        <v>158</v>
      </c>
      <c r="P5" s="69" t="s">
        <v>44</v>
      </c>
      <c r="Q5" s="69" t="s">
        <v>43</v>
      </c>
      <c r="R5" s="69" t="s">
        <v>158</v>
      </c>
      <c r="S5" s="69" t="s">
        <v>159</v>
      </c>
      <c r="T5" s="69" t="s">
        <v>61</v>
      </c>
      <c r="U5" s="69" t="s">
        <v>61</v>
      </c>
      <c r="V5" s="69" t="s">
        <v>61</v>
      </c>
      <c r="W5" s="40"/>
    </row>
    <row r="6" spans="1:23" ht="18.600000000000001" thickTop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8">
      <c r="A7" s="40" t="s">
        <v>25</v>
      </c>
      <c r="B7" s="70" t="s">
        <v>16</v>
      </c>
      <c r="C7" s="70" t="s">
        <v>35</v>
      </c>
      <c r="D7" s="71">
        <v>585.9</v>
      </c>
      <c r="E7" s="71">
        <v>54</v>
      </c>
      <c r="F7" s="71">
        <v>23</v>
      </c>
      <c r="G7" s="71">
        <f>E7*F7</f>
        <v>1242</v>
      </c>
      <c r="H7" s="71">
        <v>1.0780000000000001</v>
      </c>
      <c r="I7" s="71">
        <f>0.23*D7</f>
        <v>134.75700000000001</v>
      </c>
      <c r="J7" s="71">
        <f>D7-I7</f>
        <v>451.14299999999997</v>
      </c>
      <c r="K7" s="71">
        <f>$B$19/(1-(1+$B$19)^-F7)</f>
        <v>7.4136821920174872E-2</v>
      </c>
      <c r="L7" s="71">
        <f>K7*J7 + I7*$B$19</f>
        <v>40.184158251533454</v>
      </c>
      <c r="M7" s="71">
        <f>0.01*D7</f>
        <v>5.859</v>
      </c>
      <c r="N7" s="71">
        <f>L7+M7</f>
        <v>46.043158251533455</v>
      </c>
      <c r="O7" s="71">
        <f t="shared" ref="O7:O17" si="0">N7/(G7)</f>
        <v>3.7071786031830478E-2</v>
      </c>
      <c r="P7" s="71">
        <v>0.5</v>
      </c>
      <c r="Q7" s="71">
        <f t="shared" ref="Q7:Q17" si="1">D7*P7</f>
        <v>292.95</v>
      </c>
      <c r="R7" s="71">
        <f t="shared" ref="R7:R17" si="2">Q7/G7</f>
        <v>0.2358695652173913</v>
      </c>
      <c r="S7" s="71">
        <f t="shared" ref="S7:S17" si="3">(R7+O7)*H7</f>
        <v>0.29423077664666114</v>
      </c>
      <c r="T7" s="71">
        <v>9.24</v>
      </c>
      <c r="U7" s="71">
        <f>S7+T7</f>
        <v>9.5342307766466607</v>
      </c>
      <c r="V7" s="71">
        <f t="shared" ref="V7:V17" si="4">10.25*H7</f>
        <v>11.0495</v>
      </c>
      <c r="W7" s="40"/>
    </row>
    <row r="8" spans="1:23" ht="18">
      <c r="A8" s="40" t="s">
        <v>17</v>
      </c>
      <c r="B8" s="70" t="s">
        <v>21</v>
      </c>
      <c r="C8" s="70" t="s">
        <v>35</v>
      </c>
      <c r="D8" s="71">
        <v>7836.15</v>
      </c>
      <c r="E8" s="71">
        <v>150</v>
      </c>
      <c r="F8" s="71">
        <v>12</v>
      </c>
      <c r="G8" s="71">
        <f t="shared" ref="G8:G17" si="5">E8*F8</f>
        <v>1800</v>
      </c>
      <c r="H8" s="71">
        <v>0.22</v>
      </c>
      <c r="I8" s="71">
        <f t="shared" ref="I8:I16" si="6">0.23*D8</f>
        <v>1802.3145</v>
      </c>
      <c r="J8" s="71">
        <f t="shared" ref="J8:J17" si="7">D8-I8</f>
        <v>6033.8354999999992</v>
      </c>
      <c r="K8" s="71">
        <f t="shared" ref="K8:K17" si="8">$B$19/(1-(1+$B$19)^-F8)</f>
        <v>0.11282541002081539</v>
      </c>
      <c r="L8" s="71">
        <f t="shared" ref="L8:L17" si="9">K8*J8 + I8*$B$19</f>
        <v>770.88568928565155</v>
      </c>
      <c r="M8" s="71">
        <f t="shared" ref="M8:M17" si="10">0.01*D8</f>
        <v>78.361499999999992</v>
      </c>
      <c r="N8" s="71">
        <f t="shared" ref="N8:N17" si="11">L8+M8</f>
        <v>849.24718928565153</v>
      </c>
      <c r="O8" s="71">
        <f t="shared" si="0"/>
        <v>0.47180399404758416</v>
      </c>
      <c r="P8" s="71">
        <v>0.5</v>
      </c>
      <c r="Q8" s="71">
        <f t="shared" si="1"/>
        <v>3918.0749999999998</v>
      </c>
      <c r="R8" s="71">
        <f t="shared" si="2"/>
        <v>2.176708333333333</v>
      </c>
      <c r="S8" s="71">
        <f t="shared" si="3"/>
        <v>0.58267271202380178</v>
      </c>
      <c r="T8" s="71">
        <v>1.9</v>
      </c>
      <c r="U8" s="71">
        <f t="shared" ref="U8:U17" si="12">S8+T8</f>
        <v>2.4826727120238017</v>
      </c>
      <c r="V8" s="71">
        <f t="shared" si="4"/>
        <v>2.2549999999999999</v>
      </c>
      <c r="W8" s="40"/>
    </row>
    <row r="9" spans="1:23" ht="18">
      <c r="A9" s="40" t="s">
        <v>18</v>
      </c>
      <c r="B9" s="70" t="s">
        <v>20</v>
      </c>
      <c r="C9" s="70" t="s">
        <v>15</v>
      </c>
      <c r="D9" s="71">
        <v>2415</v>
      </c>
      <c r="E9" s="71">
        <v>180</v>
      </c>
      <c r="F9" s="71">
        <v>10</v>
      </c>
      <c r="G9" s="71">
        <f t="shared" si="5"/>
        <v>1800</v>
      </c>
      <c r="H9" s="71">
        <v>0.33</v>
      </c>
      <c r="I9" s="71">
        <f t="shared" si="6"/>
        <v>555.45000000000005</v>
      </c>
      <c r="J9" s="71">
        <f t="shared" si="7"/>
        <v>1859.55</v>
      </c>
      <c r="K9" s="71">
        <f t="shared" si="8"/>
        <v>0.12950457496545667</v>
      </c>
      <c r="L9" s="71">
        <f t="shared" si="9"/>
        <v>268.59273237701495</v>
      </c>
      <c r="M9" s="71">
        <f t="shared" si="10"/>
        <v>24.150000000000002</v>
      </c>
      <c r="N9" s="71">
        <f t="shared" si="11"/>
        <v>292.74273237701493</v>
      </c>
      <c r="O9" s="71">
        <f t="shared" si="0"/>
        <v>0.16263485132056385</v>
      </c>
      <c r="P9" s="71">
        <v>0.61</v>
      </c>
      <c r="Q9" s="71">
        <f t="shared" si="1"/>
        <v>1473.1499999999999</v>
      </c>
      <c r="R9" s="71">
        <f t="shared" si="2"/>
        <v>0.81841666666666657</v>
      </c>
      <c r="S9" s="71">
        <f t="shared" si="3"/>
        <v>0.32374700093578607</v>
      </c>
      <c r="T9" s="71">
        <v>1.9</v>
      </c>
      <c r="U9" s="71">
        <f t="shared" si="12"/>
        <v>2.223747000935786</v>
      </c>
      <c r="V9" s="71">
        <f t="shared" si="4"/>
        <v>3.3825000000000003</v>
      </c>
      <c r="W9" s="40"/>
    </row>
    <row r="10" spans="1:23" ht="18">
      <c r="A10" s="40" t="s">
        <v>19</v>
      </c>
      <c r="B10" s="70" t="s">
        <v>20</v>
      </c>
      <c r="C10" s="70" t="s">
        <v>36</v>
      </c>
      <c r="D10" s="71">
        <v>1155</v>
      </c>
      <c r="E10" s="71">
        <v>200</v>
      </c>
      <c r="F10" s="71">
        <v>15</v>
      </c>
      <c r="G10" s="71">
        <f t="shared" si="5"/>
        <v>3000</v>
      </c>
      <c r="H10" s="71">
        <v>0.6</v>
      </c>
      <c r="I10" s="71">
        <f t="shared" si="6"/>
        <v>265.65000000000003</v>
      </c>
      <c r="J10" s="71">
        <f t="shared" si="7"/>
        <v>889.34999999999991</v>
      </c>
      <c r="K10" s="71">
        <f t="shared" si="8"/>
        <v>9.6342287609244376E-2</v>
      </c>
      <c r="L10" s="71">
        <f t="shared" si="9"/>
        <v>98.964513485281472</v>
      </c>
      <c r="M10" s="71">
        <f t="shared" si="10"/>
        <v>11.55</v>
      </c>
      <c r="N10" s="71">
        <f t="shared" si="11"/>
        <v>110.51451348528147</v>
      </c>
      <c r="O10" s="71">
        <f t="shared" si="0"/>
        <v>3.683817116176049E-2</v>
      </c>
      <c r="P10" s="71">
        <v>0.4</v>
      </c>
      <c r="Q10" s="71">
        <f t="shared" si="1"/>
        <v>462</v>
      </c>
      <c r="R10" s="71">
        <f t="shared" si="2"/>
        <v>0.154</v>
      </c>
      <c r="S10" s="71">
        <f t="shared" si="3"/>
        <v>0.11450290269705629</v>
      </c>
      <c r="T10" s="71">
        <v>3.4</v>
      </c>
      <c r="U10" s="71">
        <f t="shared" si="12"/>
        <v>3.514502902697056</v>
      </c>
      <c r="V10" s="71">
        <f t="shared" si="4"/>
        <v>6.1499999999999995</v>
      </c>
      <c r="W10" s="40"/>
    </row>
    <row r="11" spans="1:23" ht="18">
      <c r="A11" s="40" t="s">
        <v>22</v>
      </c>
      <c r="B11" s="70" t="s">
        <v>23</v>
      </c>
      <c r="C11" s="70" t="s">
        <v>24</v>
      </c>
      <c r="D11" s="71">
        <v>626.85</v>
      </c>
      <c r="E11" s="71">
        <v>200</v>
      </c>
      <c r="F11" s="71">
        <v>5</v>
      </c>
      <c r="G11" s="71">
        <f t="shared" si="5"/>
        <v>1000</v>
      </c>
      <c r="H11" s="71">
        <v>0.6</v>
      </c>
      <c r="I11" s="71">
        <f t="shared" si="6"/>
        <v>144.1755</v>
      </c>
      <c r="J11" s="71">
        <f t="shared" si="7"/>
        <v>482.67450000000002</v>
      </c>
      <c r="K11" s="71">
        <f t="shared" si="8"/>
        <v>0.2309747981282681</v>
      </c>
      <c r="L11" s="71">
        <f t="shared" si="9"/>
        <v>118.69442019916275</v>
      </c>
      <c r="M11" s="71">
        <f t="shared" si="10"/>
        <v>6.2685000000000004</v>
      </c>
      <c r="N11" s="71">
        <f t="shared" si="11"/>
        <v>124.96292019916275</v>
      </c>
      <c r="O11" s="71">
        <f t="shared" si="0"/>
        <v>0.12496292019916275</v>
      </c>
      <c r="P11" s="71">
        <v>0.5</v>
      </c>
      <c r="Q11" s="71">
        <f t="shared" si="1"/>
        <v>313.42500000000001</v>
      </c>
      <c r="R11" s="71">
        <f t="shared" si="2"/>
        <v>0.31342500000000001</v>
      </c>
      <c r="S11" s="71">
        <f t="shared" si="3"/>
        <v>0.26303275211949761</v>
      </c>
      <c r="T11" s="71">
        <v>0.74</v>
      </c>
      <c r="U11" s="71">
        <f t="shared" si="12"/>
        <v>1.0030327521194975</v>
      </c>
      <c r="V11" s="71">
        <f t="shared" si="4"/>
        <v>6.1499999999999995</v>
      </c>
      <c r="W11" s="40"/>
    </row>
    <row r="12" spans="1:23" ht="18">
      <c r="A12" s="40" t="s">
        <v>26</v>
      </c>
      <c r="B12" s="70" t="s">
        <v>27</v>
      </c>
      <c r="C12" s="70" t="s">
        <v>15</v>
      </c>
      <c r="D12" s="71">
        <v>3658.2</v>
      </c>
      <c r="E12" s="71">
        <v>185</v>
      </c>
      <c r="F12" s="71">
        <v>10</v>
      </c>
      <c r="G12" s="71">
        <f t="shared" si="5"/>
        <v>1850</v>
      </c>
      <c r="H12" s="71">
        <v>0.57199999999999995</v>
      </c>
      <c r="I12" s="71">
        <f t="shared" si="6"/>
        <v>841.38599999999997</v>
      </c>
      <c r="J12" s="71">
        <f t="shared" si="7"/>
        <v>2816.8139999999999</v>
      </c>
      <c r="K12" s="71">
        <f t="shared" si="8"/>
        <v>0.12950457496545667</v>
      </c>
      <c r="L12" s="71">
        <f t="shared" si="9"/>
        <v>406.85959982674785</v>
      </c>
      <c r="M12" s="71">
        <f t="shared" si="10"/>
        <v>36.582000000000001</v>
      </c>
      <c r="N12" s="71">
        <f t="shared" si="11"/>
        <v>443.44159982674785</v>
      </c>
      <c r="O12" s="71">
        <f t="shared" si="0"/>
        <v>0.23969816206851235</v>
      </c>
      <c r="P12" s="71">
        <v>0.5</v>
      </c>
      <c r="Q12" s="71">
        <f t="shared" si="1"/>
        <v>1829.1</v>
      </c>
      <c r="R12" s="71">
        <f t="shared" si="2"/>
        <v>0.98870270270270266</v>
      </c>
      <c r="S12" s="71">
        <f t="shared" si="3"/>
        <v>0.70264529464913494</v>
      </c>
      <c r="T12" s="71">
        <v>3.27</v>
      </c>
      <c r="U12" s="71">
        <f t="shared" si="12"/>
        <v>3.9726452946491349</v>
      </c>
      <c r="V12" s="71">
        <f t="shared" si="4"/>
        <v>5.8629999999999995</v>
      </c>
      <c r="W12" s="40"/>
    </row>
    <row r="13" spans="1:23" ht="18">
      <c r="A13" s="40" t="s">
        <v>28</v>
      </c>
      <c r="B13" s="70" t="s">
        <v>29</v>
      </c>
      <c r="C13" s="70" t="s">
        <v>35</v>
      </c>
      <c r="D13" s="71">
        <v>3672.9</v>
      </c>
      <c r="E13" s="71">
        <v>185</v>
      </c>
      <c r="F13" s="71">
        <v>10</v>
      </c>
      <c r="G13" s="71">
        <f t="shared" si="5"/>
        <v>1850</v>
      </c>
      <c r="H13" s="71">
        <v>0.84599999999999997</v>
      </c>
      <c r="I13" s="71">
        <f t="shared" si="6"/>
        <v>844.76700000000005</v>
      </c>
      <c r="J13" s="71">
        <f t="shared" si="7"/>
        <v>2828.1329999999998</v>
      </c>
      <c r="K13" s="71">
        <f t="shared" si="8"/>
        <v>0.12950457496545667</v>
      </c>
      <c r="L13" s="71">
        <f t="shared" si="9"/>
        <v>408.4945121107819</v>
      </c>
      <c r="M13" s="71">
        <f t="shared" si="10"/>
        <v>36.728999999999999</v>
      </c>
      <c r="N13" s="71">
        <f t="shared" si="11"/>
        <v>445.22351211078188</v>
      </c>
      <c r="O13" s="71">
        <f t="shared" si="0"/>
        <v>0.24066135789771995</v>
      </c>
      <c r="P13" s="71">
        <v>0.5</v>
      </c>
      <c r="Q13" s="71">
        <f t="shared" si="1"/>
        <v>1836.45</v>
      </c>
      <c r="R13" s="71">
        <f t="shared" si="2"/>
        <v>0.99267567567567572</v>
      </c>
      <c r="S13" s="71">
        <f t="shared" si="3"/>
        <v>1.0434031304030928</v>
      </c>
      <c r="T13" s="71">
        <v>7.3</v>
      </c>
      <c r="U13" s="71">
        <f t="shared" si="12"/>
        <v>8.3434031304030931</v>
      </c>
      <c r="V13" s="71">
        <f t="shared" si="4"/>
        <v>8.6715</v>
      </c>
      <c r="W13" s="40"/>
    </row>
    <row r="14" spans="1:23" ht="18">
      <c r="A14" s="40" t="s">
        <v>30</v>
      </c>
      <c r="B14" s="70" t="s">
        <v>31</v>
      </c>
      <c r="C14" s="70" t="s">
        <v>36</v>
      </c>
      <c r="D14" s="71">
        <v>5250</v>
      </c>
      <c r="E14" s="71">
        <v>200</v>
      </c>
      <c r="F14" s="71">
        <v>8</v>
      </c>
      <c r="G14" s="71">
        <f t="shared" si="5"/>
        <v>1600</v>
      </c>
      <c r="H14" s="71">
        <v>6.2E-2</v>
      </c>
      <c r="I14" s="71">
        <f t="shared" si="6"/>
        <v>1207.5</v>
      </c>
      <c r="J14" s="71">
        <f t="shared" si="7"/>
        <v>4042.5</v>
      </c>
      <c r="K14" s="71">
        <f t="shared" si="8"/>
        <v>0.15472181362768117</v>
      </c>
      <c r="L14" s="71">
        <f t="shared" si="9"/>
        <v>685.83793158990113</v>
      </c>
      <c r="M14" s="71">
        <f t="shared" si="10"/>
        <v>52.5</v>
      </c>
      <c r="N14" s="71">
        <f t="shared" si="11"/>
        <v>738.33793158990113</v>
      </c>
      <c r="O14" s="71">
        <f t="shared" si="0"/>
        <v>0.46146120724368822</v>
      </c>
      <c r="P14" s="71">
        <v>0.5</v>
      </c>
      <c r="Q14" s="71">
        <f t="shared" si="1"/>
        <v>2625</v>
      </c>
      <c r="R14" s="71">
        <f t="shared" si="2"/>
        <v>1.640625</v>
      </c>
      <c r="S14" s="71">
        <f t="shared" si="3"/>
        <v>0.13032934484910869</v>
      </c>
      <c r="T14" s="71">
        <v>0.35</v>
      </c>
      <c r="U14" s="71">
        <f t="shared" si="12"/>
        <v>0.48032934484910866</v>
      </c>
      <c r="V14" s="71">
        <f t="shared" si="4"/>
        <v>0.63549999999999995</v>
      </c>
      <c r="W14" s="40"/>
    </row>
    <row r="15" spans="1:23" ht="18">
      <c r="A15" s="40" t="s">
        <v>32</v>
      </c>
      <c r="B15" s="70" t="s">
        <v>24</v>
      </c>
      <c r="C15" s="70"/>
      <c r="D15" s="71">
        <v>13125</v>
      </c>
      <c r="E15" s="71">
        <v>200</v>
      </c>
      <c r="F15" s="71">
        <v>13</v>
      </c>
      <c r="G15" s="71">
        <f t="shared" si="5"/>
        <v>2600</v>
      </c>
      <c r="H15" s="71">
        <v>0.249</v>
      </c>
      <c r="I15" s="71">
        <f t="shared" si="6"/>
        <v>3018.75</v>
      </c>
      <c r="J15" s="71">
        <f t="shared" si="7"/>
        <v>10106.25</v>
      </c>
      <c r="K15" s="71">
        <f t="shared" si="8"/>
        <v>0.10645576516772763</v>
      </c>
      <c r="L15" s="71">
        <f t="shared" si="9"/>
        <v>1226.8060767263473</v>
      </c>
      <c r="M15" s="71">
        <f t="shared" si="10"/>
        <v>131.25</v>
      </c>
      <c r="N15" s="71">
        <f t="shared" si="11"/>
        <v>1358.0560767263473</v>
      </c>
      <c r="O15" s="71">
        <f t="shared" si="0"/>
        <v>0.52232926027936433</v>
      </c>
      <c r="P15" s="71">
        <v>0.25</v>
      </c>
      <c r="Q15" s="71">
        <f t="shared" si="1"/>
        <v>3281.25</v>
      </c>
      <c r="R15" s="71">
        <f t="shared" si="2"/>
        <v>1.2620192307692308</v>
      </c>
      <c r="S15" s="71">
        <f t="shared" si="3"/>
        <v>0.44430277427110021</v>
      </c>
      <c r="T15" s="71">
        <v>1.5</v>
      </c>
      <c r="U15" s="71">
        <f t="shared" si="12"/>
        <v>1.9443027742711001</v>
      </c>
      <c r="V15" s="71">
        <f t="shared" si="4"/>
        <v>2.5522499999999999</v>
      </c>
      <c r="W15" s="40"/>
    </row>
    <row r="16" spans="1:23" ht="18">
      <c r="A16" s="40" t="s">
        <v>33</v>
      </c>
      <c r="B16" s="70" t="s">
        <v>34</v>
      </c>
      <c r="C16" s="70" t="s">
        <v>37</v>
      </c>
      <c r="D16" s="71">
        <v>525</v>
      </c>
      <c r="E16" s="71">
        <v>200</v>
      </c>
      <c r="F16" s="71">
        <v>15</v>
      </c>
      <c r="G16" s="71">
        <f t="shared" si="5"/>
        <v>3000</v>
      </c>
      <c r="H16" s="71">
        <v>1</v>
      </c>
      <c r="I16" s="71">
        <f t="shared" si="6"/>
        <v>120.75</v>
      </c>
      <c r="J16" s="71">
        <f t="shared" si="7"/>
        <v>404.25</v>
      </c>
      <c r="K16" s="71">
        <f t="shared" si="8"/>
        <v>9.6342287609244376E-2</v>
      </c>
      <c r="L16" s="71">
        <f t="shared" si="9"/>
        <v>44.983869766037039</v>
      </c>
      <c r="M16" s="71">
        <f t="shared" si="10"/>
        <v>5.25</v>
      </c>
      <c r="N16" s="71">
        <f t="shared" si="11"/>
        <v>50.233869766037039</v>
      </c>
      <c r="O16" s="71">
        <f t="shared" si="0"/>
        <v>1.6744623255345679E-2</v>
      </c>
      <c r="P16" s="71">
        <v>0.4</v>
      </c>
      <c r="Q16" s="71">
        <f t="shared" si="1"/>
        <v>210</v>
      </c>
      <c r="R16" s="71">
        <f t="shared" si="2"/>
        <v>7.0000000000000007E-2</v>
      </c>
      <c r="S16" s="71">
        <f t="shared" si="3"/>
        <v>8.6744623255345682E-2</v>
      </c>
      <c r="T16" s="71">
        <v>1.5</v>
      </c>
      <c r="U16" s="71">
        <f t="shared" si="12"/>
        <v>1.5867446232553457</v>
      </c>
      <c r="V16" s="71">
        <f t="shared" si="4"/>
        <v>10.25</v>
      </c>
      <c r="W16" s="40"/>
    </row>
    <row r="17" spans="1:23" ht="18.600000000000001" thickBot="1">
      <c r="A17" s="64" t="s">
        <v>198</v>
      </c>
      <c r="B17" s="72"/>
      <c r="C17" s="72" t="s">
        <v>168</v>
      </c>
      <c r="D17" s="72">
        <v>42000</v>
      </c>
      <c r="E17" s="73">
        <v>600</v>
      </c>
      <c r="F17" s="73">
        <v>15</v>
      </c>
      <c r="G17" s="73">
        <f t="shared" si="5"/>
        <v>9000</v>
      </c>
      <c r="H17" s="73">
        <v>0.78</v>
      </c>
      <c r="I17" s="73">
        <v>10500</v>
      </c>
      <c r="J17" s="73">
        <f t="shared" si="7"/>
        <v>31500</v>
      </c>
      <c r="K17" s="73">
        <f t="shared" si="8"/>
        <v>9.6342287609244376E-2</v>
      </c>
      <c r="L17" s="73">
        <f t="shared" si="9"/>
        <v>3559.7820596911979</v>
      </c>
      <c r="M17" s="73">
        <f t="shared" si="10"/>
        <v>420</v>
      </c>
      <c r="N17" s="73">
        <f t="shared" si="11"/>
        <v>3979.7820596911979</v>
      </c>
      <c r="O17" s="73">
        <f t="shared" si="0"/>
        <v>0.44219800663235531</v>
      </c>
      <c r="P17" s="73">
        <v>0.4</v>
      </c>
      <c r="Q17" s="73">
        <f t="shared" si="1"/>
        <v>16800</v>
      </c>
      <c r="R17" s="73">
        <f t="shared" si="2"/>
        <v>1.8666666666666667</v>
      </c>
      <c r="S17" s="73">
        <f t="shared" si="3"/>
        <v>1.8009144451732373</v>
      </c>
      <c r="T17" s="73">
        <v>1.5</v>
      </c>
      <c r="U17" s="73">
        <f t="shared" si="12"/>
        <v>3.3009144451732375</v>
      </c>
      <c r="V17" s="73">
        <f t="shared" si="4"/>
        <v>7.9950000000000001</v>
      </c>
      <c r="W17" s="40"/>
    </row>
    <row r="18" spans="1:23" ht="18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8">
      <c r="A19" s="39" t="s">
        <v>41</v>
      </c>
      <c r="B19" s="66">
        <v>0.05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8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23.4">
      <c r="A21" s="82" t="s">
        <v>50</v>
      </c>
      <c r="B21" s="82"/>
      <c r="C21" s="8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8.600000000000001" thickBot="1">
      <c r="A22" s="74" t="s">
        <v>52</v>
      </c>
      <c r="B22" s="43" t="s">
        <v>6</v>
      </c>
      <c r="C22" s="43" t="s">
        <v>59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8.600000000000001" thickTop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8">
      <c r="A24" s="40" t="s">
        <v>54</v>
      </c>
      <c r="B24" s="70" t="s">
        <v>53</v>
      </c>
      <c r="C24" s="70">
        <v>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8">
      <c r="A25" s="40" t="s">
        <v>55</v>
      </c>
      <c r="B25" s="70" t="s">
        <v>53</v>
      </c>
      <c r="C25" s="70">
        <v>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8">
      <c r="A26" s="40" t="s">
        <v>56</v>
      </c>
      <c r="B26" s="70" t="s">
        <v>53</v>
      </c>
      <c r="C26" s="70">
        <v>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8">
      <c r="A27" s="40" t="s">
        <v>57</v>
      </c>
      <c r="B27" s="70" t="s">
        <v>53</v>
      </c>
      <c r="C27" s="70">
        <v>8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8">
      <c r="A28" s="40" t="s">
        <v>58</v>
      </c>
      <c r="B28" s="70" t="s">
        <v>53</v>
      </c>
      <c r="C28" s="70">
        <v>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8.600000000000001" thickBot="1">
      <c r="A29" s="64" t="s">
        <v>51</v>
      </c>
      <c r="B29" s="72" t="s">
        <v>53</v>
      </c>
      <c r="C29" s="72">
        <v>10.25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8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8">
      <c r="A31" s="45"/>
      <c r="B31" s="45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8">
      <c r="A32" s="135"/>
      <c r="B32" s="13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8">
      <c r="A33" s="52"/>
      <c r="B33" s="5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8">
      <c r="A34" s="45"/>
      <c r="B34" s="4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8">
      <c r="A35" s="45"/>
      <c r="B35" s="4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8">
      <c r="A36" s="45"/>
      <c r="B36" s="4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8">
      <c r="A37" s="45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8">
      <c r="A38" s="45"/>
      <c r="B38" s="4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18">
      <c r="A39" s="45"/>
      <c r="B39" s="4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18">
      <c r="A40" s="45"/>
      <c r="B40" s="4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8">
      <c r="A41" s="45"/>
      <c r="B41" s="4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8">
      <c r="A42" s="45"/>
      <c r="B42" s="4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8">
      <c r="A43" s="45"/>
      <c r="B43" s="4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8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8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8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8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</sheetData>
  <mergeCells count="1">
    <mergeCell ref="A32:B3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2"/>
  <sheetViews>
    <sheetView tabSelected="1" workbookViewId="0">
      <selection activeCell="L11" sqref="L11"/>
    </sheetView>
  </sheetViews>
  <sheetFormatPr defaultRowHeight="14.4"/>
  <cols>
    <col min="1" max="1" width="27.21875" customWidth="1"/>
    <col min="2" max="2" width="1.21875" customWidth="1"/>
    <col min="3" max="3" width="6.77734375" customWidth="1"/>
    <col min="4" max="4" width="9.21875" customWidth="1"/>
    <col min="5" max="5" width="8.88671875" customWidth="1"/>
    <col min="6" max="6" width="8.21875" customWidth="1"/>
    <col min="7" max="7" width="8.77734375" customWidth="1"/>
    <col min="8" max="8" width="8.21875" customWidth="1"/>
    <col min="9" max="9" width="8.44140625" customWidth="1"/>
    <col min="10" max="10" width="9.44140625" customWidth="1"/>
  </cols>
  <sheetData>
    <row r="1" spans="1:25" ht="23.4">
      <c r="A1" s="90" t="s">
        <v>231</v>
      </c>
      <c r="B1" s="85"/>
      <c r="C1" s="85"/>
      <c r="D1" s="85"/>
      <c r="E1" s="85"/>
      <c r="F1" s="85"/>
      <c r="G1" s="85"/>
      <c r="H1" s="85"/>
      <c r="I1" s="85"/>
      <c r="J1" s="85"/>
      <c r="K1" s="88"/>
      <c r="L1" s="88"/>
      <c r="M1" s="88"/>
    </row>
    <row r="2" spans="1:25" ht="23.4">
      <c r="A2" s="90" t="s">
        <v>250</v>
      </c>
      <c r="B2" s="85"/>
      <c r="C2" s="85"/>
      <c r="D2" s="85"/>
      <c r="E2" s="85"/>
      <c r="F2" s="85"/>
      <c r="G2" s="85"/>
      <c r="H2" s="85"/>
      <c r="I2" s="85"/>
      <c r="J2" s="85"/>
      <c r="K2" s="88"/>
      <c r="L2" s="88"/>
      <c r="M2" s="88"/>
    </row>
    <row r="3" spans="1:25" ht="23.4">
      <c r="A3" s="9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25" ht="18.600000000000001" thickBot="1">
      <c r="A4" s="43" t="s">
        <v>66</v>
      </c>
      <c r="B4" s="43"/>
      <c r="C4" s="43" t="s">
        <v>6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 t="s">
        <v>214</v>
      </c>
      <c r="K4" s="39"/>
      <c r="L4" s="40"/>
      <c r="M4" s="40"/>
    </row>
    <row r="5" spans="1:25" ht="18.600000000000001" thickTop="1">
      <c r="A5" s="40"/>
      <c r="B5" s="40"/>
      <c r="C5" s="40"/>
      <c r="D5" s="40"/>
      <c r="E5" s="40"/>
      <c r="F5" s="40"/>
      <c r="G5" s="40"/>
      <c r="H5" s="40"/>
      <c r="I5" s="40"/>
      <c r="J5" s="39"/>
      <c r="K5" s="40"/>
      <c r="L5" s="40"/>
      <c r="M5" s="40"/>
    </row>
    <row r="6" spans="1:25" ht="18">
      <c r="A6" s="40" t="s">
        <v>64</v>
      </c>
      <c r="B6" s="40"/>
      <c r="C6" s="40" t="s">
        <v>65</v>
      </c>
      <c r="D6" s="41">
        <v>38</v>
      </c>
      <c r="E6" s="41">
        <f>D6*($E$42/100) + D6</f>
        <v>38.607999999999997</v>
      </c>
      <c r="F6" s="41">
        <f>E6*($F$42/100) + E6</f>
        <v>39.843455999999996</v>
      </c>
      <c r="G6" s="41">
        <f>F6*($G$42/100) + F6</f>
        <v>40.680168575999993</v>
      </c>
      <c r="H6" s="41">
        <f>G6*($H$42/100) + G6</f>
        <v>41.290371104639995</v>
      </c>
      <c r="I6" s="41">
        <f>H6*($I$42/100) + H6</f>
        <v>41.951017042314234</v>
      </c>
      <c r="J6" s="46"/>
      <c r="K6" s="40"/>
      <c r="L6" s="40"/>
      <c r="M6" s="40"/>
    </row>
    <row r="7" spans="1:25" ht="18">
      <c r="A7" s="40" t="s">
        <v>200</v>
      </c>
      <c r="B7" s="40"/>
      <c r="C7" s="40" t="s">
        <v>72</v>
      </c>
      <c r="D7" s="41">
        <v>4.5999999999999996</v>
      </c>
      <c r="E7" s="41">
        <f t="shared" ref="E7:E38" si="0">D7*($E$42/100) + D7</f>
        <v>4.6735999999999995</v>
      </c>
      <c r="F7" s="41">
        <f t="shared" ref="F7:F38" si="1">E7*($F$42/100) + E7</f>
        <v>4.8231551999999995</v>
      </c>
      <c r="G7" s="41">
        <f t="shared" ref="G7:G38" si="2">F7*($G$42/100) + F7</f>
        <v>4.9244414591999996</v>
      </c>
      <c r="H7" s="41">
        <f t="shared" ref="H7:H38" si="3">G7*($H$42/100) + G7</f>
        <v>4.9983080810880001</v>
      </c>
      <c r="I7" s="41">
        <f t="shared" ref="I7:I38" si="4">H7*($I$42/100) + H7</f>
        <v>5.0782810103854077</v>
      </c>
      <c r="J7" s="45"/>
      <c r="K7" s="40"/>
      <c r="L7" s="40"/>
      <c r="M7" s="40"/>
    </row>
    <row r="8" spans="1:25" ht="18">
      <c r="A8" s="40" t="s">
        <v>201</v>
      </c>
      <c r="B8" s="40"/>
      <c r="C8" s="40" t="s">
        <v>72</v>
      </c>
      <c r="D8" s="41">
        <v>0.1</v>
      </c>
      <c r="E8" s="41">
        <f t="shared" si="0"/>
        <v>0.10160000000000001</v>
      </c>
      <c r="F8" s="41">
        <f t="shared" si="1"/>
        <v>0.10485120000000001</v>
      </c>
      <c r="G8" s="41">
        <f t="shared" si="2"/>
        <v>0.1070530752</v>
      </c>
      <c r="H8" s="41">
        <f t="shared" si="3"/>
        <v>0.10865887132800001</v>
      </c>
      <c r="I8" s="41">
        <f t="shared" si="4"/>
        <v>0.11039741326924801</v>
      </c>
      <c r="J8" s="46"/>
      <c r="K8" s="40"/>
      <c r="L8" s="40"/>
      <c r="M8" s="40"/>
    </row>
    <row r="9" spans="1:25" ht="18">
      <c r="A9" s="40" t="s">
        <v>202</v>
      </c>
      <c r="B9" s="40"/>
      <c r="C9" s="40" t="s">
        <v>72</v>
      </c>
      <c r="D9" s="41">
        <v>8.27</v>
      </c>
      <c r="E9" s="41">
        <f t="shared" si="0"/>
        <v>8.4023199999999996</v>
      </c>
      <c r="F9" s="41">
        <f t="shared" si="1"/>
        <v>8.6711942400000002</v>
      </c>
      <c r="G9" s="41">
        <f t="shared" si="2"/>
        <v>8.8532893190399999</v>
      </c>
      <c r="H9" s="41">
        <f t="shared" si="3"/>
        <v>8.9860886588256008</v>
      </c>
      <c r="I9" s="41">
        <f t="shared" si="4"/>
        <v>9.1298660773668097</v>
      </c>
      <c r="J9" s="45"/>
      <c r="K9" s="40"/>
      <c r="L9" s="40"/>
      <c r="M9" s="40"/>
    </row>
    <row r="10" spans="1:25" ht="18">
      <c r="A10" s="40" t="s">
        <v>203</v>
      </c>
      <c r="B10" s="40"/>
      <c r="C10" s="40" t="s">
        <v>72</v>
      </c>
      <c r="D10" s="41">
        <v>3</v>
      </c>
      <c r="E10" s="41">
        <f t="shared" si="0"/>
        <v>3.048</v>
      </c>
      <c r="F10" s="41">
        <f t="shared" si="1"/>
        <v>3.1455359999999999</v>
      </c>
      <c r="G10" s="41">
        <f t="shared" si="2"/>
        <v>3.2115922559999999</v>
      </c>
      <c r="H10" s="41">
        <f t="shared" si="3"/>
        <v>3.25976613984</v>
      </c>
      <c r="I10" s="41">
        <f t="shared" si="4"/>
        <v>3.3119223980774399</v>
      </c>
      <c r="J10" s="46"/>
      <c r="K10" s="40"/>
      <c r="L10" s="40"/>
      <c r="M10" s="40"/>
    </row>
    <row r="11" spans="1:25" ht="18">
      <c r="A11" s="40" t="s">
        <v>204</v>
      </c>
      <c r="B11" s="40"/>
      <c r="C11" s="40" t="s">
        <v>76</v>
      </c>
      <c r="D11" s="41">
        <v>7.8E-2</v>
      </c>
      <c r="E11" s="41">
        <f t="shared" si="0"/>
        <v>7.9247999999999999E-2</v>
      </c>
      <c r="F11" s="41">
        <f t="shared" si="1"/>
        <v>8.1783936000000002E-2</v>
      </c>
      <c r="G11" s="41">
        <f t="shared" si="2"/>
        <v>8.3501398655999995E-2</v>
      </c>
      <c r="H11" s="41">
        <f t="shared" si="3"/>
        <v>8.4753919635839989E-2</v>
      </c>
      <c r="I11" s="41">
        <f t="shared" si="4"/>
        <v>8.6109982350013423E-2</v>
      </c>
      <c r="J11" s="46"/>
      <c r="K11" s="40"/>
      <c r="L11" s="40"/>
      <c r="M11" s="40"/>
    </row>
    <row r="12" spans="1:25" ht="18">
      <c r="A12" s="40" t="s">
        <v>74</v>
      </c>
      <c r="B12" s="40"/>
      <c r="C12" s="40" t="s">
        <v>72</v>
      </c>
      <c r="D12" s="41">
        <v>6.65</v>
      </c>
      <c r="E12" s="41">
        <f t="shared" si="0"/>
        <v>6.7564000000000002</v>
      </c>
      <c r="F12" s="41">
        <f t="shared" si="1"/>
        <v>6.9726048</v>
      </c>
      <c r="G12" s="41">
        <f t="shared" si="2"/>
        <v>7.1190295008</v>
      </c>
      <c r="H12" s="41">
        <f t="shared" si="3"/>
        <v>7.2258149433119998</v>
      </c>
      <c r="I12" s="41">
        <f t="shared" si="4"/>
        <v>7.3414279824049915</v>
      </c>
      <c r="J12" s="46"/>
      <c r="K12" s="40"/>
      <c r="L12" s="40"/>
      <c r="M12" s="4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8">
      <c r="A13" s="40" t="s">
        <v>75</v>
      </c>
      <c r="B13" s="40"/>
      <c r="C13" s="40" t="s">
        <v>72</v>
      </c>
      <c r="D13" s="41">
        <v>2.25</v>
      </c>
      <c r="E13" s="41">
        <f t="shared" si="0"/>
        <v>2.286</v>
      </c>
      <c r="F13" s="41">
        <f t="shared" si="1"/>
        <v>2.3591519999999999</v>
      </c>
      <c r="G13" s="41">
        <f t="shared" si="2"/>
        <v>2.408694192</v>
      </c>
      <c r="H13" s="41">
        <f t="shared" si="3"/>
        <v>2.44482460488</v>
      </c>
      <c r="I13" s="41">
        <f t="shared" si="4"/>
        <v>2.4839417985580798</v>
      </c>
      <c r="J13" s="46"/>
      <c r="K13" s="40"/>
      <c r="L13" s="40"/>
      <c r="M13" s="40"/>
    </row>
    <row r="14" spans="1:25" ht="18">
      <c r="A14" s="40" t="s">
        <v>78</v>
      </c>
      <c r="B14" s="40"/>
      <c r="C14" s="40" t="s">
        <v>72</v>
      </c>
      <c r="D14" s="41">
        <v>2.15</v>
      </c>
      <c r="E14" s="41">
        <f t="shared" si="0"/>
        <v>2.1844000000000001</v>
      </c>
      <c r="F14" s="41">
        <f t="shared" si="1"/>
        <v>2.2543008000000002</v>
      </c>
      <c r="G14" s="41">
        <f t="shared" si="2"/>
        <v>2.3016411168000004</v>
      </c>
      <c r="H14" s="41">
        <f t="shared" si="3"/>
        <v>2.3361657335520003</v>
      </c>
      <c r="I14" s="41">
        <f t="shared" si="4"/>
        <v>2.3735443852888323</v>
      </c>
      <c r="J14" s="46"/>
      <c r="K14" s="40"/>
      <c r="L14" s="40"/>
      <c r="M14" s="40"/>
    </row>
    <row r="15" spans="1:25" ht="18">
      <c r="A15" s="40" t="s">
        <v>79</v>
      </c>
      <c r="B15" s="40"/>
      <c r="C15" s="40" t="s">
        <v>72</v>
      </c>
      <c r="D15" s="41">
        <v>1.65</v>
      </c>
      <c r="E15" s="41">
        <f t="shared" si="0"/>
        <v>1.6763999999999999</v>
      </c>
      <c r="F15" s="41">
        <f t="shared" si="1"/>
        <v>1.7300447999999999</v>
      </c>
      <c r="G15" s="41">
        <f t="shared" si="2"/>
        <v>1.7663757408</v>
      </c>
      <c r="H15" s="41">
        <f t="shared" si="3"/>
        <v>1.7928713769119999</v>
      </c>
      <c r="I15" s="41">
        <f t="shared" si="4"/>
        <v>1.821557318942592</v>
      </c>
      <c r="J15" s="46"/>
      <c r="K15" s="40"/>
      <c r="L15" s="40"/>
      <c r="M15" s="40"/>
    </row>
    <row r="16" spans="1:25" ht="18">
      <c r="A16" s="40" t="s">
        <v>80</v>
      </c>
      <c r="B16" s="40"/>
      <c r="C16" s="40" t="s">
        <v>72</v>
      </c>
      <c r="D16" s="41">
        <v>6.9</v>
      </c>
      <c r="E16" s="41">
        <f t="shared" si="0"/>
        <v>7.0104000000000006</v>
      </c>
      <c r="F16" s="41">
        <f t="shared" si="1"/>
        <v>7.2347328000000006</v>
      </c>
      <c r="G16" s="41">
        <f t="shared" si="2"/>
        <v>7.3866621888000008</v>
      </c>
      <c r="H16" s="41">
        <f t="shared" si="3"/>
        <v>7.497462121632001</v>
      </c>
      <c r="I16" s="41">
        <f t="shared" si="4"/>
        <v>7.6174215155781129</v>
      </c>
      <c r="J16" s="46"/>
      <c r="K16" s="40"/>
      <c r="L16" s="40"/>
      <c r="M16" s="40"/>
    </row>
    <row r="17" spans="1:13" ht="18">
      <c r="A17" s="40" t="s">
        <v>81</v>
      </c>
      <c r="B17" s="40"/>
      <c r="C17" s="40" t="s">
        <v>82</v>
      </c>
      <c r="D17" s="41">
        <v>455</v>
      </c>
      <c r="E17" s="41">
        <f t="shared" si="0"/>
        <v>462.28</v>
      </c>
      <c r="F17" s="41">
        <f t="shared" si="1"/>
        <v>477.07295999999997</v>
      </c>
      <c r="G17" s="41">
        <f t="shared" si="2"/>
        <v>487.09149215999997</v>
      </c>
      <c r="H17" s="41">
        <f t="shared" si="3"/>
        <v>494.39786454239999</v>
      </c>
      <c r="I17" s="41">
        <f t="shared" si="4"/>
        <v>502.30823037507838</v>
      </c>
      <c r="J17" s="46"/>
      <c r="K17" s="40"/>
      <c r="L17" s="40"/>
      <c r="M17" s="40"/>
    </row>
    <row r="18" spans="1:13" ht="18">
      <c r="A18" s="40" t="s">
        <v>84</v>
      </c>
      <c r="B18" s="40"/>
      <c r="C18" s="40" t="s">
        <v>83</v>
      </c>
      <c r="D18" s="41">
        <v>28</v>
      </c>
      <c r="E18" s="41">
        <f t="shared" si="0"/>
        <v>28.448</v>
      </c>
      <c r="F18" s="41">
        <f t="shared" si="1"/>
        <v>29.358336000000001</v>
      </c>
      <c r="G18" s="41">
        <f t="shared" si="2"/>
        <v>29.974861056000002</v>
      </c>
      <c r="H18" s="41">
        <f t="shared" si="3"/>
        <v>30.424483971840001</v>
      </c>
      <c r="I18" s="41">
        <f t="shared" si="4"/>
        <v>30.91127571538944</v>
      </c>
      <c r="J18" s="45"/>
      <c r="K18" s="40"/>
      <c r="L18" s="40"/>
      <c r="M18" s="40"/>
    </row>
    <row r="19" spans="1:13" ht="18">
      <c r="A19" s="40" t="s">
        <v>85</v>
      </c>
      <c r="B19" s="40"/>
      <c r="C19" s="40" t="s">
        <v>86</v>
      </c>
      <c r="D19" s="41">
        <v>22.88</v>
      </c>
      <c r="E19" s="41">
        <f t="shared" si="0"/>
        <v>23.246079999999999</v>
      </c>
      <c r="F19" s="41">
        <f t="shared" si="1"/>
        <v>23.989954559999997</v>
      </c>
      <c r="G19" s="41">
        <f t="shared" si="2"/>
        <v>24.493743605759999</v>
      </c>
      <c r="H19" s="41">
        <f t="shared" si="3"/>
        <v>24.861149759846398</v>
      </c>
      <c r="I19" s="41">
        <f t="shared" si="4"/>
        <v>25.25892815600394</v>
      </c>
      <c r="J19" s="46"/>
      <c r="K19" s="40"/>
      <c r="L19" s="40"/>
      <c r="M19" s="40"/>
    </row>
    <row r="20" spans="1:13" ht="18">
      <c r="A20" s="40" t="s">
        <v>87</v>
      </c>
      <c r="B20" s="40"/>
      <c r="C20" s="40" t="s">
        <v>86</v>
      </c>
      <c r="D20" s="41">
        <v>1.55</v>
      </c>
      <c r="E20" s="41">
        <f t="shared" si="0"/>
        <v>1.5748</v>
      </c>
      <c r="F20" s="41">
        <f t="shared" si="1"/>
        <v>1.6251936</v>
      </c>
      <c r="G20" s="41">
        <f t="shared" si="2"/>
        <v>1.6593226656</v>
      </c>
      <c r="H20" s="41">
        <f t="shared" si="3"/>
        <v>1.684212505584</v>
      </c>
      <c r="I20" s="41">
        <f t="shared" si="4"/>
        <v>1.711159905673344</v>
      </c>
      <c r="J20" s="45"/>
      <c r="K20" s="40"/>
      <c r="L20" s="40"/>
      <c r="M20" s="40"/>
    </row>
    <row r="21" spans="1:13" ht="18">
      <c r="A21" s="40" t="s">
        <v>88</v>
      </c>
      <c r="B21" s="40"/>
      <c r="C21" s="40" t="s">
        <v>89</v>
      </c>
      <c r="D21" s="41">
        <v>0.28000000000000003</v>
      </c>
      <c r="E21" s="41">
        <f t="shared" si="0"/>
        <v>0.28448000000000001</v>
      </c>
      <c r="F21" s="41">
        <f t="shared" si="1"/>
        <v>0.29358336000000002</v>
      </c>
      <c r="G21" s="41">
        <f t="shared" si="2"/>
        <v>0.29974861056000002</v>
      </c>
      <c r="H21" s="41">
        <f t="shared" si="3"/>
        <v>0.3042448397184</v>
      </c>
      <c r="I21" s="41">
        <f t="shared" si="4"/>
        <v>0.30911275715389441</v>
      </c>
      <c r="J21" s="46"/>
      <c r="K21" s="40"/>
      <c r="L21" s="40"/>
      <c r="M21" s="40"/>
    </row>
    <row r="22" spans="1:13" ht="18">
      <c r="A22" s="40" t="s">
        <v>90</v>
      </c>
      <c r="B22" s="40"/>
      <c r="C22" s="40" t="s">
        <v>86</v>
      </c>
      <c r="D22" s="41">
        <v>4.2300000000000004</v>
      </c>
      <c r="E22" s="41">
        <f t="shared" si="0"/>
        <v>4.2976800000000006</v>
      </c>
      <c r="F22" s="41">
        <f t="shared" si="1"/>
        <v>4.4352057600000006</v>
      </c>
      <c r="G22" s="41">
        <f t="shared" si="2"/>
        <v>4.5283450809600003</v>
      </c>
      <c r="H22" s="41">
        <f t="shared" si="3"/>
        <v>4.5962702571744005</v>
      </c>
      <c r="I22" s="41">
        <f t="shared" si="4"/>
        <v>4.669810581289191</v>
      </c>
      <c r="J22" s="45"/>
      <c r="K22" s="40"/>
      <c r="L22" s="40"/>
      <c r="M22" s="40"/>
    </row>
    <row r="23" spans="1:13" ht="18">
      <c r="A23" s="40" t="s">
        <v>91</v>
      </c>
      <c r="B23" s="40"/>
      <c r="C23" s="40" t="s">
        <v>86</v>
      </c>
      <c r="D23" s="41">
        <v>4</v>
      </c>
      <c r="E23" s="41">
        <f t="shared" si="0"/>
        <v>4.0640000000000001</v>
      </c>
      <c r="F23" s="41">
        <f t="shared" si="1"/>
        <v>4.1940480000000004</v>
      </c>
      <c r="G23" s="41">
        <f t="shared" si="2"/>
        <v>4.2821230080000001</v>
      </c>
      <c r="H23" s="41">
        <f t="shared" si="3"/>
        <v>4.3463548531200003</v>
      </c>
      <c r="I23" s="41">
        <f t="shared" si="4"/>
        <v>4.4158965307699205</v>
      </c>
      <c r="J23" s="46"/>
      <c r="K23" s="40"/>
      <c r="L23" s="40"/>
      <c r="M23" s="40"/>
    </row>
    <row r="24" spans="1:13" ht="18">
      <c r="A24" s="40" t="s">
        <v>92</v>
      </c>
      <c r="B24" s="40"/>
      <c r="C24" s="40" t="s">
        <v>94</v>
      </c>
      <c r="D24" s="41">
        <v>5.53</v>
      </c>
      <c r="E24" s="41">
        <f t="shared" si="0"/>
        <v>5.6184799999999999</v>
      </c>
      <c r="F24" s="41">
        <f t="shared" si="1"/>
        <v>5.7982713600000002</v>
      </c>
      <c r="G24" s="41">
        <f t="shared" si="2"/>
        <v>5.9200350585599999</v>
      </c>
      <c r="H24" s="41">
        <f t="shared" si="3"/>
        <v>6.0088355844384003</v>
      </c>
      <c r="I24" s="41">
        <f t="shared" si="4"/>
        <v>6.1049769537894143</v>
      </c>
      <c r="J24" s="45"/>
      <c r="K24" s="40"/>
      <c r="L24" s="40"/>
      <c r="M24" s="40"/>
    </row>
    <row r="25" spans="1:13" ht="18">
      <c r="A25" s="40" t="s">
        <v>93</v>
      </c>
      <c r="B25" s="40"/>
      <c r="C25" s="40" t="s">
        <v>86</v>
      </c>
      <c r="D25" s="41">
        <v>17.829999999999998</v>
      </c>
      <c r="E25" s="41">
        <f t="shared" si="0"/>
        <v>18.115279999999998</v>
      </c>
      <c r="F25" s="41">
        <f t="shared" si="1"/>
        <v>18.694968959999997</v>
      </c>
      <c r="G25" s="41">
        <f t="shared" si="2"/>
        <v>19.087563308159996</v>
      </c>
      <c r="H25" s="41">
        <f t="shared" si="3"/>
        <v>19.373876757782398</v>
      </c>
      <c r="I25" s="41">
        <f t="shared" si="4"/>
        <v>19.683858785906917</v>
      </c>
      <c r="J25" s="46"/>
      <c r="K25" s="40"/>
      <c r="L25" s="40"/>
      <c r="M25" s="40"/>
    </row>
    <row r="26" spans="1:13" ht="18">
      <c r="A26" s="40" t="s">
        <v>95</v>
      </c>
      <c r="B26" s="40"/>
      <c r="C26" s="40" t="s">
        <v>94</v>
      </c>
      <c r="D26" s="41">
        <v>2.11</v>
      </c>
      <c r="E26" s="41">
        <f t="shared" si="0"/>
        <v>2.1437599999999999</v>
      </c>
      <c r="F26" s="41">
        <f t="shared" si="1"/>
        <v>2.2123603199999997</v>
      </c>
      <c r="G26" s="41">
        <f t="shared" si="2"/>
        <v>2.2588198867199996</v>
      </c>
      <c r="H26" s="41">
        <f t="shared" si="3"/>
        <v>2.2927021850207994</v>
      </c>
      <c r="I26" s="41">
        <f t="shared" si="4"/>
        <v>2.3293854199811324</v>
      </c>
      <c r="J26" s="45"/>
      <c r="K26" s="40"/>
      <c r="L26" s="40"/>
      <c r="M26" s="40"/>
    </row>
    <row r="27" spans="1:13" ht="18">
      <c r="A27" s="40" t="s">
        <v>96</v>
      </c>
      <c r="B27" s="40"/>
      <c r="C27" s="40" t="s">
        <v>97</v>
      </c>
      <c r="D27" s="41">
        <v>11.41</v>
      </c>
      <c r="E27" s="41">
        <f t="shared" si="0"/>
        <v>11.592560000000001</v>
      </c>
      <c r="F27" s="41">
        <f t="shared" si="1"/>
        <v>11.96352192</v>
      </c>
      <c r="G27" s="41">
        <f t="shared" si="2"/>
        <v>12.21475588032</v>
      </c>
      <c r="H27" s="41">
        <f t="shared" si="3"/>
        <v>12.397977218524801</v>
      </c>
      <c r="I27" s="41">
        <f t="shared" si="4"/>
        <v>12.596344854021197</v>
      </c>
      <c r="J27" s="46"/>
      <c r="K27" s="40"/>
      <c r="L27" s="40"/>
      <c r="M27" s="40"/>
    </row>
    <row r="28" spans="1:13" ht="18">
      <c r="A28" s="40" t="s">
        <v>98</v>
      </c>
      <c r="B28" s="40"/>
      <c r="C28" s="40" t="s">
        <v>94</v>
      </c>
      <c r="D28" s="41">
        <v>9.2799999999999994</v>
      </c>
      <c r="E28" s="41">
        <f t="shared" si="0"/>
        <v>9.4284799999999986</v>
      </c>
      <c r="F28" s="41">
        <f t="shared" si="1"/>
        <v>9.7301913599999992</v>
      </c>
      <c r="G28" s="41">
        <f t="shared" si="2"/>
        <v>9.9345253785600001</v>
      </c>
      <c r="H28" s="41">
        <f t="shared" si="3"/>
        <v>10.0835432592384</v>
      </c>
      <c r="I28" s="41">
        <f t="shared" si="4"/>
        <v>10.244879951386215</v>
      </c>
      <c r="J28" s="45"/>
      <c r="K28" s="40"/>
      <c r="L28" s="40"/>
      <c r="M28" s="40"/>
    </row>
    <row r="29" spans="1:13" ht="18">
      <c r="A29" s="40" t="s">
        <v>99</v>
      </c>
      <c r="B29" s="40"/>
      <c r="C29" s="40" t="s">
        <v>100</v>
      </c>
      <c r="D29" s="41">
        <v>1.35</v>
      </c>
      <c r="E29" s="41">
        <f t="shared" si="0"/>
        <v>1.3716000000000002</v>
      </c>
      <c r="F29" s="41">
        <f t="shared" si="1"/>
        <v>1.4154912000000002</v>
      </c>
      <c r="G29" s="41">
        <f t="shared" si="2"/>
        <v>1.4452165152000003</v>
      </c>
      <c r="H29" s="41">
        <f t="shared" si="3"/>
        <v>1.4668947629280003</v>
      </c>
      <c r="I29" s="41">
        <f t="shared" si="4"/>
        <v>1.4903650791348482</v>
      </c>
      <c r="J29" s="46"/>
      <c r="K29" s="40"/>
      <c r="L29" s="40"/>
      <c r="M29" s="40"/>
    </row>
    <row r="30" spans="1:13" ht="18">
      <c r="A30" s="40" t="s">
        <v>101</v>
      </c>
      <c r="B30" s="40"/>
      <c r="C30" s="40" t="s">
        <v>102</v>
      </c>
      <c r="D30" s="41">
        <v>4.25</v>
      </c>
      <c r="E30" s="41">
        <f t="shared" si="0"/>
        <v>4.3179999999999996</v>
      </c>
      <c r="F30" s="41">
        <f t="shared" si="1"/>
        <v>4.4561759999999992</v>
      </c>
      <c r="G30" s="41">
        <f t="shared" si="2"/>
        <v>4.5497556959999992</v>
      </c>
      <c r="H30" s="41">
        <f t="shared" si="3"/>
        <v>4.6180020314399988</v>
      </c>
      <c r="I30" s="41">
        <f t="shared" si="4"/>
        <v>4.6918900639430383</v>
      </c>
      <c r="J30" s="45"/>
      <c r="K30" s="40"/>
      <c r="L30" s="40"/>
      <c r="M30" s="40"/>
    </row>
    <row r="31" spans="1:13" ht="18">
      <c r="A31" s="40" t="s">
        <v>103</v>
      </c>
      <c r="B31" s="40"/>
      <c r="C31" s="40" t="s">
        <v>94</v>
      </c>
      <c r="D31" s="41">
        <v>23.41</v>
      </c>
      <c r="E31" s="41">
        <f t="shared" si="0"/>
        <v>23.784559999999999</v>
      </c>
      <c r="F31" s="41">
        <f t="shared" si="1"/>
        <v>24.545665919999998</v>
      </c>
      <c r="G31" s="41">
        <f t="shared" si="2"/>
        <v>25.061124904319996</v>
      </c>
      <c r="H31" s="41">
        <f t="shared" si="3"/>
        <v>25.437041777884797</v>
      </c>
      <c r="I31" s="41">
        <f t="shared" si="4"/>
        <v>25.844034446330955</v>
      </c>
      <c r="J31" s="46"/>
      <c r="K31" s="40"/>
      <c r="L31" s="40"/>
      <c r="M31" s="40"/>
    </row>
    <row r="32" spans="1:13" ht="18">
      <c r="A32" s="40" t="s">
        <v>104</v>
      </c>
      <c r="B32" s="40"/>
      <c r="C32" s="40" t="s">
        <v>94</v>
      </c>
      <c r="D32" s="41">
        <v>3.49</v>
      </c>
      <c r="E32" s="41">
        <f t="shared" si="0"/>
        <v>3.5458400000000001</v>
      </c>
      <c r="F32" s="41">
        <f t="shared" si="1"/>
        <v>3.6593068799999999</v>
      </c>
      <c r="G32" s="41">
        <f t="shared" si="2"/>
        <v>3.7361523244799999</v>
      </c>
      <c r="H32" s="41">
        <f t="shared" si="3"/>
        <v>3.7921946093472001</v>
      </c>
      <c r="I32" s="41">
        <f t="shared" si="4"/>
        <v>3.8528697230967555</v>
      </c>
      <c r="J32" s="45"/>
      <c r="K32" s="40"/>
      <c r="L32" s="40"/>
      <c r="M32" s="40"/>
    </row>
    <row r="33" spans="1:13" ht="18">
      <c r="A33" s="40" t="s">
        <v>108</v>
      </c>
      <c r="B33" s="40"/>
      <c r="C33" s="40" t="s">
        <v>72</v>
      </c>
      <c r="D33" s="41">
        <v>6</v>
      </c>
      <c r="E33" s="41">
        <f t="shared" si="0"/>
        <v>6.0960000000000001</v>
      </c>
      <c r="F33" s="41">
        <f t="shared" si="1"/>
        <v>6.2910719999999998</v>
      </c>
      <c r="G33" s="41">
        <f t="shared" si="2"/>
        <v>6.4231845119999997</v>
      </c>
      <c r="H33" s="41">
        <f t="shared" si="3"/>
        <v>6.5195322796799999</v>
      </c>
      <c r="I33" s="41">
        <f t="shared" si="4"/>
        <v>6.6238447961548799</v>
      </c>
      <c r="J33" s="46"/>
      <c r="K33" s="40"/>
      <c r="L33" s="40"/>
      <c r="M33" s="40"/>
    </row>
    <row r="34" spans="1:13" ht="18">
      <c r="A34" s="40" t="s">
        <v>63</v>
      </c>
      <c r="B34" s="40"/>
      <c r="C34" s="40" t="s">
        <v>109</v>
      </c>
      <c r="D34" s="40">
        <v>38</v>
      </c>
      <c r="E34" s="41">
        <f t="shared" si="0"/>
        <v>38.607999999999997</v>
      </c>
      <c r="F34" s="41">
        <f t="shared" si="1"/>
        <v>39.843455999999996</v>
      </c>
      <c r="G34" s="41">
        <f t="shared" si="2"/>
        <v>40.680168575999993</v>
      </c>
      <c r="H34" s="41">
        <f t="shared" si="3"/>
        <v>41.290371104639995</v>
      </c>
      <c r="I34" s="41">
        <f t="shared" si="4"/>
        <v>41.951017042314234</v>
      </c>
      <c r="J34" s="45"/>
      <c r="K34" s="40"/>
      <c r="L34" s="40"/>
      <c r="M34" s="40"/>
    </row>
    <row r="35" spans="1:13" ht="18">
      <c r="A35" s="40" t="s">
        <v>206</v>
      </c>
      <c r="B35" s="40"/>
      <c r="C35" s="40" t="s">
        <v>72</v>
      </c>
      <c r="D35" s="41">
        <v>0.74</v>
      </c>
      <c r="E35" s="41">
        <f t="shared" si="0"/>
        <v>0.75183999999999995</v>
      </c>
      <c r="F35" s="41">
        <f t="shared" si="1"/>
        <v>0.77589887999999996</v>
      </c>
      <c r="G35" s="41">
        <f t="shared" si="2"/>
        <v>0.79219275647999998</v>
      </c>
      <c r="H35" s="41">
        <f t="shared" si="3"/>
        <v>0.80407564782719998</v>
      </c>
      <c r="I35" s="41">
        <f t="shared" si="4"/>
        <v>0.81694085819243523</v>
      </c>
      <c r="J35" s="46"/>
      <c r="K35" s="40"/>
      <c r="L35" s="40"/>
      <c r="M35" s="40"/>
    </row>
    <row r="36" spans="1:13" ht="18">
      <c r="A36" s="40" t="s">
        <v>150</v>
      </c>
      <c r="B36" s="40"/>
      <c r="C36" s="40" t="s">
        <v>76</v>
      </c>
      <c r="D36" s="41">
        <v>2.7099999999999999E-2</v>
      </c>
      <c r="E36" s="41">
        <f t="shared" si="0"/>
        <v>2.7533599999999998E-2</v>
      </c>
      <c r="F36" s="41">
        <f t="shared" si="1"/>
        <v>2.84146752E-2</v>
      </c>
      <c r="G36" s="41">
        <f t="shared" si="2"/>
        <v>2.9011383379199999E-2</v>
      </c>
      <c r="H36" s="41">
        <f t="shared" si="3"/>
        <v>2.9446554129887999E-2</v>
      </c>
      <c r="I36" s="41">
        <f t="shared" si="4"/>
        <v>2.9917698995966208E-2</v>
      </c>
      <c r="J36" s="45"/>
      <c r="K36" s="40"/>
      <c r="L36" s="40"/>
      <c r="M36" s="40"/>
    </row>
    <row r="37" spans="1:13" ht="18">
      <c r="A37" s="45" t="s">
        <v>148</v>
      </c>
      <c r="B37" s="45"/>
      <c r="C37" s="45" t="s">
        <v>72</v>
      </c>
      <c r="D37" s="130">
        <v>0.45</v>
      </c>
      <c r="E37" s="130">
        <f t="shared" si="0"/>
        <v>0.4572</v>
      </c>
      <c r="F37" s="130">
        <f t="shared" si="1"/>
        <v>0.47183039999999998</v>
      </c>
      <c r="G37" s="130">
        <f t="shared" si="2"/>
        <v>0.48173883839999998</v>
      </c>
      <c r="H37" s="130">
        <f t="shared" si="3"/>
        <v>0.48896492097599997</v>
      </c>
      <c r="I37" s="130">
        <f t="shared" si="4"/>
        <v>0.49678835971161595</v>
      </c>
      <c r="J37" s="46"/>
      <c r="K37" s="40"/>
      <c r="L37" s="40"/>
      <c r="M37" s="40"/>
    </row>
    <row r="38" spans="1:13" ht="18.600000000000001" thickBot="1">
      <c r="A38" s="64" t="s">
        <v>149</v>
      </c>
      <c r="B38" s="64"/>
      <c r="C38" s="64" t="s">
        <v>76</v>
      </c>
      <c r="D38" s="131">
        <v>0.02</v>
      </c>
      <c r="E38" s="131">
        <f t="shared" si="0"/>
        <v>2.0320000000000001E-2</v>
      </c>
      <c r="F38" s="131">
        <f t="shared" si="1"/>
        <v>2.0970240000000001E-2</v>
      </c>
      <c r="G38" s="131">
        <f t="shared" si="2"/>
        <v>2.1410615040000001E-2</v>
      </c>
      <c r="H38" s="131">
        <f t="shared" si="3"/>
        <v>2.1731774265599999E-2</v>
      </c>
      <c r="I38" s="131">
        <f t="shared" si="4"/>
        <v>2.20794826538496E-2</v>
      </c>
      <c r="J38" s="64"/>
      <c r="K38" s="40"/>
      <c r="L38" s="40"/>
      <c r="M38" s="40"/>
    </row>
    <row r="39" spans="1:13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8">
      <c r="A40" s="39" t="s">
        <v>105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8.600000000000001" thickBot="1">
      <c r="A41" s="43" t="s">
        <v>106</v>
      </c>
      <c r="B41" s="44"/>
      <c r="C41" s="44"/>
      <c r="D41" s="44"/>
      <c r="E41" s="43">
        <v>2010</v>
      </c>
      <c r="F41" s="43">
        <v>2011</v>
      </c>
      <c r="G41" s="43">
        <v>2012</v>
      </c>
      <c r="H41" s="43">
        <v>2013</v>
      </c>
      <c r="I41" s="43">
        <v>2014</v>
      </c>
      <c r="J41" s="40"/>
      <c r="K41" s="40"/>
      <c r="L41" s="40"/>
      <c r="M41" s="40"/>
    </row>
    <row r="42" spans="1:13" ht="18.600000000000001" thickTop="1">
      <c r="A42" s="39" t="s">
        <v>49</v>
      </c>
      <c r="B42" s="40"/>
      <c r="C42" s="40"/>
      <c r="D42" s="40"/>
      <c r="E42" s="40">
        <v>1.6</v>
      </c>
      <c r="F42" s="40">
        <v>3.2</v>
      </c>
      <c r="G42" s="40">
        <v>2.1</v>
      </c>
      <c r="H42" s="40">
        <v>1.5</v>
      </c>
      <c r="I42" s="40">
        <v>1.6</v>
      </c>
      <c r="J42" s="40"/>
      <c r="K42" s="40"/>
      <c r="L42" s="40"/>
      <c r="M42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2"/>
  <sheetViews>
    <sheetView topLeftCell="A91" workbookViewId="0">
      <selection activeCell="D32" sqref="D32"/>
    </sheetView>
  </sheetViews>
  <sheetFormatPr defaultRowHeight="14.4"/>
  <cols>
    <col min="1" max="1" width="12.44140625" customWidth="1"/>
    <col min="2" max="2" width="9.33203125" bestFit="1" customWidth="1"/>
    <col min="3" max="3" width="15.5546875" customWidth="1"/>
    <col min="4" max="4" width="14.5546875" customWidth="1"/>
    <col min="5" max="5" width="12.5546875" customWidth="1"/>
    <col min="6" max="6" width="15.88671875" customWidth="1"/>
    <col min="7" max="7" width="14.88671875" customWidth="1"/>
    <col min="8" max="8" width="16.6640625" customWidth="1"/>
  </cols>
  <sheetData>
    <row r="1" spans="2:13">
      <c r="I1" s="18"/>
      <c r="J1" s="18"/>
      <c r="K1" s="18"/>
      <c r="L1" s="18"/>
      <c r="M1" s="18"/>
    </row>
    <row r="2" spans="2:13" ht="23.4">
      <c r="B2" s="82" t="s">
        <v>226</v>
      </c>
      <c r="C2" s="82"/>
      <c r="D2" s="82"/>
      <c r="E2" s="82"/>
      <c r="F2" s="82"/>
      <c r="G2" s="82"/>
      <c r="H2" s="82"/>
      <c r="I2" s="87"/>
      <c r="J2" s="87"/>
      <c r="K2" s="18"/>
      <c r="L2" s="18"/>
      <c r="M2" s="18"/>
    </row>
    <row r="3" spans="2:13" ht="23.4">
      <c r="B3" s="82" t="s">
        <v>227</v>
      </c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</row>
    <row r="4" spans="2:13" ht="18">
      <c r="B4" s="40"/>
      <c r="C4" s="40"/>
      <c r="D4" s="40"/>
      <c r="E4" s="40"/>
      <c r="F4" s="40"/>
      <c r="G4" s="40"/>
      <c r="H4" s="40"/>
      <c r="I4" s="18"/>
      <c r="J4" s="18"/>
      <c r="K4" s="18"/>
      <c r="L4" s="18"/>
      <c r="M4" s="18"/>
    </row>
    <row r="5" spans="2:13" ht="18">
      <c r="B5" s="68" t="s">
        <v>166</v>
      </c>
      <c r="C5" s="68" t="s">
        <v>165</v>
      </c>
      <c r="D5" s="68" t="s">
        <v>2</v>
      </c>
      <c r="E5" s="68" t="s">
        <v>2</v>
      </c>
      <c r="F5" s="68" t="s">
        <v>169</v>
      </c>
      <c r="G5" s="68" t="s">
        <v>173</v>
      </c>
      <c r="H5" s="68" t="s">
        <v>170</v>
      </c>
      <c r="I5" s="18"/>
      <c r="J5" s="18"/>
      <c r="K5" s="18"/>
      <c r="L5" s="18"/>
      <c r="M5" s="18"/>
    </row>
    <row r="6" spans="2:13" ht="18">
      <c r="B6" s="79"/>
      <c r="C6" s="79" t="s">
        <v>181</v>
      </c>
      <c r="D6" s="79" t="s">
        <v>3</v>
      </c>
      <c r="E6" s="79" t="s">
        <v>171</v>
      </c>
      <c r="F6" s="79" t="s">
        <v>172</v>
      </c>
      <c r="G6" s="79" t="s">
        <v>175</v>
      </c>
      <c r="H6" s="79" t="s">
        <v>174</v>
      </c>
      <c r="I6" s="18"/>
      <c r="J6" s="18"/>
      <c r="K6" s="18"/>
      <c r="L6" s="18"/>
      <c r="M6" s="18"/>
    </row>
    <row r="7" spans="2:13" ht="18.600000000000001" thickBot="1">
      <c r="B7" s="80"/>
      <c r="C7" s="80"/>
      <c r="D7" s="69" t="s">
        <v>167</v>
      </c>
      <c r="E7" s="69" t="s">
        <v>167</v>
      </c>
      <c r="F7" s="69" t="s">
        <v>167</v>
      </c>
      <c r="G7" s="80"/>
      <c r="H7" s="69" t="s">
        <v>175</v>
      </c>
      <c r="I7" s="18"/>
      <c r="J7" s="18"/>
      <c r="K7" s="18"/>
      <c r="L7" s="18"/>
      <c r="M7" s="18"/>
    </row>
    <row r="8" spans="2:13" ht="18.600000000000001" thickTop="1">
      <c r="B8" s="40"/>
      <c r="C8" s="40"/>
      <c r="D8" s="40"/>
      <c r="E8" s="40"/>
      <c r="F8" s="40"/>
      <c r="G8" s="40"/>
      <c r="H8" s="40"/>
      <c r="I8" s="18"/>
      <c r="J8" s="18"/>
      <c r="K8" s="18"/>
      <c r="L8" s="18"/>
      <c r="M8" s="18"/>
    </row>
    <row r="9" spans="2:13" s="116" customFormat="1" ht="18">
      <c r="B9" s="100">
        <v>0</v>
      </c>
      <c r="C9" s="100">
        <v>0</v>
      </c>
      <c r="D9" s="104">
        <f>'YEAR 1'!H56</f>
        <v>4280.2</v>
      </c>
      <c r="E9" s="104">
        <f>$D$32*C9</f>
        <v>0</v>
      </c>
      <c r="F9" s="104">
        <f>E9-D9</f>
        <v>-4280.2</v>
      </c>
      <c r="G9" s="104">
        <f>F9</f>
        <v>-4280.2</v>
      </c>
      <c r="H9" s="104">
        <f>F9/(1+$D$33)^B9</f>
        <v>-4280.2</v>
      </c>
      <c r="I9" s="118"/>
      <c r="J9" s="118"/>
      <c r="K9" s="118"/>
      <c r="L9" s="118"/>
      <c r="M9" s="118"/>
    </row>
    <row r="10" spans="2:13" s="116" customFormat="1" ht="18">
      <c r="B10" s="100">
        <v>1</v>
      </c>
      <c r="C10" s="100">
        <v>0</v>
      </c>
      <c r="D10" s="104">
        <f>'YEAR 1'!H54 - 'YEAR 1'!H56</f>
        <v>780.50847800552037</v>
      </c>
      <c r="E10" s="104">
        <f t="shared" ref="E10:E29" si="0">$D$32*C10</f>
        <v>0</v>
      </c>
      <c r="F10" s="104">
        <f t="shared" ref="F10:F29" si="1">E10-D10</f>
        <v>-780.50847800552037</v>
      </c>
      <c r="G10" s="104">
        <f>SUM($F$9:F10)</f>
        <v>-5060.7084780055202</v>
      </c>
      <c r="H10" s="104">
        <f t="shared" ref="H10:H29" si="2">F10/(1+$D$33)^B10</f>
        <v>-743.34140762430513</v>
      </c>
      <c r="I10" s="118"/>
      <c r="J10" s="118"/>
      <c r="K10" s="118"/>
      <c r="L10" s="118"/>
      <c r="M10" s="118"/>
    </row>
    <row r="11" spans="2:13" s="116" customFormat="1" ht="18">
      <c r="B11" s="100">
        <v>2</v>
      </c>
      <c r="C11" s="100">
        <v>1</v>
      </c>
      <c r="D11" s="104">
        <f>'YEAR 2'!H31</f>
        <v>982.38322570788273</v>
      </c>
      <c r="E11" s="104">
        <f t="shared" si="0"/>
        <v>500</v>
      </c>
      <c r="F11" s="104">
        <f t="shared" si="1"/>
        <v>-482.38322570788273</v>
      </c>
      <c r="G11" s="104">
        <f>SUM($F$9:F11)</f>
        <v>-5543.0917037134031</v>
      </c>
      <c r="H11" s="104">
        <f t="shared" si="2"/>
        <v>-437.53580563073263</v>
      </c>
      <c r="I11" s="118"/>
      <c r="J11" s="118"/>
      <c r="K11" s="118"/>
      <c r="L11" s="118"/>
      <c r="M11" s="118"/>
    </row>
    <row r="12" spans="2:13" s="116" customFormat="1" ht="18">
      <c r="B12" s="100">
        <v>3</v>
      </c>
      <c r="C12" s="100">
        <v>1.5</v>
      </c>
      <c r="D12" s="104">
        <f>'YEAR 3'!H32</f>
        <v>2137.1928948427258</v>
      </c>
      <c r="E12" s="104">
        <f t="shared" si="0"/>
        <v>750</v>
      </c>
      <c r="F12" s="104">
        <f t="shared" si="1"/>
        <v>-1387.1928948427258</v>
      </c>
      <c r="G12" s="104">
        <f>SUM($F$9:F12)</f>
        <v>-6930.2845985561289</v>
      </c>
      <c r="H12" s="104">
        <f t="shared" si="2"/>
        <v>-1198.3093789808665</v>
      </c>
      <c r="I12" s="118"/>
      <c r="J12" s="118"/>
      <c r="K12" s="118"/>
      <c r="L12" s="118"/>
      <c r="M12" s="118"/>
    </row>
    <row r="13" spans="2:13" s="116" customFormat="1" ht="18">
      <c r="B13" s="100">
        <v>4</v>
      </c>
      <c r="C13" s="100">
        <v>8</v>
      </c>
      <c r="D13" s="104">
        <f>'YEAR 4'!$H$35</f>
        <v>3027.5915477983285</v>
      </c>
      <c r="E13" s="104">
        <f t="shared" si="0"/>
        <v>4000</v>
      </c>
      <c r="F13" s="104">
        <f t="shared" si="1"/>
        <v>972.40845220167148</v>
      </c>
      <c r="G13" s="104">
        <f>SUM($F$9:F13)</f>
        <v>-5957.8761463544579</v>
      </c>
      <c r="H13" s="104">
        <f t="shared" si="2"/>
        <v>800.00284013485862</v>
      </c>
      <c r="I13" s="118"/>
      <c r="J13" s="118"/>
      <c r="K13" s="118"/>
      <c r="L13" s="118"/>
      <c r="M13" s="118"/>
    </row>
    <row r="14" spans="2:13" s="116" customFormat="1" ht="18">
      <c r="B14" s="100">
        <v>5</v>
      </c>
      <c r="C14" s="100">
        <v>8</v>
      </c>
      <c r="D14" s="104">
        <f>'YEAR 4'!$H$35</f>
        <v>3027.5915477983285</v>
      </c>
      <c r="E14" s="104">
        <f t="shared" si="0"/>
        <v>4000</v>
      </c>
      <c r="F14" s="104">
        <f t="shared" si="1"/>
        <v>972.40845220167148</v>
      </c>
      <c r="G14" s="104">
        <f>SUM($F$9:F14)</f>
        <v>-4985.4676941527869</v>
      </c>
      <c r="H14" s="104">
        <f t="shared" si="2"/>
        <v>761.90746679510335</v>
      </c>
      <c r="I14" s="118"/>
      <c r="J14" s="118"/>
      <c r="K14" s="118"/>
      <c r="L14" s="118"/>
      <c r="M14" s="118"/>
    </row>
    <row r="15" spans="2:13" s="116" customFormat="1" ht="18">
      <c r="B15" s="100">
        <v>6</v>
      </c>
      <c r="C15" s="100">
        <v>8</v>
      </c>
      <c r="D15" s="104">
        <f>'YEAR 4'!$H$35</f>
        <v>3027.5915477983285</v>
      </c>
      <c r="E15" s="104">
        <f t="shared" si="0"/>
        <v>4000</v>
      </c>
      <c r="F15" s="104">
        <f t="shared" si="1"/>
        <v>972.40845220167148</v>
      </c>
      <c r="G15" s="104">
        <f>SUM($F$9:F15)</f>
        <v>-4013.0592419511154</v>
      </c>
      <c r="H15" s="104">
        <f t="shared" si="2"/>
        <v>725.62615885247942</v>
      </c>
      <c r="I15" s="118"/>
      <c r="J15" s="118"/>
      <c r="K15" s="118"/>
      <c r="L15" s="118"/>
      <c r="M15" s="118"/>
    </row>
    <row r="16" spans="2:13" s="116" customFormat="1" ht="18">
      <c r="B16" s="100">
        <v>7</v>
      </c>
      <c r="C16" s="100">
        <v>8</v>
      </c>
      <c r="D16" s="104">
        <f>'YEAR 4'!$H$35</f>
        <v>3027.5915477983285</v>
      </c>
      <c r="E16" s="104">
        <f t="shared" si="0"/>
        <v>4000</v>
      </c>
      <c r="F16" s="104">
        <f t="shared" si="1"/>
        <v>972.40845220167148</v>
      </c>
      <c r="G16" s="104">
        <f>SUM($F$9:F16)</f>
        <v>-3040.6507897494439</v>
      </c>
      <c r="H16" s="104">
        <f t="shared" si="2"/>
        <v>691.07253224045655</v>
      </c>
      <c r="I16" s="118"/>
      <c r="J16" s="118"/>
      <c r="K16" s="118"/>
      <c r="L16" s="118"/>
      <c r="M16" s="118"/>
    </row>
    <row r="17" spans="1:27" s="116" customFormat="1" ht="18">
      <c r="B17" s="100">
        <v>8</v>
      </c>
      <c r="C17" s="100">
        <v>8</v>
      </c>
      <c r="D17" s="104">
        <f>'YEAR 4'!$H$35</f>
        <v>3027.5915477983285</v>
      </c>
      <c r="E17" s="104">
        <f t="shared" si="0"/>
        <v>4000</v>
      </c>
      <c r="F17" s="104">
        <f t="shared" si="1"/>
        <v>972.40845220167148</v>
      </c>
      <c r="G17" s="104">
        <f>SUM($F$9:F17)</f>
        <v>-2068.2423375477724</v>
      </c>
      <c r="H17" s="104">
        <f t="shared" si="2"/>
        <v>658.16431641948247</v>
      </c>
      <c r="I17" s="118"/>
      <c r="J17" s="118"/>
      <c r="K17" s="118"/>
      <c r="L17" s="118"/>
      <c r="M17" s="118"/>
    </row>
    <row r="18" spans="1:27" s="116" customFormat="1" ht="18">
      <c r="B18" s="99">
        <v>9</v>
      </c>
      <c r="C18" s="100">
        <v>8</v>
      </c>
      <c r="D18" s="104">
        <f>'YEAR 4'!$H$35</f>
        <v>3027.5915477983285</v>
      </c>
      <c r="E18" s="104">
        <f t="shared" si="0"/>
        <v>4000</v>
      </c>
      <c r="F18" s="104">
        <f t="shared" si="1"/>
        <v>972.40845220167148</v>
      </c>
      <c r="G18" s="119">
        <f>SUM($F$9:F18)</f>
        <v>-1095.8338853461009</v>
      </c>
      <c r="H18" s="104">
        <f t="shared" si="2"/>
        <v>626.82315849474514</v>
      </c>
      <c r="I18" s="118"/>
      <c r="J18" s="118"/>
      <c r="K18" s="118"/>
      <c r="L18" s="118"/>
      <c r="M18" s="118"/>
    </row>
    <row r="19" spans="1:27" s="116" customFormat="1" ht="18">
      <c r="B19" s="99">
        <v>10</v>
      </c>
      <c r="C19" s="100">
        <v>8</v>
      </c>
      <c r="D19" s="104">
        <f>'YEAR 4'!$H$35</f>
        <v>3027.5915477983285</v>
      </c>
      <c r="E19" s="104">
        <f t="shared" si="0"/>
        <v>4000</v>
      </c>
      <c r="F19" s="104">
        <f t="shared" si="1"/>
        <v>972.40845220167148</v>
      </c>
      <c r="G19" s="104">
        <f>SUM($F$9:F19)</f>
        <v>-123.42543314442946</v>
      </c>
      <c r="H19" s="104">
        <f t="shared" si="2"/>
        <v>596.97443666166203</v>
      </c>
      <c r="I19" s="118"/>
      <c r="J19" s="118"/>
      <c r="K19" s="118"/>
      <c r="L19" s="118"/>
      <c r="M19" s="118"/>
    </row>
    <row r="20" spans="1:27" s="116" customFormat="1" ht="18">
      <c r="B20" s="120">
        <v>11</v>
      </c>
      <c r="C20" s="100">
        <v>8</v>
      </c>
      <c r="D20" s="104">
        <f>'YEAR 4'!$H$35</f>
        <v>3027.5915477983285</v>
      </c>
      <c r="E20" s="104">
        <f t="shared" si="0"/>
        <v>4000</v>
      </c>
      <c r="F20" s="104">
        <f t="shared" si="1"/>
        <v>972.40845220167148</v>
      </c>
      <c r="G20" s="121">
        <f>SUM($F$9:F20)</f>
        <v>848.98301905724202</v>
      </c>
      <c r="H20" s="104">
        <f t="shared" si="2"/>
        <v>568.54708253491617</v>
      </c>
      <c r="I20" s="118"/>
      <c r="J20" s="118"/>
      <c r="K20" s="118"/>
      <c r="L20" s="118"/>
      <c r="M20" s="118"/>
    </row>
    <row r="21" spans="1:27" s="116" customFormat="1" ht="18">
      <c r="B21" s="100">
        <v>12</v>
      </c>
      <c r="C21" s="100">
        <v>8</v>
      </c>
      <c r="D21" s="104">
        <f>'YEAR 4'!$H$35</f>
        <v>3027.5915477983285</v>
      </c>
      <c r="E21" s="104">
        <f t="shared" si="0"/>
        <v>4000</v>
      </c>
      <c r="F21" s="104">
        <f t="shared" si="1"/>
        <v>972.40845220167148</v>
      </c>
      <c r="G21" s="104">
        <f>SUM($F$9:F21)</f>
        <v>1821.3914712589135</v>
      </c>
      <c r="H21" s="104">
        <f t="shared" si="2"/>
        <v>541.47341193801549</v>
      </c>
      <c r="I21" s="118"/>
      <c r="J21" s="118"/>
      <c r="K21" s="118"/>
      <c r="L21" s="118"/>
      <c r="M21" s="118"/>
    </row>
    <row r="22" spans="1:27" s="116" customFormat="1" ht="18">
      <c r="B22" s="100">
        <v>13</v>
      </c>
      <c r="C22" s="100">
        <v>8</v>
      </c>
      <c r="D22" s="104">
        <f>'YEAR 4'!$H$35</f>
        <v>3027.5915477983285</v>
      </c>
      <c r="E22" s="104">
        <f t="shared" si="0"/>
        <v>4000</v>
      </c>
      <c r="F22" s="104">
        <f t="shared" si="1"/>
        <v>972.40845220167148</v>
      </c>
      <c r="G22" s="104">
        <f>SUM($F$9:F22)</f>
        <v>2793.799923460585</v>
      </c>
      <c r="H22" s="104">
        <f t="shared" si="2"/>
        <v>515.68896375049087</v>
      </c>
      <c r="I22" s="118"/>
      <c r="J22" s="118"/>
      <c r="K22" s="118"/>
      <c r="L22" s="118"/>
      <c r="M22" s="118"/>
    </row>
    <row r="23" spans="1:27" s="116" customFormat="1" ht="18">
      <c r="B23" s="100">
        <v>14</v>
      </c>
      <c r="C23" s="100">
        <v>8</v>
      </c>
      <c r="D23" s="104">
        <f>'YEAR 4'!$H$35</f>
        <v>3027.5915477983285</v>
      </c>
      <c r="E23" s="104">
        <f t="shared" si="0"/>
        <v>4000</v>
      </c>
      <c r="F23" s="104">
        <f t="shared" si="1"/>
        <v>972.40845220167148</v>
      </c>
      <c r="G23" s="104">
        <f>SUM($F$9:F23)</f>
        <v>3766.2083756622565</v>
      </c>
      <c r="H23" s="104">
        <f t="shared" si="2"/>
        <v>491.13234642903905</v>
      </c>
      <c r="I23" s="118"/>
      <c r="J23" s="118"/>
      <c r="K23" s="118"/>
      <c r="L23" s="118"/>
      <c r="M23" s="118"/>
    </row>
    <row r="24" spans="1:27" s="116" customFormat="1" ht="18">
      <c r="B24" s="100">
        <v>15</v>
      </c>
      <c r="C24" s="100">
        <v>8</v>
      </c>
      <c r="D24" s="104">
        <f>'YEAR 4'!$H$35</f>
        <v>3027.5915477983285</v>
      </c>
      <c r="E24" s="104">
        <f t="shared" si="0"/>
        <v>4000</v>
      </c>
      <c r="F24" s="104">
        <f t="shared" si="1"/>
        <v>972.40845220167148</v>
      </c>
      <c r="G24" s="104">
        <f>SUM($F$9:F24)</f>
        <v>4738.6168278639279</v>
      </c>
      <c r="H24" s="104">
        <f t="shared" si="2"/>
        <v>467.74509183717993</v>
      </c>
      <c r="I24" s="118"/>
      <c r="J24" s="118"/>
      <c r="K24" s="118"/>
      <c r="L24" s="118"/>
      <c r="M24" s="118"/>
    </row>
    <row r="25" spans="1:27" s="116" customFormat="1" ht="18">
      <c r="B25" s="100">
        <v>16</v>
      </c>
      <c r="C25" s="100">
        <v>8</v>
      </c>
      <c r="D25" s="104">
        <f>'YEAR 4'!$H$35</f>
        <v>3027.5915477983285</v>
      </c>
      <c r="E25" s="104">
        <f t="shared" si="0"/>
        <v>4000</v>
      </c>
      <c r="F25" s="104">
        <f t="shared" si="1"/>
        <v>972.40845220167148</v>
      </c>
      <c r="G25" s="104">
        <f>SUM($F$9:F25)</f>
        <v>5711.0252800655999</v>
      </c>
      <c r="H25" s="104">
        <f t="shared" si="2"/>
        <v>445.47151603540948</v>
      </c>
      <c r="I25" s="118"/>
      <c r="J25" s="118"/>
      <c r="K25" s="118"/>
      <c r="L25" s="118"/>
      <c r="M25" s="118"/>
    </row>
    <row r="26" spans="1:27" s="116" customFormat="1" ht="18">
      <c r="B26" s="100">
        <v>17</v>
      </c>
      <c r="C26" s="100">
        <v>8</v>
      </c>
      <c r="D26" s="104">
        <f>'YEAR 4'!$H$35</f>
        <v>3027.5915477983285</v>
      </c>
      <c r="E26" s="104">
        <f t="shared" si="0"/>
        <v>4000</v>
      </c>
      <c r="F26" s="104">
        <f t="shared" si="1"/>
        <v>972.40845220167148</v>
      </c>
      <c r="G26" s="104">
        <f>SUM($F$9:F26)</f>
        <v>6683.4337322672709</v>
      </c>
      <c r="H26" s="104">
        <f t="shared" si="2"/>
        <v>424.25858670038991</v>
      </c>
      <c r="I26" s="118"/>
      <c r="J26" s="118"/>
      <c r="K26" s="118"/>
      <c r="L26" s="118"/>
      <c r="M26" s="118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spans="1:27" s="116" customFormat="1" ht="18">
      <c r="B27" s="100">
        <v>18</v>
      </c>
      <c r="C27" s="100">
        <v>8</v>
      </c>
      <c r="D27" s="104">
        <f>'YEAR 4'!$H$35</f>
        <v>3027.5915477983285</v>
      </c>
      <c r="E27" s="104">
        <f t="shared" si="0"/>
        <v>4000</v>
      </c>
      <c r="F27" s="104">
        <f t="shared" si="1"/>
        <v>972.40845220167148</v>
      </c>
      <c r="G27" s="104">
        <f>SUM($F$9:F27)</f>
        <v>7655.8421844689419</v>
      </c>
      <c r="H27" s="104">
        <f t="shared" si="2"/>
        <v>404.05579685751422</v>
      </c>
      <c r="I27" s="118"/>
      <c r="J27" s="118"/>
      <c r="K27" s="118"/>
      <c r="L27" s="118"/>
      <c r="M27" s="118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spans="1:27" s="116" customFormat="1" ht="19.2">
      <c r="B28" s="100">
        <v>19</v>
      </c>
      <c r="C28" s="100">
        <v>8</v>
      </c>
      <c r="D28" s="104">
        <f>'YEAR 4'!$H$35</f>
        <v>3027.5915477983285</v>
      </c>
      <c r="E28" s="104">
        <f t="shared" si="0"/>
        <v>4000</v>
      </c>
      <c r="F28" s="104">
        <f t="shared" si="1"/>
        <v>972.40845220167148</v>
      </c>
      <c r="G28" s="104">
        <f>SUM($F$9:F28)</f>
        <v>8628.2506366706129</v>
      </c>
      <c r="H28" s="104">
        <f t="shared" si="2"/>
        <v>384.81504462620398</v>
      </c>
      <c r="I28" s="118"/>
      <c r="J28" s="123"/>
      <c r="K28" s="124"/>
      <c r="L28" s="124"/>
      <c r="M28" s="124"/>
      <c r="N28" s="124"/>
      <c r="O28" s="124"/>
      <c r="P28" s="124"/>
      <c r="Q28" s="124"/>
      <c r="R28" s="122"/>
      <c r="S28" s="123"/>
      <c r="T28" s="124"/>
      <c r="U28" s="124"/>
      <c r="V28" s="124"/>
      <c r="W28" s="124"/>
      <c r="X28" s="124"/>
      <c r="Y28" s="124"/>
      <c r="Z28" s="124"/>
      <c r="AA28" s="122"/>
    </row>
    <row r="29" spans="1:27" s="116" customFormat="1" ht="19.2">
      <c r="B29" s="100">
        <v>20</v>
      </c>
      <c r="C29" s="100">
        <v>8</v>
      </c>
      <c r="D29" s="104">
        <f>'YEAR 4'!$H$35</f>
        <v>3027.5915477983285</v>
      </c>
      <c r="E29" s="104">
        <f t="shared" si="0"/>
        <v>4000</v>
      </c>
      <c r="F29" s="104">
        <f t="shared" si="1"/>
        <v>972.40845220167148</v>
      </c>
      <c r="G29" s="104">
        <f>SUM($F$9:F29)</f>
        <v>9600.659088872284</v>
      </c>
      <c r="H29" s="104">
        <f t="shared" si="2"/>
        <v>366.49051869162287</v>
      </c>
      <c r="I29" s="118"/>
      <c r="J29" s="123"/>
      <c r="K29" s="125"/>
      <c r="L29" s="125"/>
      <c r="M29" s="125"/>
      <c r="N29" s="125"/>
      <c r="O29" s="125"/>
      <c r="P29" s="125"/>
      <c r="Q29" s="125"/>
      <c r="R29" s="122"/>
      <c r="S29" s="123"/>
      <c r="T29" s="125"/>
      <c r="U29" s="125"/>
      <c r="V29" s="125"/>
      <c r="W29" s="125"/>
      <c r="X29" s="125"/>
      <c r="Y29" s="125"/>
      <c r="Z29" s="125"/>
      <c r="AA29" s="122"/>
    </row>
    <row r="30" spans="1:27" s="116" customFormat="1" ht="19.8" thickBot="1">
      <c r="B30" s="126" t="s">
        <v>2</v>
      </c>
      <c r="C30" s="127"/>
      <c r="D30" s="127">
        <f>SUM(D9:D29)</f>
        <v>59649.340911127721</v>
      </c>
      <c r="E30" s="127">
        <f>SUM(E9:E29)</f>
        <v>69250</v>
      </c>
      <c r="F30" s="127">
        <f>SUM(F9:F29)</f>
        <v>9600.659088872284</v>
      </c>
      <c r="G30" s="127"/>
      <c r="H30" s="128">
        <f>SUM(H9:H29)</f>
        <v>2810.8626767636665</v>
      </c>
      <c r="I30" s="118"/>
      <c r="J30" s="123"/>
      <c r="K30" s="125"/>
      <c r="L30" s="125"/>
      <c r="M30" s="125"/>
      <c r="N30" s="125"/>
      <c r="O30" s="129"/>
      <c r="P30" s="129"/>
      <c r="Q30" s="129"/>
      <c r="R30" s="122"/>
      <c r="S30" s="123"/>
      <c r="T30" s="125"/>
      <c r="U30" s="125"/>
      <c r="V30" s="125"/>
      <c r="W30" s="125"/>
      <c r="X30" s="129"/>
      <c r="Y30" s="129"/>
      <c r="Z30" s="129"/>
      <c r="AA30" s="122"/>
    </row>
    <row r="31" spans="1:27" ht="19.2">
      <c r="B31" s="40"/>
      <c r="C31" s="40"/>
      <c r="D31" s="40"/>
      <c r="E31" s="40"/>
      <c r="F31" s="40"/>
      <c r="G31" s="40"/>
      <c r="H31" s="40"/>
      <c r="I31" s="18"/>
      <c r="J31" s="93"/>
      <c r="K31" s="25"/>
      <c r="L31" s="25"/>
      <c r="M31" s="95"/>
      <c r="N31" s="95"/>
      <c r="O31" s="95"/>
      <c r="P31" s="95"/>
      <c r="Q31" s="95"/>
      <c r="R31" s="5"/>
      <c r="S31" s="93"/>
      <c r="T31" s="25"/>
      <c r="U31" s="25"/>
      <c r="V31" s="95"/>
      <c r="W31" s="95"/>
      <c r="X31" s="95"/>
      <c r="Y31" s="95"/>
      <c r="Z31" s="95"/>
      <c r="AA31" s="5"/>
    </row>
    <row r="32" spans="1:27" ht="19.2">
      <c r="A32" s="39"/>
      <c r="B32" s="70"/>
      <c r="C32" s="39" t="s">
        <v>176</v>
      </c>
      <c r="D32" s="40">
        <v>500</v>
      </c>
      <c r="E32" s="40"/>
      <c r="F32" s="40"/>
      <c r="G32" s="40"/>
      <c r="I32" s="18"/>
      <c r="J32" s="93"/>
      <c r="K32" s="25"/>
      <c r="L32" s="95"/>
      <c r="M32" s="95"/>
      <c r="N32" s="95"/>
      <c r="O32" s="95"/>
      <c r="P32" s="95"/>
      <c r="Q32" s="95"/>
      <c r="R32" s="5"/>
      <c r="S32" s="93"/>
      <c r="T32" s="25"/>
      <c r="U32" s="95"/>
      <c r="V32" s="95"/>
      <c r="W32" s="95"/>
      <c r="X32" s="95"/>
      <c r="Y32" s="95"/>
      <c r="Z32" s="95"/>
      <c r="AA32" s="5"/>
    </row>
    <row r="33" spans="1:27" ht="19.2">
      <c r="A33" s="39"/>
      <c r="B33" s="70"/>
      <c r="C33" s="39" t="s">
        <v>41</v>
      </c>
      <c r="D33" s="40">
        <v>0.05</v>
      </c>
      <c r="E33" s="40"/>
      <c r="F33" s="40"/>
      <c r="G33" s="40"/>
      <c r="I33" s="18"/>
      <c r="J33" s="93"/>
      <c r="K33" s="95"/>
      <c r="L33" s="95"/>
      <c r="M33" s="95"/>
      <c r="N33" s="95"/>
      <c r="O33" s="95"/>
      <c r="P33" s="95"/>
      <c r="Q33" s="95"/>
      <c r="R33" s="5"/>
      <c r="S33" s="93"/>
      <c r="T33" s="95"/>
      <c r="U33" s="95"/>
      <c r="V33" s="95"/>
      <c r="W33" s="95"/>
      <c r="X33" s="95"/>
      <c r="Y33" s="95"/>
      <c r="Z33" s="95"/>
      <c r="AA33" s="5"/>
    </row>
    <row r="34" spans="1:27" ht="19.2">
      <c r="B34" s="136" t="s">
        <v>178</v>
      </c>
      <c r="C34" s="136"/>
      <c r="D34" s="136"/>
      <c r="E34" s="136"/>
      <c r="F34" s="136"/>
      <c r="G34" s="136"/>
      <c r="H34" s="13">
        <f>(E30-D30)/D30</f>
        <v>0.16095163738986518</v>
      </c>
      <c r="I34" s="18"/>
      <c r="J34" s="93"/>
      <c r="K34" s="95"/>
      <c r="L34" s="95"/>
      <c r="M34" s="95"/>
      <c r="N34" s="95"/>
      <c r="O34" s="95"/>
      <c r="P34" s="95"/>
      <c r="Q34" s="95"/>
      <c r="R34" s="5"/>
      <c r="S34" s="93"/>
      <c r="T34" s="95"/>
      <c r="U34" s="95"/>
      <c r="V34" s="95"/>
      <c r="W34" s="95"/>
      <c r="X34" s="95"/>
      <c r="Y34" s="95"/>
      <c r="Z34" s="95"/>
      <c r="AA34" s="5"/>
    </row>
    <row r="35" spans="1:27" ht="18">
      <c r="B35" s="76"/>
      <c r="C35" s="76"/>
      <c r="D35" s="76"/>
      <c r="E35" s="76"/>
      <c r="F35" s="76"/>
      <c r="G35" s="76"/>
      <c r="I35" s="18"/>
      <c r="J35" s="18"/>
      <c r="K35" s="18"/>
      <c r="L35" s="18"/>
      <c r="M35" s="1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>
      <c r="B36" s="136" t="s">
        <v>177</v>
      </c>
      <c r="C36" s="136"/>
      <c r="D36" s="136"/>
      <c r="E36" s="136"/>
      <c r="F36" s="136"/>
      <c r="G36" s="136"/>
      <c r="H36" s="12" t="s">
        <v>215</v>
      </c>
      <c r="I36" s="18"/>
      <c r="J36" s="18"/>
      <c r="K36" s="18"/>
      <c r="L36" s="18"/>
      <c r="M36" s="1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9.2">
      <c r="B37" s="76"/>
      <c r="C37" s="76"/>
      <c r="D37" s="76"/>
      <c r="E37" s="76"/>
      <c r="F37" s="76"/>
      <c r="G37" s="76"/>
      <c r="I37" s="18"/>
      <c r="J37" s="75"/>
      <c r="K37" s="94"/>
      <c r="L37" s="94"/>
      <c r="M37" s="94"/>
      <c r="N37" s="94"/>
      <c r="O37" s="94"/>
      <c r="P37" s="94"/>
      <c r="Q37" s="94"/>
      <c r="R37" s="5"/>
      <c r="S37" s="93"/>
      <c r="T37" s="94"/>
      <c r="U37" s="94"/>
      <c r="V37" s="94"/>
      <c r="W37" s="94"/>
      <c r="X37" s="94"/>
      <c r="Y37" s="94"/>
      <c r="Z37" s="94"/>
      <c r="AA37" s="5"/>
    </row>
    <row r="38" spans="1:27" ht="19.2">
      <c r="B38" s="136" t="s">
        <v>179</v>
      </c>
      <c r="C38" s="136"/>
      <c r="D38" s="136"/>
      <c r="E38" s="136"/>
      <c r="F38" s="136"/>
      <c r="G38" s="136"/>
      <c r="H38" s="15">
        <f>NPV(D33,F10:F29)+F9</f>
        <v>2810.8626767636633</v>
      </c>
      <c r="I38" s="18"/>
      <c r="J38" s="96"/>
      <c r="K38" s="97"/>
      <c r="L38" s="26"/>
      <c r="M38" s="26"/>
      <c r="N38" s="26"/>
      <c r="O38" s="26"/>
      <c r="P38" s="26"/>
      <c r="Q38" s="26"/>
      <c r="R38" s="5"/>
      <c r="S38" s="93"/>
      <c r="T38" s="25"/>
      <c r="U38" s="25"/>
      <c r="V38" s="25"/>
      <c r="W38" s="25"/>
      <c r="X38" s="25"/>
      <c r="Y38" s="25"/>
      <c r="Z38" s="25"/>
      <c r="AA38" s="5"/>
    </row>
    <row r="39" spans="1:27" ht="19.2">
      <c r="B39" s="40"/>
      <c r="C39" s="40"/>
      <c r="D39" s="40"/>
      <c r="E39" s="40"/>
      <c r="F39" s="40"/>
      <c r="G39" s="40"/>
      <c r="I39" s="18"/>
      <c r="J39" s="96"/>
      <c r="K39" s="26"/>
      <c r="L39" s="26"/>
      <c r="M39" s="26"/>
      <c r="N39" s="26"/>
      <c r="O39" s="26"/>
      <c r="P39" s="26"/>
      <c r="Q39" s="98"/>
      <c r="R39" s="5"/>
      <c r="S39" s="93"/>
      <c r="T39" s="25"/>
      <c r="U39" s="25"/>
      <c r="V39" s="25"/>
      <c r="W39" s="25"/>
      <c r="X39" s="95"/>
      <c r="Y39" s="95"/>
      <c r="Z39" s="95"/>
      <c r="AA39" s="5"/>
    </row>
    <row r="40" spans="1:27" ht="19.2">
      <c r="B40" s="136" t="s">
        <v>180</v>
      </c>
      <c r="C40" s="136"/>
      <c r="D40" s="136"/>
      <c r="E40" s="136"/>
      <c r="F40" s="136"/>
      <c r="G40" s="136"/>
      <c r="H40" s="14">
        <f>IRR(F9:F29,9%)</f>
        <v>8.8939347206080877E-2</v>
      </c>
      <c r="I40" s="18"/>
      <c r="J40" s="96"/>
      <c r="K40" s="26"/>
      <c r="L40" s="26"/>
      <c r="M40" s="26"/>
      <c r="N40" s="26"/>
      <c r="O40" s="98"/>
      <c r="P40" s="98"/>
      <c r="Q40" s="98"/>
      <c r="R40" s="5"/>
      <c r="S40" s="93"/>
      <c r="T40" s="25"/>
      <c r="U40" s="25"/>
      <c r="V40" s="95"/>
      <c r="W40" s="95"/>
      <c r="X40" s="95"/>
      <c r="Y40" s="95"/>
      <c r="Z40" s="95"/>
      <c r="AA40" s="5"/>
    </row>
    <row r="41" spans="1:27" ht="19.2">
      <c r="B41" s="40"/>
      <c r="C41" s="40"/>
      <c r="D41" s="40"/>
      <c r="E41" s="40"/>
      <c r="F41" s="40"/>
      <c r="G41" s="40"/>
      <c r="I41" s="18"/>
      <c r="J41" s="96"/>
      <c r="K41" s="26"/>
      <c r="L41" s="26"/>
      <c r="M41" s="98"/>
      <c r="N41" s="98"/>
      <c r="O41" s="98"/>
      <c r="P41" s="98"/>
      <c r="Q41" s="98"/>
      <c r="R41" s="5"/>
      <c r="S41" s="93"/>
      <c r="T41" s="25"/>
      <c r="U41" s="95"/>
      <c r="V41" s="95"/>
      <c r="W41" s="95"/>
      <c r="X41" s="95"/>
      <c r="Y41" s="95"/>
      <c r="Z41" s="95"/>
      <c r="AA41" s="5"/>
    </row>
    <row r="42" spans="1:27" ht="19.2">
      <c r="A42" s="11"/>
      <c r="B42" s="136" t="s">
        <v>182</v>
      </c>
      <c r="C42" s="136"/>
      <c r="D42" s="136"/>
      <c r="E42" s="136"/>
      <c r="F42" s="136"/>
      <c r="G42" s="136"/>
      <c r="H42" s="16">
        <f>MIRR(F9:F29,D33,D33)</f>
        <v>6.8650413694156143E-2</v>
      </c>
      <c r="I42" s="18"/>
      <c r="J42" s="96"/>
      <c r="K42" s="98"/>
      <c r="L42" s="98"/>
      <c r="M42" s="98"/>
      <c r="N42" s="98"/>
      <c r="O42" s="98"/>
      <c r="P42" s="98"/>
      <c r="Q42" s="98"/>
      <c r="R42" s="5"/>
      <c r="S42" s="93"/>
      <c r="T42" s="95"/>
      <c r="U42" s="95"/>
      <c r="V42" s="95"/>
      <c r="W42" s="95"/>
      <c r="X42" s="95"/>
      <c r="Y42" s="95"/>
      <c r="Z42" s="95"/>
      <c r="AA42" s="5"/>
    </row>
    <row r="43" spans="1:27" ht="19.2">
      <c r="B43" s="40"/>
      <c r="C43" s="40"/>
      <c r="D43" s="40"/>
      <c r="E43" s="40"/>
      <c r="F43" s="40"/>
      <c r="G43" s="40"/>
      <c r="J43" s="96"/>
      <c r="K43" s="98"/>
      <c r="L43" s="98"/>
      <c r="M43" s="98"/>
      <c r="N43" s="98"/>
      <c r="O43" s="98"/>
      <c r="P43" s="98"/>
      <c r="Q43" s="98"/>
      <c r="R43" s="5"/>
      <c r="S43" s="93"/>
      <c r="T43" s="95"/>
      <c r="U43" s="95"/>
      <c r="V43" s="95"/>
      <c r="W43" s="95"/>
      <c r="X43" s="95"/>
      <c r="Y43" s="95"/>
      <c r="Z43" s="95"/>
      <c r="AA43" s="5"/>
    </row>
    <row r="44" spans="1:27" ht="18">
      <c r="B44" s="40"/>
      <c r="C44" s="40"/>
      <c r="D44" s="40"/>
      <c r="E44" s="40"/>
      <c r="F44" s="40"/>
      <c r="G44" s="4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">
      <c r="B45" s="40"/>
      <c r="C45" s="40"/>
      <c r="D45" s="40"/>
      <c r="E45" s="40"/>
      <c r="F45" s="40"/>
      <c r="G45" s="40"/>
    </row>
    <row r="46" spans="1:27" ht="23.4">
      <c r="B46" s="82" t="s">
        <v>185</v>
      </c>
      <c r="C46" s="17"/>
      <c r="D46" s="17"/>
      <c r="E46" s="17"/>
      <c r="F46" s="17"/>
      <c r="G46" s="17"/>
      <c r="H46" s="17"/>
    </row>
    <row r="47" spans="1:27" ht="18">
      <c r="B47" s="40"/>
      <c r="C47" s="40"/>
      <c r="D47" s="40"/>
      <c r="E47" s="40"/>
      <c r="F47" s="40"/>
      <c r="G47" s="40"/>
    </row>
    <row r="48" spans="1:27" ht="18">
      <c r="B48" s="40"/>
      <c r="C48" s="40"/>
      <c r="D48" s="40"/>
      <c r="E48" s="40"/>
      <c r="F48" s="40"/>
      <c r="G48" s="40"/>
    </row>
    <row r="49" spans="2:7" ht="18">
      <c r="B49" s="67" t="s">
        <v>183</v>
      </c>
      <c r="C49" s="67" t="s">
        <v>186</v>
      </c>
      <c r="D49" s="67" t="s">
        <v>187</v>
      </c>
      <c r="E49" s="40"/>
      <c r="F49" s="40"/>
      <c r="G49" s="40"/>
    </row>
    <row r="50" spans="2:7" ht="18">
      <c r="B50" s="67" t="s">
        <v>184</v>
      </c>
      <c r="C50" s="37"/>
      <c r="D50" s="37"/>
      <c r="E50" s="40"/>
      <c r="F50" s="40"/>
      <c r="G50" s="40"/>
    </row>
    <row r="51" spans="2:7" ht="18">
      <c r="B51" s="77">
        <v>0</v>
      </c>
      <c r="C51" s="78">
        <f>NPV(B51,$F$10:$F$29)+$F$9</f>
        <v>9600.6590888722822</v>
      </c>
      <c r="D51" s="77">
        <f>MIRR($F$9:$F$29,B51,B51)</f>
        <v>4.4425168398268156E-2</v>
      </c>
      <c r="E51" s="40"/>
      <c r="F51" s="40"/>
      <c r="G51" s="40"/>
    </row>
    <row r="52" spans="2:7" ht="18">
      <c r="B52" s="77">
        <v>0.01</v>
      </c>
      <c r="C52" s="78">
        <f t="shared" ref="C52:C71" si="3">NPV(B52,$F$10:$F$29)+$F$9</f>
        <v>7815.5545569746055</v>
      </c>
      <c r="D52" s="77">
        <f t="shared" ref="D52:D71" si="4">MIRR($F$9:$F$29,B52,B52)</f>
        <v>4.9093660011269469E-2</v>
      </c>
      <c r="E52" s="40"/>
      <c r="F52" s="40"/>
      <c r="G52" s="40"/>
    </row>
    <row r="53" spans="2:7" ht="18">
      <c r="B53" s="77">
        <v>0.02</v>
      </c>
      <c r="C53" s="78">
        <f t="shared" si="3"/>
        <v>6279.7205859327105</v>
      </c>
      <c r="D53" s="77">
        <f t="shared" si="4"/>
        <v>5.385242128252532E-2</v>
      </c>
      <c r="E53" s="40"/>
      <c r="F53" s="40"/>
      <c r="G53" s="40"/>
    </row>
    <row r="54" spans="2:7" ht="18">
      <c r="B54" s="77">
        <v>0.03</v>
      </c>
      <c r="C54" s="78">
        <f t="shared" si="3"/>
        <v>4954.2710280507408</v>
      </c>
      <c r="D54" s="77">
        <f t="shared" si="4"/>
        <v>5.8699575726929965E-2</v>
      </c>
      <c r="E54" s="40"/>
      <c r="F54" s="40"/>
      <c r="G54" s="40"/>
    </row>
    <row r="55" spans="2:7" ht="18">
      <c r="B55" s="77">
        <v>0.04</v>
      </c>
      <c r="C55" s="78">
        <f t="shared" si="3"/>
        <v>3806.9374678542245</v>
      </c>
      <c r="D55" s="77">
        <f t="shared" si="4"/>
        <v>6.3633012265986055E-2</v>
      </c>
      <c r="E55" s="40"/>
      <c r="F55" s="40"/>
      <c r="G55" s="40"/>
    </row>
    <row r="56" spans="2:7" ht="18">
      <c r="B56" s="77">
        <v>0.05</v>
      </c>
      <c r="C56" s="78">
        <f t="shared" si="3"/>
        <v>2810.8626767636633</v>
      </c>
      <c r="D56" s="77">
        <f t="shared" si="4"/>
        <v>6.8650413694156143E-2</v>
      </c>
      <c r="E56" s="40"/>
      <c r="F56" s="40"/>
      <c r="G56" s="40"/>
    </row>
    <row r="57" spans="2:7" ht="18">
      <c r="B57" s="77">
        <v>0.06</v>
      </c>
      <c r="C57" s="78">
        <f t="shared" si="3"/>
        <v>1943.6269162942326</v>
      </c>
      <c r="D57" s="77">
        <f t="shared" si="4"/>
        <v>7.3749285825521538E-2</v>
      </c>
      <c r="E57" s="40"/>
      <c r="F57" s="40"/>
      <c r="G57" s="40"/>
    </row>
    <row r="58" spans="2:7" ht="18">
      <c r="B58" s="77">
        <v>7.0000000000000007E-2</v>
      </c>
      <c r="C58" s="78">
        <f t="shared" si="3"/>
        <v>1186.4599104389517</v>
      </c>
      <c r="D58" s="77">
        <f t="shared" si="4"/>
        <v>7.892698670371523E-2</v>
      </c>
      <c r="E58" s="40"/>
      <c r="F58" s="40"/>
      <c r="G58" s="40"/>
    </row>
    <row r="59" spans="2:7" ht="18">
      <c r="B59" s="77">
        <v>0.08</v>
      </c>
      <c r="C59" s="78">
        <f t="shared" si="3"/>
        <v>523.60128612999506</v>
      </c>
      <c r="D59" s="77">
        <f t="shared" si="4"/>
        <v>8.4180755317152967E-2</v>
      </c>
      <c r="E59" s="40"/>
      <c r="F59" s="40"/>
      <c r="G59" s="40"/>
    </row>
    <row r="60" spans="2:7" ht="18">
      <c r="B60" s="77">
        <v>0.09</v>
      </c>
      <c r="C60" s="78">
        <f t="shared" si="3"/>
        <v>-58.219934371426461</v>
      </c>
      <c r="D60" s="77">
        <f t="shared" si="4"/>
        <v>8.9507739333732017E-2</v>
      </c>
      <c r="E60" s="40"/>
      <c r="F60" s="40"/>
      <c r="G60" s="40"/>
    </row>
    <row r="61" spans="2:7" ht="18">
      <c r="B61" s="77">
        <v>0.1</v>
      </c>
      <c r="C61" s="78">
        <f t="shared" si="3"/>
        <v>-570.21011428001157</v>
      </c>
      <c r="D61" s="77">
        <f t="shared" si="4"/>
        <v>9.4905021449408045E-2</v>
      </c>
      <c r="E61" s="40"/>
      <c r="F61" s="40"/>
      <c r="G61" s="40"/>
    </row>
    <row r="62" spans="2:7" ht="18">
      <c r="B62" s="77">
        <v>0.11</v>
      </c>
      <c r="C62" s="78">
        <f t="shared" si="3"/>
        <v>-1021.858602398454</v>
      </c>
      <c r="D62" s="77">
        <f t="shared" si="4"/>
        <v>0.10036964402866078</v>
      </c>
      <c r="E62" s="40"/>
      <c r="F62" s="40"/>
      <c r="G62" s="40"/>
    </row>
    <row r="63" spans="2:7" ht="18">
      <c r="B63" s="77">
        <v>0.12</v>
      </c>
      <c r="C63" s="78">
        <f t="shared" si="3"/>
        <v>-1421.2229387124621</v>
      </c>
      <c r="D63" s="77">
        <f t="shared" si="4"/>
        <v>0.10589863179769088</v>
      </c>
      <c r="E63" s="40"/>
      <c r="F63" s="40"/>
      <c r="G63" s="40"/>
    </row>
    <row r="64" spans="2:7" ht="18">
      <c r="B64" s="77">
        <v>0.13</v>
      </c>
      <c r="C64" s="78">
        <f t="shared" si="3"/>
        <v>-1775.1634854453191</v>
      </c>
      <c r="D64" s="77">
        <f t="shared" si="4"/>
        <v>0.1114890124298602</v>
      </c>
      <c r="E64" s="40"/>
      <c r="F64" s="40"/>
      <c r="G64" s="40"/>
    </row>
    <row r="65" spans="2:7" ht="18">
      <c r="B65" s="77">
        <v>0.14000000000000001</v>
      </c>
      <c r="C65" s="78">
        <f t="shared" si="3"/>
        <v>-2089.5369572669497</v>
      </c>
      <c r="D65" s="77">
        <f t="shared" si="4"/>
        <v>0.11713783493482666</v>
      </c>
      <c r="E65" s="40"/>
      <c r="F65" s="40"/>
      <c r="G65" s="40"/>
    </row>
    <row r="66" spans="2:7" ht="18">
      <c r="B66" s="77">
        <v>0.15</v>
      </c>
      <c r="C66" s="78">
        <f t="shared" si="3"/>
        <v>-2369.3564635353114</v>
      </c>
      <c r="D66" s="77">
        <f t="shared" si="4"/>
        <v>0.12284218582626805</v>
      </c>
      <c r="E66" s="40"/>
      <c r="F66" s="40"/>
      <c r="G66" s="40"/>
    </row>
    <row r="67" spans="2:7" ht="18">
      <c r="B67" s="77"/>
      <c r="C67" s="78">
        <f t="shared" si="3"/>
        <v>9600.6590888722822</v>
      </c>
      <c r="D67" s="77">
        <f t="shared" si="4"/>
        <v>4.4425168398268156E-2</v>
      </c>
      <c r="E67" s="40"/>
      <c r="F67" s="40"/>
      <c r="G67" s="40"/>
    </row>
    <row r="68" spans="2:7" ht="18">
      <c r="B68" s="77"/>
      <c r="C68" s="78">
        <f t="shared" si="3"/>
        <v>9600.6590888722822</v>
      </c>
      <c r="D68" s="77">
        <f t="shared" si="4"/>
        <v>4.4425168398268156E-2</v>
      </c>
      <c r="E68" s="40"/>
      <c r="F68" s="40"/>
      <c r="G68" s="40"/>
    </row>
    <row r="69" spans="2:7" ht="18">
      <c r="B69" s="77"/>
      <c r="C69" s="78">
        <f t="shared" si="3"/>
        <v>9600.6590888722822</v>
      </c>
      <c r="D69" s="77">
        <f t="shared" si="4"/>
        <v>4.4425168398268156E-2</v>
      </c>
      <c r="E69" s="40"/>
      <c r="F69" s="40"/>
      <c r="G69" s="40"/>
    </row>
    <row r="70" spans="2:7" ht="18">
      <c r="B70" s="77"/>
      <c r="C70" s="78">
        <f t="shared" si="3"/>
        <v>9600.6590888722822</v>
      </c>
      <c r="D70" s="77">
        <f t="shared" si="4"/>
        <v>4.4425168398268156E-2</v>
      </c>
      <c r="E70" s="40"/>
      <c r="F70" s="40"/>
      <c r="G70" s="40"/>
    </row>
    <row r="71" spans="2:7" ht="18">
      <c r="B71" s="77"/>
      <c r="C71" s="78">
        <f t="shared" si="3"/>
        <v>9600.6590888722822</v>
      </c>
      <c r="D71" s="77">
        <f t="shared" si="4"/>
        <v>4.4425168398268156E-2</v>
      </c>
      <c r="E71" s="40"/>
      <c r="F71" s="40"/>
      <c r="G71" s="40"/>
    </row>
    <row r="72" spans="2:7" ht="18">
      <c r="B72" s="40"/>
      <c r="C72" s="40"/>
      <c r="D72" s="40"/>
      <c r="E72" s="40"/>
      <c r="F72" s="40"/>
      <c r="G72" s="40"/>
    </row>
  </sheetData>
  <mergeCells count="5">
    <mergeCell ref="B42:G42"/>
    <mergeCell ref="B34:G34"/>
    <mergeCell ref="B38:G38"/>
    <mergeCell ref="B36:G36"/>
    <mergeCell ref="B40:G4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Abstract</vt:lpstr>
      <vt:lpstr>YEAR 1</vt:lpstr>
      <vt:lpstr>YEAR 2</vt:lpstr>
      <vt:lpstr>YEAR 3</vt:lpstr>
      <vt:lpstr>YEAR 4</vt:lpstr>
      <vt:lpstr>Costs Summary</vt:lpstr>
      <vt:lpstr>Machinery and Equipement Cost</vt:lpstr>
      <vt:lpstr>Material Costs</vt:lpstr>
      <vt:lpstr>Investment Analysis</vt:lpstr>
      <vt:lpstr>Sensitivity Analysis</vt:lpstr>
      <vt:lpstr>References</vt:lpstr>
      <vt:lpstr>Sheet11</vt:lpstr>
      <vt:lpstr>Sheet1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sawonda</dc:creator>
  <cp:lastModifiedBy>Ag User</cp:lastModifiedBy>
  <cp:lastPrinted>2017-06-15T18:52:02Z</cp:lastPrinted>
  <dcterms:created xsi:type="dcterms:W3CDTF">2014-06-30T13:52:51Z</dcterms:created>
  <dcterms:modified xsi:type="dcterms:W3CDTF">2017-06-16T18:39:20Z</dcterms:modified>
</cp:coreProperties>
</file>