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25" yWindow="465" windowWidth="13020" windowHeight="12345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4" i="1" l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D28" i="6"/>
  <c r="M18" i="2"/>
  <c r="W18" i="2"/>
  <c r="X18" i="2"/>
  <c r="AA18" i="2"/>
  <c r="AC18" i="2"/>
  <c r="Y18" i="2"/>
  <c r="Z18" i="2"/>
  <c r="S18" i="2"/>
  <c r="G18" i="2"/>
  <c r="B18" i="2"/>
  <c r="AB18" i="2"/>
  <c r="AD18" i="2"/>
  <c r="AE18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F18" i="2"/>
  <c r="AG18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28" i="3"/>
  <c r="AD9" i="3"/>
  <c r="AD11" i="3"/>
  <c r="AD16" i="3"/>
  <c r="AD10" i="3"/>
  <c r="AD18" i="3"/>
  <c r="AD19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8" i="6"/>
  <c r="F28" i="6"/>
  <c r="G28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C4" i="5"/>
  <c r="K22" i="4"/>
  <c r="K21" i="4"/>
  <c r="K23" i="4"/>
  <c r="N3" i="4"/>
  <c r="Z4" i="3"/>
  <c r="E3" i="5"/>
  <c r="J3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B52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B55" i="6"/>
  <c r="B56" i="6"/>
  <c r="B57" i="6"/>
  <c r="B58" i="6"/>
  <c r="E53" i="6"/>
  <c r="B51" i="6"/>
  <c r="B49" i="6"/>
  <c r="G43" i="6"/>
  <c r="G42" i="6"/>
  <c r="F38" i="6"/>
  <c r="G38" i="6"/>
  <c r="F37" i="6"/>
  <c r="G37" i="6"/>
  <c r="F46" i="7"/>
  <c r="E46" i="7"/>
  <c r="E17" i="6"/>
  <c r="F17" i="6"/>
  <c r="G17" i="6"/>
  <c r="C53" i="6"/>
  <c r="G53" i="6"/>
  <c r="D53" i="6"/>
  <c r="F53" i="6"/>
  <c r="E31" i="7"/>
  <c r="F31" i="7"/>
  <c r="E30" i="7"/>
  <c r="F30" i="7"/>
  <c r="E29" i="7"/>
  <c r="F29" i="7"/>
  <c r="E28" i="7"/>
  <c r="F28" i="7"/>
  <c r="E27" i="7"/>
  <c r="F27" i="7"/>
  <c r="E26" i="7"/>
  <c r="F26" i="7"/>
  <c r="E25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4" i="6"/>
  <c r="E13" i="6"/>
  <c r="E12" i="6"/>
  <c r="E10" i="6"/>
  <c r="F26" i="6"/>
  <c r="G26" i="6"/>
  <c r="F25" i="6"/>
  <c r="G25" i="6"/>
  <c r="F9" i="6"/>
  <c r="G9" i="6"/>
  <c r="D14" i="6"/>
  <c r="D13" i="6"/>
  <c r="D12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E32" i="7"/>
  <c r="E16" i="6"/>
  <c r="F16" i="6"/>
  <c r="G16" i="6"/>
  <c r="F25" i="7"/>
  <c r="F32" i="7"/>
  <c r="G3" i="5"/>
  <c r="Q3" i="5"/>
  <c r="G5" i="5"/>
  <c r="G6" i="5"/>
  <c r="K6" i="5"/>
  <c r="F10" i="6"/>
  <c r="G10" i="6"/>
  <c r="F13" i="6"/>
  <c r="G13" i="6"/>
  <c r="F12" i="6"/>
  <c r="G12" i="6"/>
  <c r="F14" i="6"/>
  <c r="G14" i="6"/>
  <c r="F21" i="7"/>
  <c r="E21" i="7"/>
  <c r="E15" i="6"/>
  <c r="F15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K3" i="5"/>
  <c r="I3" i="5"/>
  <c r="R3" i="5"/>
  <c r="T3" i="5"/>
  <c r="O3" i="5"/>
  <c r="I6" i="5"/>
  <c r="U10" i="5"/>
  <c r="O6" i="5"/>
  <c r="Q6" i="5"/>
  <c r="R10" i="5"/>
  <c r="R8" i="5"/>
  <c r="R7" i="5"/>
  <c r="R9" i="5"/>
  <c r="G15" i="6"/>
  <c r="U8" i="5"/>
  <c r="U3" i="5"/>
  <c r="R6" i="5"/>
  <c r="G19" i="4"/>
  <c r="M4" i="2"/>
  <c r="S4" i="2"/>
  <c r="W4" i="2"/>
  <c r="X4" i="2"/>
  <c r="Y4" i="2"/>
  <c r="Z4" i="2"/>
  <c r="AA4" i="2"/>
  <c r="AC4" i="2"/>
  <c r="M5" i="2"/>
  <c r="S5" i="2"/>
  <c r="W5" i="2"/>
  <c r="X5" i="2"/>
  <c r="Y5" i="2"/>
  <c r="Z5" i="2"/>
  <c r="AA5" i="2"/>
  <c r="AC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B8" i="2"/>
  <c r="M9" i="2"/>
  <c r="S9" i="2"/>
  <c r="W9" i="2"/>
  <c r="X9" i="2"/>
  <c r="Y9" i="2"/>
  <c r="Z9" i="2"/>
  <c r="AA9" i="2"/>
  <c r="AB9" i="2"/>
  <c r="M10" i="2"/>
  <c r="S10" i="2"/>
  <c r="W10" i="2"/>
  <c r="X10" i="2"/>
  <c r="Y10" i="2"/>
  <c r="Z10" i="2"/>
  <c r="AA10" i="2"/>
  <c r="AB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M13" i="2"/>
  <c r="S13" i="2"/>
  <c r="W13" i="2"/>
  <c r="X13" i="2"/>
  <c r="Y13" i="2"/>
  <c r="Z13" i="2"/>
  <c r="AA13" i="2"/>
  <c r="AC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9" i="2"/>
  <c r="S19" i="2"/>
  <c r="W19" i="2"/>
  <c r="X19" i="2"/>
  <c r="Y19" i="2"/>
  <c r="Z19" i="2"/>
  <c r="AA19" i="2"/>
  <c r="AB19" i="2"/>
  <c r="AC19" i="2"/>
  <c r="AD19" i="2"/>
  <c r="AE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AC22" i="2"/>
  <c r="AD22" i="2"/>
  <c r="M23" i="2"/>
  <c r="S23" i="2"/>
  <c r="W23" i="2"/>
  <c r="X23" i="2"/>
  <c r="Y23" i="2"/>
  <c r="Z23" i="2"/>
  <c r="AA23" i="2"/>
  <c r="AB23" i="2"/>
  <c r="M24" i="2"/>
  <c r="S24" i="2"/>
  <c r="W24" i="2"/>
  <c r="X24" i="2"/>
  <c r="Y24" i="2"/>
  <c r="Z24" i="2"/>
  <c r="AA24" i="2"/>
  <c r="AB24" i="2"/>
  <c r="M25" i="2"/>
  <c r="S25" i="2"/>
  <c r="W25" i="2"/>
  <c r="X25" i="2"/>
  <c r="Y25" i="2"/>
  <c r="Z25" i="2"/>
  <c r="AA25" i="2"/>
  <c r="AB25" i="2"/>
  <c r="AC25" i="2"/>
  <c r="AD25" i="2"/>
  <c r="M26" i="2"/>
  <c r="S26" i="2"/>
  <c r="W26" i="2"/>
  <c r="X26" i="2"/>
  <c r="Y26" i="2"/>
  <c r="Z26" i="2"/>
  <c r="AA26" i="2"/>
  <c r="AB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B28" i="2"/>
  <c r="M29" i="2"/>
  <c r="S29" i="2"/>
  <c r="W29" i="2"/>
  <c r="X29" i="2"/>
  <c r="Y29" i="2"/>
  <c r="Z29" i="2"/>
  <c r="AA29" i="2"/>
  <c r="AB29" i="2"/>
  <c r="M30" i="2"/>
  <c r="S30" i="2"/>
  <c r="W30" i="2"/>
  <c r="X30" i="2"/>
  <c r="Y30" i="2"/>
  <c r="Z30" i="2"/>
  <c r="AA30" i="2"/>
  <c r="AB30" i="2"/>
  <c r="M31" i="2"/>
  <c r="S31" i="2"/>
  <c r="W31" i="2"/>
  <c r="X31" i="2"/>
  <c r="Y31" i="2"/>
  <c r="Z31" i="2"/>
  <c r="AA31" i="2"/>
  <c r="AB31" i="2"/>
  <c r="M32" i="2"/>
  <c r="S32" i="2"/>
  <c r="W32" i="2"/>
  <c r="X32" i="2"/>
  <c r="Y32" i="2"/>
  <c r="Z32" i="2"/>
  <c r="AA32" i="2"/>
  <c r="AB32" i="2"/>
  <c r="H4" i="4"/>
  <c r="I4" i="4"/>
  <c r="H5" i="4"/>
  <c r="I5" i="4"/>
  <c r="H7" i="4"/>
  <c r="I7" i="4"/>
  <c r="H5" i="5"/>
  <c r="I5" i="5"/>
  <c r="E4" i="5"/>
  <c r="G4" i="5"/>
  <c r="H4" i="5"/>
  <c r="E3" i="4"/>
  <c r="H8" i="4"/>
  <c r="I8" i="4"/>
  <c r="AC30" i="2"/>
  <c r="AD30" i="2"/>
  <c r="AC26" i="2"/>
  <c r="AD26" i="2"/>
  <c r="AB5" i="2"/>
  <c r="AC10" i="2"/>
  <c r="AE5" i="2"/>
  <c r="AD5" i="2"/>
  <c r="AE13" i="2"/>
  <c r="AD13" i="2"/>
  <c r="AC8" i="2"/>
  <c r="AD8" i="2"/>
  <c r="AC16" i="2"/>
  <c r="AD16" i="2"/>
  <c r="AC27" i="2"/>
  <c r="AC20" i="2"/>
  <c r="AB12" i="2"/>
  <c r="P6" i="4"/>
  <c r="P7" i="4"/>
  <c r="Q7" i="4"/>
  <c r="P5" i="5"/>
  <c r="Q5" i="5"/>
  <c r="R5" i="5"/>
  <c r="G74" i="6"/>
  <c r="P8" i="4"/>
  <c r="Q8" i="4"/>
  <c r="P3" i="4"/>
  <c r="P5" i="4"/>
  <c r="Q5" i="4"/>
  <c r="P4" i="4"/>
  <c r="Q4" i="4"/>
  <c r="H3" i="4"/>
  <c r="H6" i="4"/>
  <c r="I6" i="4"/>
  <c r="I4" i="5"/>
  <c r="T4" i="5"/>
  <c r="O4" i="5"/>
  <c r="O11" i="5"/>
  <c r="D22" i="6"/>
  <c r="F22" i="6"/>
  <c r="G22" i="6"/>
  <c r="Q4" i="5"/>
  <c r="G11" i="5"/>
  <c r="AB11" i="2"/>
  <c r="AC28" i="2"/>
  <c r="AE26" i="2"/>
  <c r="AF26" i="2"/>
  <c r="AG26" i="2"/>
  <c r="AB4" i="2"/>
  <c r="AD4" i="2"/>
  <c r="AE4" i="2"/>
  <c r="AD11" i="2"/>
  <c r="AE11" i="2"/>
  <c r="AE12" i="2"/>
  <c r="AD12" i="2"/>
  <c r="AC17" i="2"/>
  <c r="AC9" i="2"/>
  <c r="AC31" i="2"/>
  <c r="AC23" i="2"/>
  <c r="AC14" i="2"/>
  <c r="AC6" i="2"/>
  <c r="AC32" i="2"/>
  <c r="AE25" i="2"/>
  <c r="AF25" i="2"/>
  <c r="AG25" i="2"/>
  <c r="AC24" i="2"/>
  <c r="AC15" i="2"/>
  <c r="AC7" i="2"/>
  <c r="AC29" i="2"/>
  <c r="AE22" i="2"/>
  <c r="AF22" i="2"/>
  <c r="AG22" i="2"/>
  <c r="AC21" i="2"/>
  <c r="AE8" i="3"/>
  <c r="AE40" i="3"/>
  <c r="AE15" i="3"/>
  <c r="AE32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F19" i="2"/>
  <c r="AG19" i="2"/>
  <c r="AE30" i="2"/>
  <c r="AF30" i="2"/>
  <c r="AG30" i="2"/>
  <c r="AF4" i="2"/>
  <c r="AG4" i="2"/>
  <c r="S4" i="4"/>
  <c r="T4" i="4"/>
  <c r="AF5" i="2"/>
  <c r="AG5" i="2"/>
  <c r="AE24" i="3"/>
  <c r="AE42" i="3"/>
  <c r="AE16" i="2"/>
  <c r="AF16" i="2"/>
  <c r="AG16" i="2"/>
  <c r="AE11" i="3"/>
  <c r="AE17" i="3"/>
  <c r="AE30" i="3"/>
  <c r="AE20" i="3"/>
  <c r="R4" i="5"/>
  <c r="G73" i="6"/>
  <c r="G75" i="6"/>
  <c r="AE10" i="2"/>
  <c r="AD10" i="2"/>
  <c r="AF10" i="2"/>
  <c r="AG10" i="2"/>
  <c r="AF12" i="2"/>
  <c r="AG12" i="2"/>
  <c r="AF13" i="2"/>
  <c r="AG13" i="2"/>
  <c r="AE27" i="3"/>
  <c r="AE14" i="3"/>
  <c r="AE34" i="3"/>
  <c r="AD20" i="2"/>
  <c r="AE20" i="2"/>
  <c r="AE8" i="2"/>
  <c r="AF8" i="2"/>
  <c r="AG8" i="2"/>
  <c r="AD27" i="2"/>
  <c r="AE27" i="2"/>
  <c r="AF11" i="2"/>
  <c r="AG11" i="2"/>
  <c r="S5" i="4"/>
  <c r="T5" i="4"/>
  <c r="AE18" i="3"/>
  <c r="AE43" i="3"/>
  <c r="AE29" i="3"/>
  <c r="K24" i="4"/>
  <c r="J7" i="4"/>
  <c r="AE16" i="3"/>
  <c r="AE13" i="3"/>
  <c r="AD28" i="2"/>
  <c r="AE28" i="2"/>
  <c r="AD31" i="2"/>
  <c r="AE31" i="2"/>
  <c r="AD7" i="2"/>
  <c r="AE7" i="2"/>
  <c r="AD15" i="2"/>
  <c r="AE15" i="2"/>
  <c r="AD21" i="2"/>
  <c r="AE21" i="2"/>
  <c r="AD24" i="2"/>
  <c r="AE24" i="2"/>
  <c r="AE14" i="2"/>
  <c r="AD14" i="2"/>
  <c r="AE22" i="3"/>
  <c r="AD32" i="2"/>
  <c r="AE32" i="2"/>
  <c r="AE37" i="3"/>
  <c r="AE6" i="2"/>
  <c r="AD6" i="2"/>
  <c r="AF6" i="2"/>
  <c r="AG6" i="2"/>
  <c r="AD9" i="2"/>
  <c r="AE9" i="2"/>
  <c r="AD29" i="2"/>
  <c r="AE29" i="2"/>
  <c r="AD23" i="2"/>
  <c r="AE23" i="2"/>
  <c r="AE6" i="3"/>
  <c r="AD17" i="2"/>
  <c r="AE17" i="2"/>
  <c r="S3" i="4"/>
  <c r="AE31" i="3"/>
  <c r="G15" i="4"/>
  <c r="D24" i="6"/>
  <c r="F24" i="6"/>
  <c r="Q6" i="4"/>
  <c r="R6" i="4"/>
  <c r="G66" i="6"/>
  <c r="Q10" i="4"/>
  <c r="R10" i="4"/>
  <c r="T10" i="4"/>
  <c r="U10" i="4"/>
  <c r="O5" i="4"/>
  <c r="Q9" i="4"/>
  <c r="R9" i="4"/>
  <c r="O7" i="4"/>
  <c r="R7" i="4"/>
  <c r="G67" i="6"/>
  <c r="U9" i="4"/>
  <c r="R5" i="4"/>
  <c r="G65" i="6"/>
  <c r="R13" i="4"/>
  <c r="R11" i="4"/>
  <c r="R12" i="4"/>
  <c r="R4" i="4"/>
  <c r="G64" i="6"/>
  <c r="R8" i="4"/>
  <c r="G68" i="6"/>
  <c r="R14" i="4"/>
  <c r="I24" i="4"/>
  <c r="M24" i="4"/>
  <c r="I3" i="4"/>
  <c r="Q3" i="4"/>
  <c r="AF14" i="2"/>
  <c r="AG14" i="2"/>
  <c r="R11" i="5"/>
  <c r="E23" i="6"/>
  <c r="F23" i="6"/>
  <c r="G23" i="6"/>
  <c r="AE38" i="3"/>
  <c r="AF31" i="2"/>
  <c r="AG31" i="2"/>
  <c r="AF27" i="2"/>
  <c r="AG27" i="2"/>
  <c r="AF20" i="2"/>
  <c r="AG20" i="2"/>
  <c r="AE10" i="3"/>
  <c r="AE12" i="3"/>
  <c r="AE39" i="3"/>
  <c r="AF28" i="2"/>
  <c r="AG28" i="2"/>
  <c r="AF21" i="2"/>
  <c r="AG21" i="2"/>
  <c r="AF24" i="2"/>
  <c r="AG24" i="2"/>
  <c r="AE19" i="3"/>
  <c r="AF17" i="2"/>
  <c r="AG17" i="2"/>
  <c r="AF23" i="2"/>
  <c r="AG23" i="2"/>
  <c r="AF32" i="2"/>
  <c r="AG32" i="2"/>
  <c r="AE41" i="3"/>
  <c r="AF9" i="2"/>
  <c r="AG9" i="2"/>
  <c r="AE26" i="3"/>
  <c r="AF29" i="2"/>
  <c r="AG29" i="2"/>
  <c r="AF7" i="2"/>
  <c r="AG7" i="2"/>
  <c r="AE23" i="3"/>
  <c r="AE9" i="3"/>
  <c r="AF15" i="2"/>
  <c r="AG15" i="2"/>
  <c r="AE21" i="3"/>
  <c r="AE7" i="3"/>
  <c r="AE33" i="3"/>
  <c r="AE28" i="3"/>
  <c r="AE36" i="3"/>
  <c r="AE35" i="3"/>
  <c r="AE5" i="3"/>
  <c r="O15" i="4"/>
  <c r="D19" i="6"/>
  <c r="F19" i="6"/>
  <c r="G19" i="6"/>
  <c r="G24" i="6"/>
  <c r="R3" i="4"/>
  <c r="G63" i="6"/>
  <c r="T3" i="4"/>
  <c r="J5" i="5"/>
  <c r="K5" i="5"/>
  <c r="J4" i="5"/>
  <c r="K4" i="5"/>
  <c r="U4" i="5"/>
  <c r="H73" i="6"/>
  <c r="J4" i="4"/>
  <c r="AE25" i="3"/>
  <c r="S5" i="5"/>
  <c r="T5" i="5"/>
  <c r="U5" i="5"/>
  <c r="S6" i="4"/>
  <c r="T6" i="4"/>
  <c r="S7" i="4"/>
  <c r="T7" i="4"/>
  <c r="S8" i="4"/>
  <c r="T8" i="4"/>
  <c r="J3" i="4"/>
  <c r="K3" i="4"/>
  <c r="M3" i="4"/>
  <c r="J6" i="4"/>
  <c r="K6" i="4"/>
  <c r="M6" i="4"/>
  <c r="F73" i="6"/>
  <c r="C73" i="6"/>
  <c r="D73" i="6"/>
  <c r="B73" i="6"/>
  <c r="J8" i="4"/>
  <c r="K8" i="4"/>
  <c r="K7" i="4"/>
  <c r="M7" i="4"/>
  <c r="J5" i="4"/>
  <c r="K5" i="4"/>
  <c r="M5" i="4"/>
  <c r="K4" i="4"/>
  <c r="M4" i="4"/>
  <c r="R15" i="4"/>
  <c r="E20" i="6"/>
  <c r="F20" i="6"/>
  <c r="D27" i="6"/>
  <c r="F27" i="6"/>
  <c r="G27" i="6"/>
  <c r="G69" i="6"/>
  <c r="H74" i="6"/>
  <c r="U11" i="5"/>
  <c r="E34" i="6"/>
  <c r="F34" i="6"/>
  <c r="G34" i="6"/>
  <c r="U3" i="4"/>
  <c r="H63" i="6"/>
  <c r="D63" i="6"/>
  <c r="M8" i="4"/>
  <c r="U8" i="4"/>
  <c r="H68" i="6"/>
  <c r="E73" i="6"/>
  <c r="U4" i="4"/>
  <c r="H64" i="6"/>
  <c r="U6" i="4"/>
  <c r="H66" i="6"/>
  <c r="U5" i="4"/>
  <c r="H65" i="6"/>
  <c r="U7" i="4"/>
  <c r="H67" i="6"/>
  <c r="G20" i="6"/>
  <c r="G29" i="6"/>
  <c r="F29" i="6"/>
  <c r="F63" i="6"/>
  <c r="B63" i="6"/>
  <c r="C63" i="6"/>
  <c r="E63" i="6"/>
  <c r="F74" i="6"/>
  <c r="F75" i="6"/>
  <c r="D74" i="6"/>
  <c r="H75" i="6"/>
  <c r="B74" i="6"/>
  <c r="C74" i="6"/>
  <c r="F68" i="6"/>
  <c r="C68" i="6"/>
  <c r="D68" i="6"/>
  <c r="B68" i="6"/>
  <c r="B67" i="6"/>
  <c r="C67" i="6"/>
  <c r="D67" i="6"/>
  <c r="F67" i="6"/>
  <c r="B66" i="6"/>
  <c r="C66" i="6"/>
  <c r="D66" i="6"/>
  <c r="F66" i="6"/>
  <c r="C65" i="6"/>
  <c r="B65" i="6"/>
  <c r="F65" i="6"/>
  <c r="D65" i="6"/>
  <c r="U15" i="4"/>
  <c r="E33" i="6"/>
  <c r="F33" i="6"/>
  <c r="G33" i="6"/>
  <c r="H69" i="6"/>
  <c r="F64" i="6"/>
  <c r="D64" i="6"/>
  <c r="C64" i="6"/>
  <c r="B64" i="6"/>
  <c r="C55" i="6"/>
  <c r="E55" i="6"/>
  <c r="G55" i="6"/>
  <c r="D56" i="6"/>
  <c r="F56" i="6"/>
  <c r="C57" i="6"/>
  <c r="E57" i="6"/>
  <c r="G57" i="6"/>
  <c r="D58" i="6"/>
  <c r="F58" i="6"/>
  <c r="D54" i="6"/>
  <c r="F54" i="6"/>
  <c r="C54" i="6"/>
  <c r="D55" i="6"/>
  <c r="F55" i="6"/>
  <c r="C56" i="6"/>
  <c r="E56" i="6"/>
  <c r="G56" i="6"/>
  <c r="D57" i="6"/>
  <c r="F57" i="6"/>
  <c r="C58" i="6"/>
  <c r="E58" i="6"/>
  <c r="G58" i="6"/>
  <c r="E54" i="6"/>
  <c r="G54" i="6"/>
  <c r="D35" i="6"/>
  <c r="F35" i="6"/>
  <c r="G35" i="6"/>
  <c r="D36" i="6"/>
  <c r="F36" i="6"/>
  <c r="G36" i="6"/>
  <c r="E74" i="6"/>
  <c r="E75" i="6"/>
  <c r="E66" i="6"/>
  <c r="E68" i="6"/>
  <c r="E65" i="6"/>
  <c r="E67" i="6"/>
  <c r="E64" i="6"/>
  <c r="F69" i="6"/>
  <c r="G39" i="6"/>
  <c r="G41" i="6"/>
  <c r="F39" i="6"/>
  <c r="F41" i="6"/>
  <c r="E69" i="6"/>
</calcChain>
</file>

<file path=xl/sharedStrings.xml><?xml version="1.0" encoding="utf-8"?>
<sst xmlns="http://schemas.openxmlformats.org/spreadsheetml/2006/main" count="2015" uniqueCount="529">
  <si>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</si>
  <si>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</si>
  <si>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</si>
  <si>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</si>
  <si>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</si>
  <si>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</si>
  <si>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</si>
  <si>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</si>
  <si>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</si>
  <si>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</si>
  <si>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</si>
  <si>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</si>
  <si>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</si>
  <si>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</si>
  <si>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</si>
  <si>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</si>
  <si>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</si>
  <si>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</si>
  <si>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</si>
  <si>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</si>
  <si>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</si>
  <si>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</si>
  <si>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</si>
  <si>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</si>
  <si>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</si>
  <si>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</si>
  <si>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</si>
  <si>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</si>
  <si>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</si>
  <si>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</si>
  <si>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</si>
  <si>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</si>
  <si>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</si>
  <si>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</si>
  <si>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</si>
  <si>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</si>
  <si>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</si>
  <si>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</si>
  <si>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</si>
  <si>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</si>
  <si>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</si>
  <si>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</si>
  <si>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</si>
  <si>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</si>
  <si>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</si>
  <si>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</si>
  <si>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</si>
  <si>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</si>
  <si>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</si>
  <si>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</si>
  <si>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</si>
  <si>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</si>
  <si>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</si>
  <si>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</si>
  <si>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</si>
  <si>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</si>
  <si>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</si>
  <si>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</si>
  <si>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</si>
  <si>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</si>
  <si>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</si>
  <si>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</si>
  <si>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</si>
  <si>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</si>
  <si>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</si>
  <si>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</si>
  <si>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</si>
  <si>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</si>
  <si>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</si>
  <si>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</si>
  <si>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</si>
  <si>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</si>
  <si>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</si>
  <si>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</si>
  <si>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</si>
  <si>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</si>
  <si>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</si>
  <si>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</si>
  <si>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</si>
  <si>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</si>
  <si>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</si>
  <si>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</si>
  <si>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</si>
  <si>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</si>
  <si>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</si>
  <si>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</si>
  <si>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</si>
  <si>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</si>
  <si>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</si>
  <si>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</si>
  <si>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</si>
  <si>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</si>
  <si>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</si>
  <si>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</si>
  <si>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</si>
  <si>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</si>
  <si>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</si>
  <si>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</si>
  <si>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</si>
  <si>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</si>
  <si>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</si>
  <si>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</si>
  <si>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</si>
  <si>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</si>
  <si>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</si>
  <si>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</si>
  <si>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</si>
  <si>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</si>
  <si>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</si>
  <si>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</si>
  <si>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</si>
  <si>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</si>
  <si>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</si>
  <si>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</si>
  <si>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</si>
  <si>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</si>
  <si>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</si>
  <si>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</si>
  <si>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</si>
  <si>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</si>
  <si>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</si>
  <si>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</si>
  <si>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</si>
  <si>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</si>
  <si>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</si>
  <si>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</si>
  <si>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</si>
  <si>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</si>
  <si>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</si>
  <si>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</si>
  <si>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</si>
  <si>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</si>
  <si>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</si>
  <si>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</si>
  <si>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</si>
  <si>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</si>
  <si>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</si>
  <si>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</si>
  <si>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</si>
  <si>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</si>
  <si>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</si>
  <si>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</si>
  <si>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</si>
  <si>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</si>
  <si>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</si>
  <si>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</si>
  <si>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</si>
  <si>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</si>
  <si>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</si>
  <si>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</si>
  <si>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</si>
  <si>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</si>
  <si>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</si>
  <si>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</si>
  <si>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</si>
  <si>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</si>
  <si>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</si>
  <si>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</si>
  <si>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</si>
  <si>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</si>
  <si>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</si>
  <si>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</si>
  <si>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</si>
  <si>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</si>
  <si>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</si>
  <si>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</si>
  <si>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</si>
  <si>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</si>
  <si>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</si>
  <si>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</si>
  <si>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</si>
  <si>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</si>
  <si>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</si>
  <si>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</si>
  <si>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</si>
  <si>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</si>
  <si>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</si>
  <si>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</si>
  <si>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</si>
  <si>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</si>
  <si>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</si>
  <si>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</si>
  <si>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</si>
  <si>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</si>
  <si>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</si>
  <si>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</si>
  <si>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</si>
  <si>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</si>
  <si>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</si>
  <si>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</si>
  <si>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</si>
  <si>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</si>
  <si>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</si>
  <si>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</si>
  <si>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</si>
  <si>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</si>
  <si>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</si>
  <si>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</si>
  <si>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</si>
  <si>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</si>
  <si>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</si>
  <si>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</si>
  <si>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</si>
  <si>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</si>
  <si>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</si>
  <si>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</si>
  <si>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</si>
  <si>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</si>
  <si>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</si>
  <si>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</si>
  <si>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</si>
  <si>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</si>
  <si>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</si>
  <si>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</si>
  <si>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</si>
  <si>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</si>
  <si>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</si>
  <si>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</si>
  <si>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</si>
  <si>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</si>
  <si>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</si>
  <si>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</si>
  <si>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</si>
  <si>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</si>
  <si>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</si>
  <si>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</si>
  <si>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</si>
  <si>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</si>
  <si>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</si>
  <si>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</si>
  <si>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</si>
  <si>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</si>
  <si>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</si>
  <si>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</si>
  <si>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</si>
  <si>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</si>
  <si>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</si>
  <si>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</si>
  <si>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</si>
  <si>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</si>
  <si>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</si>
  <si>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</si>
  <si>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</si>
  <si>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</si>
  <si>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</si>
  <si>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</si>
  <si>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</si>
  <si>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</si>
  <si>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</si>
  <si>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</si>
  <si>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</si>
  <si>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</si>
  <si>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</si>
  <si>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</si>
  <si>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</si>
  <si>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</si>
  <si>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</si>
  <si>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</si>
  <si>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</si>
  <si>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</si>
  <si>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</si>
  <si>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</si>
  <si>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</si>
  <si>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</si>
  <si>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</si>
  <si>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</si>
  <si>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</si>
  <si>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</si>
  <si>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</si>
  <si>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</si>
  <si>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</si>
  <si>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</si>
  <si>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</si>
  <si>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</si>
  <si>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</si>
  <si>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</si>
  <si>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</si>
  <si>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</si>
  <si>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</si>
  <si>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</si>
  <si>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</si>
  <si>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</si>
  <si>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</si>
  <si>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</si>
  <si>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</si>
  <si>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</si>
  <si>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</si>
  <si>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</si>
  <si>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</si>
  <si>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</si>
  <si>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</si>
  <si>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</si>
  <si>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</si>
  <si>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</si>
  <si>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</si>
  <si>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</si>
  <si>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</si>
  <si>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</si>
  <si>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</si>
  <si>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</si>
  <si>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</si>
  <si>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</si>
  <si>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</si>
  <si>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</si>
  <si>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</si>
  <si>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</si>
  <si>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</si>
  <si>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</si>
  <si>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</si>
  <si>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</si>
  <si>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</si>
  <si>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</si>
  <si>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</si>
  <si>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</si>
  <si>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</si>
  <si>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</si>
  <si>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</si>
  <si>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</si>
  <si>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</si>
  <si>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</si>
  <si>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</si>
  <si>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</si>
  <si>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</si>
  <si>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</si>
  <si>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</si>
  <si>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</si>
  <si>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</si>
  <si>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</si>
  <si>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</si>
  <si>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</si>
  <si>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</si>
  <si>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</si>
  <si>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</si>
  <si>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</si>
  <si>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</si>
  <si>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</si>
  <si>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</si>
  <si>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</si>
  <si>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</si>
  <si>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</si>
  <si>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</si>
  <si>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</si>
  <si>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</si>
  <si>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</si>
  <si>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</si>
  <si>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</si>
  <si>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</si>
  <si>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</si>
  <si>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</si>
  <si>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</si>
  <si>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</si>
  <si>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</si>
  <si>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</si>
  <si>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</si>
  <si>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</si>
  <si>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</si>
  <si>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</si>
  <si>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</si>
  <si>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</si>
  <si>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</si>
  <si>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</si>
  <si>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</si>
  <si>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</si>
  <si>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</si>
  <si>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</si>
  <si>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</si>
  <si>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</si>
  <si>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</si>
  <si>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</si>
  <si>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</si>
  <si>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</si>
  <si>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</si>
  <si>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</si>
  <si>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</si>
  <si>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</si>
  <si>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</si>
  <si>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</si>
  <si>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</si>
  <si>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</si>
  <si>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</si>
  <si>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</si>
  <si>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</si>
  <si>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</si>
  <si>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</si>
  <si>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</si>
  <si>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</si>
  <si>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</si>
  <si>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</si>
  <si>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</si>
  <si>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</si>
  <si>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</si>
  <si>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</si>
  <si>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</si>
  <si>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</si>
  <si>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</si>
  <si>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</si>
  <si>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</si>
  <si>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</si>
  <si>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</si>
  <si>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</si>
  <si>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</si>
  <si>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</si>
  <si>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</si>
  <si>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</si>
  <si>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</si>
  <si>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</si>
  <si>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</si>
  <si>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</si>
  <si>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</si>
  <si>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</si>
  <si>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</si>
  <si>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</si>
  <si>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</si>
  <si>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</si>
  <si>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</si>
  <si>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</si>
  <si>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</si>
  <si>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</si>
  <si>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</si>
  <si>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</si>
  <si>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</si>
  <si>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</si>
  <si>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</si>
  <si>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</si>
  <si>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</si>
  <si>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</si>
  <si>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</si>
  <si>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</si>
  <si>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</si>
  <si>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</si>
  <si>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</si>
  <si>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</si>
  <si>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</si>
  <si>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</si>
  <si>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</si>
  <si>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</si>
  <si>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</si>
  <si>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</si>
  <si>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</si>
  <si>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</si>
  <si>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</si>
  <si>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</si>
  <si>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</si>
  <si>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</si>
  <si>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</si>
  <si>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</si>
  <si>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</si>
  <si>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</si>
  <si>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</si>
  <si>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</si>
  <si>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</si>
  <si>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</si>
  <si>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</si>
  <si>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</si>
  <si>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</si>
  <si>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</si>
  <si>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</si>
  <si>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</si>
  <si>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</si>
  <si>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</si>
  <si>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</si>
  <si>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</si>
  <si>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</si>
  <si>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</si>
  <si>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</si>
  <si>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</si>
  <si>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</si>
  <si>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</si>
  <si>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</si>
  <si>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</si>
  <si>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</si>
  <si>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</si>
  <si>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</si>
  <si>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</si>
  <si>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</si>
  <si>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</si>
  <si>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</si>
  <si>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</si>
  <si>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</si>
  <si>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</si>
  <si>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</si>
  <si>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</si>
  <si>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</si>
  <si>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</si>
  <si>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</si>
  <si>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</si>
  <si>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</si>
  <si>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</si>
  <si>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</si>
  <si>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</si>
  <si>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</si>
  <si>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</si>
  <si>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Non-Irrigated Grain Sorghum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</si>
  <si>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</si>
  <si>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</si>
  <si>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</si>
  <si>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</si>
  <si>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</si>
  <si>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</si>
  <si>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</si>
  <si>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</si>
  <si>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</si>
  <si>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</si>
  <si>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1.6, Heavy Disk 27'</t>
  </si>
  <si>
    <t>1.03, Disk &amp; Incorporate 32'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</si>
  <si>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</si>
  <si>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</si>
  <si>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</si>
  <si>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</si>
  <si>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</si>
  <si>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0.22, Tractor (120-139 hp) 2WD 130</t>
  </si>
  <si>
    <t>0.23, Grain Cart Corn  500 bu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</si>
  <si>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</si>
  <si>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</si>
  <si>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</si>
  <si>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</si>
  <si>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</si>
  <si>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</si>
  <si>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t>* Substituting mechanical cultivation for pre-emerge herbicide application would lower variable costs by $9.50/ac and increase fixed cost by $1/ac.</t>
  </si>
  <si>
    <t>** Planting may also be done with a grain drill. Substitution of a planter and bed operation with field cultivation and 20' grain drill would lower variable costs by $3.84/ ac and fixed cost by $1.07/ac.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</si>
  <si>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</si>
  <si>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</si>
  <si>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Your Yield</t>
  </si>
  <si>
    <t>Your Farm</t>
  </si>
  <si>
    <t>Treated Seed</t>
  </si>
  <si>
    <t>Sivanto 200 SL</t>
  </si>
  <si>
    <t>oz</t>
  </si>
  <si>
    <t>South Georgia, 2017</t>
  </si>
  <si>
    <t>Developed by Amanda Smith and Adam Rabinowitz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</si>
</sst>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39" borderId="0" xfId="0" applyFill="1" applyBorder="1" applyAlignment="1">
      <alignment horizontal="right"/>
    </xf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B1" sqref="B1:H1"/>
    </sheetView>
  </sheetViews>
  <sheetFormatPr defaultColWidth="8.85546875"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5" width="9.85546875" bestFit="1" customWidth="1"/>
    <col min="6" max="6" width="12.42578125" bestFit="1" customWidth="1"/>
    <col min="7" max="7" width="9.7109375" customWidth="1"/>
    <col min="8" max="8" width="9.42578125" bestFit="1" customWidth="1"/>
  </cols>
  <sheetData>
    <row r="1" spans="1:9" x14ac:dyDescent="0.2">
      <c r="B1" s="264" t="s">
        <v>492</v>
      </c>
      <c r="C1" s="264"/>
      <c r="D1" s="264"/>
      <c r="E1" s="264"/>
      <c r="F1" s="264"/>
      <c r="G1" s="264"/>
      <c r="H1" s="264"/>
      <c r="I1" s="57"/>
    </row>
    <row r="2" spans="1:9" x14ac:dyDescent="0.2">
      <c r="B2" s="264" t="s">
        <v>527</v>
      </c>
      <c r="C2" s="264"/>
      <c r="D2" s="264"/>
      <c r="E2" s="264"/>
      <c r="F2" s="264"/>
      <c r="G2" s="264"/>
      <c r="H2" s="264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4" t="s">
        <v>371</v>
      </c>
      <c r="C4" s="264"/>
      <c r="D4" s="264"/>
      <c r="E4" s="264"/>
      <c r="F4" s="264"/>
      <c r="G4" s="264"/>
      <c r="H4" s="264"/>
      <c r="I4" s="57"/>
    </row>
    <row r="6" spans="1:9" x14ac:dyDescent="0.2">
      <c r="B6" s="77" t="s">
        <v>372</v>
      </c>
      <c r="C6" s="57">
        <v>65</v>
      </c>
      <c r="D6" t="s">
        <v>493</v>
      </c>
      <c r="F6" t="s">
        <v>522</v>
      </c>
    </row>
    <row r="7" spans="1:9" x14ac:dyDescent="0.2">
      <c r="G7" s="249"/>
    </row>
    <row r="8" spans="1:9" x14ac:dyDescent="0.2">
      <c r="B8" s="109" t="s">
        <v>373</v>
      </c>
      <c r="C8" s="109" t="s">
        <v>366</v>
      </c>
      <c r="D8" s="76" t="s">
        <v>367</v>
      </c>
      <c r="E8" s="76" t="s">
        <v>368</v>
      </c>
      <c r="F8" s="76" t="s">
        <v>374</v>
      </c>
      <c r="G8" s="76" t="str">
        <f>CONCATENATE("$/",$D$6)</f>
        <v>$/bushel</v>
      </c>
      <c r="H8" s="250" t="s">
        <v>523</v>
      </c>
      <c r="I8" s="77"/>
    </row>
    <row r="9" spans="1:9" x14ac:dyDescent="0.2">
      <c r="B9" s="224" t="s">
        <v>524</v>
      </c>
      <c r="C9" t="s">
        <v>384</v>
      </c>
      <c r="D9">
        <v>55</v>
      </c>
      <c r="E9" s="41">
        <v>0.23</v>
      </c>
      <c r="F9" s="41">
        <f>E9*D9</f>
        <v>12.65</v>
      </c>
      <c r="G9" s="78">
        <f>F9/yield</f>
        <v>0.19461538461538463</v>
      </c>
    </row>
    <row r="10" spans="1:9" x14ac:dyDescent="0.2">
      <c r="B10" t="s">
        <v>363</v>
      </c>
      <c r="C10" t="s">
        <v>385</v>
      </c>
      <c r="D10">
        <f>'Fert, Weed, Insct, Dis'!$C$6</f>
        <v>0.25</v>
      </c>
      <c r="E10" s="78">
        <f>'Fert, Weed, Insct, Dis'!$D$6</f>
        <v>42</v>
      </c>
      <c r="F10" s="41">
        <f>E10*D10</f>
        <v>10.5</v>
      </c>
      <c r="G10" s="78">
        <f>F10/yield</f>
        <v>0.16153846153846155</v>
      </c>
      <c r="H10" s="249"/>
    </row>
    <row r="11" spans="1:9" x14ac:dyDescent="0.2">
      <c r="A11" s="156" t="s">
        <v>440</v>
      </c>
      <c r="B11" t="s">
        <v>376</v>
      </c>
      <c r="F11" s="41"/>
      <c r="G11" s="78"/>
    </row>
    <row r="12" spans="1:9" x14ac:dyDescent="0.2">
      <c r="B12" s="107" t="s">
        <v>377</v>
      </c>
      <c r="C12" t="s">
        <v>369</v>
      </c>
      <c r="D12">
        <f>'Fert, Weed, Insct, Dis'!$C$3</f>
        <v>80</v>
      </c>
      <c r="E12" s="78">
        <f>'Fert, Weed, Insct, Dis'!$D$3</f>
        <v>0.42</v>
      </c>
      <c r="F12" s="41">
        <f t="shared" ref="F12:F17" si="0">E12*D12</f>
        <v>33.6</v>
      </c>
      <c r="G12" s="78">
        <f t="shared" ref="G12:G17" si="1">F12/yield</f>
        <v>0.51692307692307693</v>
      </c>
    </row>
    <row r="13" spans="1:9" x14ac:dyDescent="0.2">
      <c r="B13" s="107" t="s">
        <v>378</v>
      </c>
      <c r="C13" t="s">
        <v>369</v>
      </c>
      <c r="D13">
        <f>'Fert, Weed, Insct, Dis'!$C$4</f>
        <v>40</v>
      </c>
      <c r="E13" s="78">
        <f>'Fert, Weed, Insct, Dis'!$D$4</f>
        <v>0.39</v>
      </c>
      <c r="F13" s="41">
        <f t="shared" si="0"/>
        <v>15.600000000000001</v>
      </c>
      <c r="G13" s="78">
        <f t="shared" si="1"/>
        <v>0.24000000000000002</v>
      </c>
      <c r="H13" s="249"/>
    </row>
    <row r="14" spans="1:9" x14ac:dyDescent="0.2">
      <c r="B14" s="107" t="s">
        <v>379</v>
      </c>
      <c r="C14" t="s">
        <v>369</v>
      </c>
      <c r="D14">
        <f>'Fert, Weed, Insct, Dis'!$C$5</f>
        <v>60</v>
      </c>
      <c r="E14" s="78">
        <f>'Fert, Weed, Insct, Dis'!$D$5</f>
        <v>0.28000000000000003</v>
      </c>
      <c r="F14" s="41">
        <f t="shared" si="0"/>
        <v>16.8</v>
      </c>
      <c r="G14" s="78">
        <f t="shared" si="1"/>
        <v>0.25846153846153846</v>
      </c>
    </row>
    <row r="15" spans="1:9" x14ac:dyDescent="0.2">
      <c r="A15" s="156" t="s">
        <v>441</v>
      </c>
      <c r="B15" t="s">
        <v>501</v>
      </c>
      <c r="C15" t="s">
        <v>386</v>
      </c>
      <c r="D15">
        <v>1</v>
      </c>
      <c r="E15" s="78">
        <f>'Fert, Weed, Insct, Dis'!$E$21</f>
        <v>15.600000000000001</v>
      </c>
      <c r="F15" s="41">
        <f t="shared" si="0"/>
        <v>15.600000000000001</v>
      </c>
      <c r="G15" s="78">
        <f t="shared" si="1"/>
        <v>0.24000000000000002</v>
      </c>
      <c r="H15" s="249"/>
    </row>
    <row r="16" spans="1:9" x14ac:dyDescent="0.2">
      <c r="A16" s="156" t="s">
        <v>442</v>
      </c>
      <c r="B16" t="s">
        <v>380</v>
      </c>
      <c r="C16" t="s">
        <v>386</v>
      </c>
      <c r="D16">
        <v>1</v>
      </c>
      <c r="E16" s="78">
        <f>'Fert, Weed, Insct, Dis'!$E$32</f>
        <v>11.48</v>
      </c>
      <c r="F16" s="41">
        <f t="shared" si="0"/>
        <v>11.48</v>
      </c>
      <c r="G16" s="78">
        <f t="shared" si="1"/>
        <v>0.17661538461538462</v>
      </c>
    </row>
    <row r="17" spans="1:8" x14ac:dyDescent="0.2">
      <c r="A17" s="156" t="s">
        <v>443</v>
      </c>
      <c r="B17" s="43" t="s">
        <v>431</v>
      </c>
      <c r="C17" t="s">
        <v>386</v>
      </c>
      <c r="D17">
        <v>1</v>
      </c>
      <c r="E17" s="78">
        <f>'Fert, Weed, Insct, Dis'!$E$46</f>
        <v>0</v>
      </c>
      <c r="F17" s="41">
        <f t="shared" si="0"/>
        <v>0</v>
      </c>
      <c r="G17" s="78">
        <f t="shared" si="1"/>
        <v>0</v>
      </c>
      <c r="H17" s="249"/>
    </row>
    <row r="18" spans="1:8" x14ac:dyDescent="0.2">
      <c r="A18" s="156" t="s">
        <v>445</v>
      </c>
      <c r="B18" t="s">
        <v>502</v>
      </c>
      <c r="F18" s="41"/>
      <c r="G18" s="78"/>
    </row>
    <row r="19" spans="1:8" x14ac:dyDescent="0.2">
      <c r="B19" s="107" t="s">
        <v>381</v>
      </c>
      <c r="C19" t="s">
        <v>387</v>
      </c>
      <c r="D19" s="207">
        <f>PreHarvest!O15+PreHarvest!I24</f>
        <v>5.1367433959427222</v>
      </c>
      <c r="E19" s="41">
        <v>1.9</v>
      </c>
      <c r="F19" s="41">
        <f>E19*D19</f>
        <v>9.7598124522911718</v>
      </c>
      <c r="G19" s="78">
        <f>F19/yield</f>
        <v>0.15015096080447957</v>
      </c>
    </row>
    <row r="20" spans="1:8" x14ac:dyDescent="0.2">
      <c r="B20" s="107" t="s">
        <v>382</v>
      </c>
      <c r="C20" t="s">
        <v>386</v>
      </c>
      <c r="D20">
        <v>1</v>
      </c>
      <c r="E20" s="41">
        <f>PreHarvest!$R$15+PreHarvest!$K$24</f>
        <v>12.025078230781947</v>
      </c>
      <c r="F20" s="41">
        <f>E20*D20</f>
        <v>12.025078230781947</v>
      </c>
      <c r="G20" s="78">
        <f>F20/yield</f>
        <v>0.18500120355049149</v>
      </c>
      <c r="H20" s="249"/>
    </row>
    <row r="21" spans="1:8" x14ac:dyDescent="0.2">
      <c r="A21" s="156" t="s">
        <v>444</v>
      </c>
      <c r="B21" t="s">
        <v>383</v>
      </c>
      <c r="F21" s="41"/>
      <c r="G21" s="78"/>
    </row>
    <row r="22" spans="1:8" x14ac:dyDescent="0.2">
      <c r="B22" s="107" t="s">
        <v>381</v>
      </c>
      <c r="C22" t="s">
        <v>387</v>
      </c>
      <c r="D22" s="207">
        <f>Harvest!O11</f>
        <v>2.5316526644257697</v>
      </c>
      <c r="E22" s="41">
        <v>1.9</v>
      </c>
      <c r="F22" s="41">
        <f t="shared" ref="F22:F28" si="2">E22*D22</f>
        <v>4.8101400624089621</v>
      </c>
      <c r="G22" s="78">
        <f t="shared" ref="G22:G28" si="3">F22/yield</f>
        <v>7.4002154806291728E-2</v>
      </c>
    </row>
    <row r="23" spans="1:8" x14ac:dyDescent="0.2">
      <c r="B23" s="107" t="s">
        <v>382</v>
      </c>
      <c r="C23" t="s">
        <v>386</v>
      </c>
      <c r="D23">
        <v>1</v>
      </c>
      <c r="E23" s="41">
        <f>Harvest!$R$11</f>
        <v>6.7289622019047606</v>
      </c>
      <c r="F23" s="41">
        <f t="shared" si="2"/>
        <v>6.7289622019047606</v>
      </c>
      <c r="G23" s="78">
        <f t="shared" si="3"/>
        <v>0.10352249541391939</v>
      </c>
      <c r="H23" s="249"/>
    </row>
    <row r="24" spans="1:8" x14ac:dyDescent="0.2">
      <c r="B24" t="s">
        <v>388</v>
      </c>
      <c r="C24" t="s">
        <v>393</v>
      </c>
      <c r="D24" s="207">
        <f>1.25*((PreHarvest!G15+PreHarvest!G24)+Harvest!G11)</f>
        <v>1.084459430533347</v>
      </c>
      <c r="E24" s="41">
        <v>12.5</v>
      </c>
      <c r="F24" s="41">
        <f t="shared" si="2"/>
        <v>13.555742881666838</v>
      </c>
      <c r="G24" s="78">
        <f t="shared" si="3"/>
        <v>0.20854989048718212</v>
      </c>
    </row>
    <row r="25" spans="1:8" x14ac:dyDescent="0.2">
      <c r="B25" t="s">
        <v>389</v>
      </c>
      <c r="C25" t="s">
        <v>386</v>
      </c>
      <c r="D25">
        <v>1</v>
      </c>
      <c r="E25" s="41">
        <v>18</v>
      </c>
      <c r="F25" s="41">
        <f t="shared" si="2"/>
        <v>18</v>
      </c>
      <c r="G25" s="78">
        <f t="shared" si="3"/>
        <v>0.27692307692307694</v>
      </c>
      <c r="H25" s="249"/>
    </row>
    <row r="26" spans="1:8" x14ac:dyDescent="0.2">
      <c r="B26" t="s">
        <v>390</v>
      </c>
      <c r="C26" t="s">
        <v>386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 x14ac:dyDescent="0.2">
      <c r="B27" t="s">
        <v>391</v>
      </c>
      <c r="C27" t="s">
        <v>392</v>
      </c>
      <c r="D27" s="78">
        <f>SUM(F9:F26)*0.5</f>
        <v>90.554867914526838</v>
      </c>
      <c r="E27" s="106">
        <v>6.5000000000000002E-2</v>
      </c>
      <c r="F27" s="41">
        <f t="shared" si="2"/>
        <v>5.8860664144442447</v>
      </c>
      <c r="G27" s="78">
        <f t="shared" si="3"/>
        <v>9.055486791452684E-2</v>
      </c>
      <c r="H27" s="249"/>
    </row>
    <row r="28" spans="1:8" s="224" customFormat="1" x14ac:dyDescent="0.2">
      <c r="B28" s="224" t="s">
        <v>521</v>
      </c>
      <c r="C28" s="239" t="str">
        <f t="shared" ref="C28" si="4">$D$6</f>
        <v>bushel</v>
      </c>
      <c r="D28" s="236">
        <f>yield*1.1</f>
        <v>71.5</v>
      </c>
      <c r="E28" s="225">
        <v>0.28000000000000003</v>
      </c>
      <c r="F28" s="225">
        <f t="shared" si="2"/>
        <v>20.020000000000003</v>
      </c>
      <c r="G28" s="226">
        <f t="shared" si="3"/>
        <v>0.30800000000000005</v>
      </c>
    </row>
    <row r="29" spans="1:8" x14ac:dyDescent="0.2">
      <c r="B29" s="258" t="s">
        <v>394</v>
      </c>
      <c r="C29" s="258"/>
      <c r="D29" s="258"/>
      <c r="E29" s="258"/>
      <c r="F29" s="108">
        <f>SUM(F9:F28)</f>
        <v>207.01580224349794</v>
      </c>
      <c r="G29" s="108">
        <f>SUM(G9:G28)</f>
        <v>3.1848584960538151</v>
      </c>
      <c r="H29" s="249"/>
    </row>
    <row r="31" spans="1:8" x14ac:dyDescent="0.2">
      <c r="B31" s="110" t="s">
        <v>399</v>
      </c>
      <c r="C31" s="110"/>
      <c r="D31" s="110"/>
      <c r="E31" s="110"/>
      <c r="F31" s="110"/>
      <c r="G31" s="110"/>
      <c r="H31" s="249"/>
    </row>
    <row r="32" spans="1:8" x14ac:dyDescent="0.2">
      <c r="B32" s="257" t="s">
        <v>400</v>
      </c>
      <c r="C32" s="257"/>
      <c r="D32" s="257"/>
      <c r="E32" s="257"/>
      <c r="F32" s="257"/>
      <c r="G32" s="257"/>
      <c r="H32" s="257"/>
    </row>
    <row r="33" spans="2:8" x14ac:dyDescent="0.2">
      <c r="B33" s="107" t="s">
        <v>520</v>
      </c>
      <c r="C33" t="s">
        <v>386</v>
      </c>
      <c r="D33">
        <v>1</v>
      </c>
      <c r="E33" s="41">
        <f>PreHarvest!$U$15+PreHarvest!$M$24</f>
        <v>32.492112445212364</v>
      </c>
      <c r="F33" s="41">
        <f>E33*D33</f>
        <v>32.492112445212364</v>
      </c>
      <c r="G33" s="41">
        <f t="shared" ref="G33:G38" si="5">F33/yield</f>
        <v>0.49987865300326711</v>
      </c>
    </row>
    <row r="34" spans="2:8" x14ac:dyDescent="0.2">
      <c r="B34" s="107" t="s">
        <v>401</v>
      </c>
      <c r="C34" t="s">
        <v>386</v>
      </c>
      <c r="D34">
        <v>1</v>
      </c>
      <c r="E34" s="41">
        <f>Harvest!$U$11</f>
        <v>34.682627283144761</v>
      </c>
      <c r="F34" s="41">
        <f t="shared" ref="F34:F38" si="6">E34*D34</f>
        <v>34.682627283144761</v>
      </c>
      <c r="G34" s="41">
        <f t="shared" si="5"/>
        <v>0.53357888127915021</v>
      </c>
      <c r="H34" s="249"/>
    </row>
    <row r="35" spans="2:8" x14ac:dyDescent="0.2">
      <c r="B35" t="s">
        <v>402</v>
      </c>
      <c r="C35" t="s">
        <v>403</v>
      </c>
      <c r="D35" s="41">
        <f>tvc</f>
        <v>207.01580224349794</v>
      </c>
      <c r="E35" s="111">
        <v>0.05</v>
      </c>
      <c r="F35" s="41">
        <f t="shared" si="6"/>
        <v>10.350790112174899</v>
      </c>
      <c r="G35" s="41">
        <f t="shared" si="5"/>
        <v>0.15924292480269076</v>
      </c>
    </row>
    <row r="36" spans="2:8" x14ac:dyDescent="0.2">
      <c r="B36" t="s">
        <v>404</v>
      </c>
      <c r="C36" t="s">
        <v>403</v>
      </c>
      <c r="D36" s="41">
        <f>tvc</f>
        <v>207.01580224349794</v>
      </c>
      <c r="E36" s="111">
        <v>0.05</v>
      </c>
      <c r="F36" s="41">
        <f>E36*D36</f>
        <v>10.350790112174899</v>
      </c>
      <c r="G36" s="41">
        <f t="shared" si="5"/>
        <v>0.15924292480269076</v>
      </c>
      <c r="H36" s="249"/>
    </row>
    <row r="37" spans="2:8" x14ac:dyDescent="0.2">
      <c r="B37" s="112" t="s">
        <v>405</v>
      </c>
      <c r="C37" t="s">
        <v>386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 x14ac:dyDescent="0.2">
      <c r="B38" s="56" t="s">
        <v>406</v>
      </c>
      <c r="C38" s="56" t="s">
        <v>386</v>
      </c>
      <c r="D38" s="56">
        <v>1</v>
      </c>
      <c r="E38" s="113">
        <v>0</v>
      </c>
      <c r="F38" s="113">
        <f t="shared" si="6"/>
        <v>0</v>
      </c>
      <c r="G38" s="41">
        <f t="shared" si="5"/>
        <v>0</v>
      </c>
      <c r="H38" s="249"/>
    </row>
    <row r="39" spans="2:8" x14ac:dyDescent="0.25">
      <c r="B39" s="258" t="s">
        <v>407</v>
      </c>
      <c r="C39" s="258"/>
      <c r="D39" s="258"/>
      <c r="E39" s="258"/>
      <c r="F39" s="108">
        <f>SUM(F33:F38)</f>
        <v>87.876319952706922</v>
      </c>
      <c r="G39" s="108">
        <f>SUM(G33:G38)</f>
        <v>1.3519433838877988</v>
      </c>
      <c r="H39" s="249"/>
    </row>
    <row r="41" spans="2:8" ht="15.75" thickBot="1" x14ac:dyDescent="0.3">
      <c r="B41" s="114" t="s">
        <v>408</v>
      </c>
      <c r="C41" s="114"/>
      <c r="D41" s="114"/>
      <c r="E41" s="114"/>
      <c r="F41" s="115">
        <f>F29+F39</f>
        <v>294.89212219620487</v>
      </c>
      <c r="G41" s="115">
        <f>G29+G39</f>
        <v>4.5368018799416134</v>
      </c>
      <c r="H41" s="249"/>
    </row>
    <row r="42" spans="2:8" x14ac:dyDescent="0.25">
      <c r="B42" s="116" t="s">
        <v>409</v>
      </c>
      <c r="C42" s="116"/>
      <c r="D42" s="116"/>
      <c r="E42" s="117" t="s">
        <v>410</v>
      </c>
      <c r="F42" s="123"/>
      <c r="G42" s="118" t="str">
        <f>CONCATENATE("/",$D$6)</f>
        <v>/bushel</v>
      </c>
    </row>
    <row r="43" spans="2:8" ht="15.75" thickBot="1" x14ac:dyDescent="0.3">
      <c r="B43" s="119" t="s">
        <v>411</v>
      </c>
      <c r="C43" s="119"/>
      <c r="D43" s="119"/>
      <c r="E43" s="120" t="s">
        <v>410</v>
      </c>
      <c r="F43" s="121"/>
      <c r="G43" s="122" t="str">
        <f>CONCATENATE("/",$D$6)</f>
        <v>/bushel</v>
      </c>
    </row>
    <row r="44" spans="2:8" x14ac:dyDescent="0.25">
      <c r="B44" s="151"/>
      <c r="C44" s="151"/>
      <c r="D44" s="151"/>
      <c r="E44" s="152"/>
      <c r="F44" s="153"/>
      <c r="G44" s="154"/>
      <c r="H44" s="151"/>
    </row>
    <row r="45" spans="2:8" ht="29.1" customHeight="1" x14ac:dyDescent="0.25">
      <c r="B45" s="262" t="s">
        <v>518</v>
      </c>
      <c r="C45" s="262"/>
      <c r="D45" s="262"/>
      <c r="E45" s="262"/>
      <c r="F45" s="262"/>
      <c r="G45" s="262"/>
      <c r="H45" s="262"/>
    </row>
    <row r="46" spans="2:8" ht="43.35" customHeight="1" x14ac:dyDescent="0.25">
      <c r="B46" s="263" t="s">
        <v>519</v>
      </c>
      <c r="C46" s="263"/>
      <c r="D46" s="263"/>
      <c r="E46" s="263"/>
      <c r="F46" s="263"/>
      <c r="G46" s="263"/>
      <c r="H46" s="263"/>
    </row>
    <row r="47" spans="2:8" ht="14.45" customHeight="1" x14ac:dyDescent="0.25">
      <c r="B47" s="255" t="s">
        <v>528</v>
      </c>
      <c r="C47" s="255"/>
      <c r="D47" s="255"/>
      <c r="E47" s="255"/>
      <c r="F47" s="255"/>
      <c r="G47" s="255"/>
      <c r="H47" s="255"/>
    </row>
    <row r="48" spans="2:8" x14ac:dyDescent="0.25">
      <c r="B48" s="256"/>
      <c r="C48" s="256"/>
      <c r="D48" s="256"/>
      <c r="E48" s="256"/>
      <c r="F48" s="256"/>
      <c r="G48" s="256"/>
      <c r="H48" s="256"/>
    </row>
    <row r="49" spans="2:8" x14ac:dyDescent="0.25">
      <c r="B49" s="254" t="str">
        <f>CONCATENATE("Sensitivity Analysis of ",B1)</f>
        <v>Sensitivity Analysis of Non-Irrigated Grain Sorghum</v>
      </c>
      <c r="C49" s="254"/>
      <c r="D49" s="254"/>
      <c r="E49" s="254"/>
      <c r="F49" s="254"/>
      <c r="G49" s="254"/>
      <c r="H49" s="124"/>
    </row>
    <row r="50" spans="2:8" x14ac:dyDescent="0.25">
      <c r="B50" s="259" t="s">
        <v>412</v>
      </c>
      <c r="C50" s="259"/>
      <c r="D50" s="259"/>
      <c r="E50" s="259"/>
      <c r="F50" s="259"/>
      <c r="G50" s="259"/>
      <c r="H50" s="125"/>
    </row>
    <row r="51" spans="2:8" x14ac:dyDescent="0.25">
      <c r="B51" s="260" t="str">
        <f>CONCATENATE("Varying Prices and Yields ","(",(D6),")")</f>
        <v>Varying Prices and Yields (bushel)</v>
      </c>
      <c r="C51" s="260"/>
      <c r="D51" s="260"/>
      <c r="E51" s="260"/>
      <c r="F51" s="260"/>
      <c r="G51" s="260"/>
      <c r="H51" s="125"/>
    </row>
    <row r="52" spans="2:8" x14ac:dyDescent="0.25">
      <c r="B52" s="265" t="str">
        <f>CONCATENATE("Price \ ",$D$6,"/Acre")</f>
        <v>Price \ bushel/Acre</v>
      </c>
      <c r="C52" s="126" t="s">
        <v>413</v>
      </c>
      <c r="D52" s="126" t="s">
        <v>414</v>
      </c>
      <c r="E52" s="127" t="s">
        <v>415</v>
      </c>
      <c r="F52" s="126" t="s">
        <v>416</v>
      </c>
      <c r="G52" s="126" t="s">
        <v>417</v>
      </c>
      <c r="H52" s="128"/>
    </row>
    <row r="53" spans="2:8" x14ac:dyDescent="0.25">
      <c r="B53" s="266"/>
      <c r="C53" s="129">
        <f>E53*0.75</f>
        <v>48.75</v>
      </c>
      <c r="D53" s="129">
        <f>E53*0.9</f>
        <v>58.5</v>
      </c>
      <c r="E53" s="129">
        <f>yield</f>
        <v>65</v>
      </c>
      <c r="F53" s="129">
        <f>E53*1.1</f>
        <v>71.5</v>
      </c>
      <c r="G53" s="129">
        <f>E53*1.25</f>
        <v>81.25</v>
      </c>
    </row>
    <row r="54" spans="2:8" x14ac:dyDescent="0.25">
      <c r="B54" s="130">
        <v>4.5</v>
      </c>
      <c r="C54" s="131">
        <f t="shared" ref="C54:G58" si="7">$B54*C$53-tvc</f>
        <v>12.359197756502056</v>
      </c>
      <c r="D54" s="131">
        <f t="shared" si="7"/>
        <v>56.234197756502056</v>
      </c>
      <c r="E54" s="131">
        <f t="shared" si="7"/>
        <v>85.484197756502056</v>
      </c>
      <c r="F54" s="131">
        <f t="shared" si="7"/>
        <v>114.73419775650206</v>
      </c>
      <c r="G54" s="131">
        <f t="shared" si="7"/>
        <v>158.60919775650206</v>
      </c>
    </row>
    <row r="55" spans="2:8" x14ac:dyDescent="0.25">
      <c r="B55" s="132">
        <f>B54+0.5</f>
        <v>5</v>
      </c>
      <c r="C55" s="133">
        <f t="shared" si="7"/>
        <v>36.734197756502056</v>
      </c>
      <c r="D55" s="133">
        <f t="shared" si="7"/>
        <v>85.484197756502056</v>
      </c>
      <c r="E55" s="133">
        <f t="shared" si="7"/>
        <v>117.98419775650206</v>
      </c>
      <c r="F55" s="133">
        <f t="shared" si="7"/>
        <v>150.48419775650206</v>
      </c>
      <c r="G55" s="133">
        <f t="shared" si="7"/>
        <v>199.23419775650206</v>
      </c>
    </row>
    <row r="56" spans="2:8" x14ac:dyDescent="0.25">
      <c r="B56" s="132">
        <f t="shared" ref="B56:B58" si="8">B55+0.5</f>
        <v>5.5</v>
      </c>
      <c r="C56" s="133">
        <f t="shared" si="7"/>
        <v>61.109197756502056</v>
      </c>
      <c r="D56" s="133">
        <f t="shared" si="7"/>
        <v>114.73419775650206</v>
      </c>
      <c r="E56" s="133">
        <f t="shared" si="7"/>
        <v>150.48419775650206</v>
      </c>
      <c r="F56" s="133">
        <f t="shared" si="7"/>
        <v>186.23419775650206</v>
      </c>
      <c r="G56" s="133">
        <f t="shared" si="7"/>
        <v>239.85919775650206</v>
      </c>
    </row>
    <row r="57" spans="2:8" x14ac:dyDescent="0.25">
      <c r="B57" s="132">
        <f t="shared" si="8"/>
        <v>6</v>
      </c>
      <c r="C57" s="133">
        <f t="shared" si="7"/>
        <v>85.484197756502056</v>
      </c>
      <c r="D57" s="133">
        <f t="shared" si="7"/>
        <v>143.98419775650206</v>
      </c>
      <c r="E57" s="133">
        <f t="shared" si="7"/>
        <v>182.98419775650206</v>
      </c>
      <c r="F57" s="133">
        <f t="shared" si="7"/>
        <v>221.98419775650206</v>
      </c>
      <c r="G57" s="133">
        <f t="shared" si="7"/>
        <v>280.48419775650206</v>
      </c>
    </row>
    <row r="58" spans="2:8" x14ac:dyDescent="0.25">
      <c r="B58" s="134">
        <f t="shared" si="8"/>
        <v>6.5</v>
      </c>
      <c r="C58" s="135">
        <f t="shared" si="7"/>
        <v>109.85919775650206</v>
      </c>
      <c r="D58" s="135">
        <f t="shared" si="7"/>
        <v>173.23419775650206</v>
      </c>
      <c r="E58" s="135">
        <f t="shared" si="7"/>
        <v>215.48419775650206</v>
      </c>
      <c r="F58" s="135">
        <f t="shared" si="7"/>
        <v>257.73419775650206</v>
      </c>
      <c r="G58" s="135">
        <f t="shared" si="7"/>
        <v>321.10919775650206</v>
      </c>
    </row>
    <row r="60" spans="2:8" x14ac:dyDescent="0.25">
      <c r="B60" s="253" t="s">
        <v>418</v>
      </c>
      <c r="C60" s="253"/>
      <c r="D60" s="253"/>
      <c r="E60" s="253"/>
      <c r="F60" s="253"/>
      <c r="G60" s="253"/>
      <c r="H60" s="253"/>
    </row>
    <row r="61" spans="2:8" x14ac:dyDescent="0.25">
      <c r="B61" s="254" t="s">
        <v>419</v>
      </c>
      <c r="C61" s="254"/>
      <c r="D61" s="254"/>
      <c r="E61" s="254"/>
      <c r="F61" s="254"/>
      <c r="G61" s="254"/>
      <c r="H61" s="254"/>
    </row>
    <row r="62" spans="2:8" ht="45" x14ac:dyDescent="0.25">
      <c r="B62" s="136" t="s">
        <v>420</v>
      </c>
      <c r="C62" s="137" t="s">
        <v>421</v>
      </c>
      <c r="D62" s="137" t="s">
        <v>422</v>
      </c>
      <c r="E62" s="137" t="s">
        <v>516</v>
      </c>
      <c r="F62" s="137" t="s">
        <v>423</v>
      </c>
      <c r="G62" s="137" t="s">
        <v>424</v>
      </c>
      <c r="H62" s="137" t="s">
        <v>425</v>
      </c>
    </row>
    <row r="63" spans="2:8" ht="30" x14ac:dyDescent="0.25">
      <c r="B63" s="162" t="str">
        <f>IF(H63&gt;0,(CONCATENATE(PreHarvest!$C3," with ",PreHarvest!$M3))," ")</f>
        <v>Heavy Disk 27' with Tractor (180-199 hp) MFWD 190</v>
      </c>
      <c r="C63" s="206">
        <f>IF(H63&gt;0,(1/PreHarvest!$E3)," ")</f>
        <v>13.213636363636363</v>
      </c>
      <c r="D63" s="138">
        <f>IF(H63&gt;0,(PreHarvest!$F3)," ")</f>
        <v>2</v>
      </c>
      <c r="E63" s="139">
        <f>IF(H63&gt;0,(D63*1/C63*1.25)," ")</f>
        <v>0.18919848641210874</v>
      </c>
      <c r="F63" s="139">
        <f>IF(H63&gt;0, (PreHarvest!$O3)," ")</f>
        <v>1.4802586859305127</v>
      </c>
      <c r="G63" s="227">
        <f>PreHarvest!$R3</f>
        <v>3.7452962962962966</v>
      </c>
      <c r="H63" s="227">
        <f>PreHarvest!$U3</f>
        <v>10.882420721247563</v>
      </c>
    </row>
    <row r="64" spans="2:8" ht="30" x14ac:dyDescent="0.25">
      <c r="B64" s="231" t="str">
        <f>IF(H64&gt;0,(CONCATENATE(PreHarvest!$C4," with ",PreHarvest!$M4))," ")</f>
        <v>Disk &amp; Incorporate 32' with Tractor (180-199 hp) MFWD 190</v>
      </c>
      <c r="C64" s="235">
        <f>IF(H64&gt;0,(1/PreHarvest!$E4)," ")</f>
        <v>15.272727272727272</v>
      </c>
      <c r="D64" s="140">
        <f>IF(H64&gt;0,(PreHarvest!$F4)," ")</f>
        <v>1</v>
      </c>
      <c r="E64" s="228">
        <f t="shared" ref="E64" si="9">IF(H64&gt;0,(D64*1/C64*1.25)," ")</f>
        <v>8.1845238095238096E-2</v>
      </c>
      <c r="F64" s="228">
        <f>IF(H64&gt;0, (PreHarvest!$O4)," ")</f>
        <v>0.64034404761904762</v>
      </c>
      <c r="G64" s="229">
        <f>PreHarvest!$R4</f>
        <v>1.9637070357142856</v>
      </c>
      <c r="H64" s="229">
        <f>PreHarvest!$U4</f>
        <v>5.1428452376190474</v>
      </c>
    </row>
    <row r="65" spans="2:8" ht="30" x14ac:dyDescent="0.25">
      <c r="B65" s="231" t="str">
        <f>IF(H65&gt;0,(CONCATENATE(PreHarvest!$C5," with ",PreHarvest!$M5))," ")</f>
        <v>Bed-Disk  (Hipper)  6R-36 with Tractor (180-199 hp) MFWD 190</v>
      </c>
      <c r="C65" s="235">
        <f>IF(H65&gt;0,(1/PreHarvest!$E5)," ")</f>
        <v>9.6</v>
      </c>
      <c r="D65" s="140">
        <f>IF(H65&gt;0,(PreHarvest!$F5)," ")</f>
        <v>1</v>
      </c>
      <c r="E65" s="228">
        <f t="shared" ref="E65:E68" si="10">IF(H65&gt;0,(D65*1/C65*1.25)," ")</f>
        <v>0.13020833333333334</v>
      </c>
      <c r="F65" s="228">
        <f>IF(H65&gt;0, (PreHarvest!$O5)," ")</f>
        <v>1.0187291666666667</v>
      </c>
      <c r="G65" s="229">
        <f>PreHarvest!$R5</f>
        <v>1.6503945312499999</v>
      </c>
      <c r="H65" s="229">
        <f>PreHarvest!$U5</f>
        <v>5.079569973307291</v>
      </c>
    </row>
    <row r="66" spans="2:8" s="224" customFormat="1" ht="30" x14ac:dyDescent="0.25">
      <c r="B66" s="231" t="str">
        <f>IF(H66&gt;0,(CONCATENATE(PreHarvest!$C6," with ",PreHarvest!$M6))," ")</f>
        <v>Plant - Rigid  6R-36 with Tractor (120-139 hp) 2WD 130</v>
      </c>
      <c r="C66" s="235">
        <f>IF(H66&gt;0,(1/PreHarvest!$E6)," ")</f>
        <v>9.545454545454545</v>
      </c>
      <c r="D66" s="140">
        <f>IF(H66&gt;0,(PreHarvest!$F6)," ")</f>
        <v>1</v>
      </c>
      <c r="E66" s="228">
        <f t="shared" si="10"/>
        <v>0.13095238095238096</v>
      </c>
      <c r="F66" s="228">
        <f>IF(H66&gt;0, (PreHarvest!$O6)," ")</f>
        <v>0.70100380952380947</v>
      </c>
      <c r="G66" s="229">
        <f>PreHarvest!$R6</f>
        <v>1.7831986071428569</v>
      </c>
      <c r="H66" s="229">
        <f>PreHarvest!$U6</f>
        <v>4.9769721948571419</v>
      </c>
    </row>
    <row r="67" spans="2:8" s="224" customFormat="1" ht="30" x14ac:dyDescent="0.25">
      <c r="B67" s="231" t="str">
        <f>IF(H67&gt;0,(CONCATENATE(PreHarvest!$C7," with ",PreHarvest!$M7))," ")</f>
        <v>Fert Appl (Liquid)  6R-36 with Tractor (120-139 hp) 2WD 130</v>
      </c>
      <c r="C67" s="235">
        <f>IF(H67&gt;0,(1/PreHarvest!$E7)," ")</f>
        <v>9.1636363636363622</v>
      </c>
      <c r="D67" s="140">
        <f>IF(H67&gt;0,(PreHarvest!$F7)," ")</f>
        <v>1</v>
      </c>
      <c r="E67" s="228">
        <f t="shared" si="10"/>
        <v>0.13640873015873017</v>
      </c>
      <c r="F67" s="228">
        <f>IF(H67&gt;0, (PreHarvest!$O7)," ")</f>
        <v>0.73021230158730166</v>
      </c>
      <c r="G67" s="229">
        <f>PreHarvest!$R7</f>
        <v>1.8692672123015874</v>
      </c>
      <c r="H67" s="229">
        <f>PreHarvest!$U7</f>
        <v>3.967108494642857</v>
      </c>
    </row>
    <row r="68" spans="2:8" s="224" customFormat="1" ht="30" x14ac:dyDescent="0.25">
      <c r="B68" s="231" t="str">
        <f>IF(H68&gt;0,(CONCATENATE(PreHarvest!$C8," with ",PreHarvest!$M8))," ")</f>
        <v>Spray (Broadcast) 60' with Tractor (120-139 hp) 2WD 130</v>
      </c>
      <c r="C68" s="235">
        <f>IF(H68&gt;0,(1/PreHarvest!$E8)," ")</f>
        <v>35.454545454545453</v>
      </c>
      <c r="D68" s="140">
        <f>IF(H68&gt;0,(PreHarvest!$F8)," ")</f>
        <v>3</v>
      </c>
      <c r="E68" s="228">
        <f t="shared" si="10"/>
        <v>0.10576923076923078</v>
      </c>
      <c r="F68" s="228">
        <f>IF(H68&gt;0, (PreHarvest!$O8)," ")</f>
        <v>0.56619538461538466</v>
      </c>
      <c r="G68" s="229">
        <f>PreHarvest!$R8</f>
        <v>1.013214548076923</v>
      </c>
      <c r="H68" s="229">
        <f>PreHarvest!$U8</f>
        <v>2.4431958235384612</v>
      </c>
    </row>
    <row r="69" spans="2:8" x14ac:dyDescent="0.25">
      <c r="B69" s="158" t="s">
        <v>426</v>
      </c>
      <c r="C69" s="159"/>
      <c r="D69" s="159"/>
      <c r="E69" s="160">
        <f>SUM(E63:E68)</f>
        <v>0.77438239972102219</v>
      </c>
      <c r="F69" s="160">
        <f>SUM(F63:F68)</f>
        <v>5.1367433959427222</v>
      </c>
      <c r="G69" s="161">
        <f>SUM(G63:G68)</f>
        <v>12.025078230781947</v>
      </c>
      <c r="H69" s="161">
        <f>SUM(H63:H68)</f>
        <v>32.492112445212364</v>
      </c>
    </row>
    <row r="71" spans="2:8" x14ac:dyDescent="0.25">
      <c r="B71" s="57" t="s">
        <v>427</v>
      </c>
    </row>
    <row r="72" spans="2:8" ht="45" x14ac:dyDescent="0.25">
      <c r="B72" s="136" t="s">
        <v>420</v>
      </c>
      <c r="C72" s="137" t="s">
        <v>421</v>
      </c>
      <c r="D72" s="137" t="s">
        <v>422</v>
      </c>
      <c r="E72" s="137" t="s">
        <v>516</v>
      </c>
      <c r="F72" s="137" t="s">
        <v>423</v>
      </c>
      <c r="G72" s="137" t="s">
        <v>424</v>
      </c>
      <c r="H72" s="137" t="s">
        <v>425</v>
      </c>
    </row>
    <row r="73" spans="2:8" s="224" customFormat="1" ht="30" x14ac:dyDescent="0.25">
      <c r="B73" s="231" t="str">
        <f>IF(H73&gt;0,(CONCATENATE(Harvest!$C4," with ",Harvest!$M4))," ")</f>
        <v>Header Wheat/Sorghum 18' Rigid with Combine (200-249 hp) 240 hp</v>
      </c>
      <c r="C73" s="205">
        <f>IF(H73&gt;0,(1/Harvest!$E4)," ")</f>
        <v>6.4909090909090921</v>
      </c>
      <c r="D73" s="157">
        <f>IF(H73&gt;0,(Harvest!$F4)," ")</f>
        <v>1</v>
      </c>
      <c r="E73" s="204">
        <f t="shared" ref="E73:E74" si="11">IF(H73&gt;0,(1/C73*D73*1.25)," ")</f>
        <v>0.19257703081232491</v>
      </c>
      <c r="F73" s="204">
        <f>IF(H73&gt;0,(Harvest!$O4)," ")</f>
        <v>1.90266106442577</v>
      </c>
      <c r="G73" s="230">
        <f>Harvest!$R4</f>
        <v>5.418154761904761</v>
      </c>
      <c r="H73" s="230">
        <f>Harvest!$U4</f>
        <v>31.153534761904758</v>
      </c>
    </row>
    <row r="74" spans="2:8" s="224" customFormat="1" ht="30" x14ac:dyDescent="0.25">
      <c r="B74" s="231" t="str">
        <f>IF(H74&gt;0,(CONCATENATE(Harvest!$C5," with ",Harvest!$M5))," ")</f>
        <v>Grain Cart Corn  500 bu with Tractor (120-139 hp) 2WD 130</v>
      </c>
      <c r="C74" s="205">
        <f>IF(H74&gt;0,(1/Harvest!$E5)," ")</f>
        <v>10.638297872340425</v>
      </c>
      <c r="D74" s="157">
        <f>IF(H74&gt;0,(Harvest!$F5)," ")</f>
        <v>1</v>
      </c>
      <c r="E74" s="204">
        <f t="shared" si="11"/>
        <v>0.11749999999999999</v>
      </c>
      <c r="F74" s="204">
        <f>IF(H74&gt;0,(Harvest!$O5)," ")</f>
        <v>0.62899159999999998</v>
      </c>
      <c r="G74" s="230">
        <f>Harvest!$R5</f>
        <v>1.3108074399999996</v>
      </c>
      <c r="H74" s="230">
        <f>Harvest!$U5</f>
        <v>3.5290925212399999</v>
      </c>
    </row>
    <row r="75" spans="2:8" ht="14.45" customHeight="1" x14ac:dyDescent="0.25">
      <c r="B75" s="158" t="s">
        <v>428</v>
      </c>
      <c r="C75" s="159"/>
      <c r="D75" s="159"/>
      <c r="E75" s="160">
        <f>SUM(E73:E74)</f>
        <v>0.31007703081232491</v>
      </c>
      <c r="F75" s="160">
        <f>SUM(F73:F74)</f>
        <v>2.5316526644257697</v>
      </c>
      <c r="G75" s="161">
        <f>SUM(G73:G74)</f>
        <v>6.7289622019047606</v>
      </c>
      <c r="H75" s="161">
        <f>SUM(H73:H74)</f>
        <v>34.682627283144761</v>
      </c>
    </row>
    <row r="76" spans="2:8" s="208" customFormat="1" x14ac:dyDescent="0.25">
      <c r="B76" s="209"/>
      <c r="C76" s="210"/>
      <c r="D76" s="210"/>
      <c r="E76" s="211"/>
      <c r="F76" s="211"/>
      <c r="G76" s="212"/>
      <c r="H76" s="212"/>
    </row>
    <row r="77" spans="2:8" ht="29.1" customHeight="1" x14ac:dyDescent="0.25">
      <c r="B77" s="261" t="s">
        <v>517</v>
      </c>
      <c r="C77" s="261"/>
      <c r="D77" s="261"/>
      <c r="E77" s="261"/>
      <c r="F77" s="261"/>
      <c r="G77" s="261"/>
      <c r="H77" s="261"/>
    </row>
    <row r="78" spans="2:8" ht="43.35" customHeight="1" x14ac:dyDescent="0.25">
      <c r="B78" s="213"/>
      <c r="C78" s="213"/>
      <c r="D78" s="213"/>
      <c r="E78" s="213"/>
      <c r="F78" s="213"/>
      <c r="G78" s="213"/>
      <c r="H78" s="213"/>
    </row>
    <row r="79" spans="2:8" ht="14.45" customHeight="1" x14ac:dyDescent="0.25">
      <c r="B79" s="255" t="s">
        <v>528</v>
      </c>
      <c r="C79" s="255"/>
      <c r="D79" s="255"/>
      <c r="E79" s="255"/>
      <c r="F79" s="255"/>
      <c r="G79" s="255"/>
      <c r="H79" s="255"/>
    </row>
    <row r="80" spans="2:8" x14ac:dyDescent="0.25">
      <c r="B80" s="256"/>
      <c r="C80" s="256"/>
      <c r="D80" s="256"/>
      <c r="E80" s="256"/>
      <c r="F80" s="256"/>
      <c r="G80" s="256"/>
      <c r="H80" s="256"/>
    </row>
    <row r="81" spans="2:8" x14ac:dyDescent="0.25">
      <c r="B81" s="150"/>
      <c r="C81" s="150"/>
      <c r="D81" s="150"/>
      <c r="E81" s="150"/>
      <c r="F81" s="150"/>
      <c r="G81" s="150"/>
      <c r="H81" s="150"/>
    </row>
  </sheetData>
  <mergeCells count="17">
    <mergeCell ref="B1:H1"/>
    <mergeCell ref="B4:H4"/>
    <mergeCell ref="B29:E29"/>
    <mergeCell ref="B2:H2"/>
    <mergeCell ref="B52:B53"/>
    <mergeCell ref="B60:H60"/>
    <mergeCell ref="B61:H61"/>
    <mergeCell ref="B79:H80"/>
    <mergeCell ref="B32:H32"/>
    <mergeCell ref="B39:E39"/>
    <mergeCell ref="B49:G49"/>
    <mergeCell ref="B50:G50"/>
    <mergeCell ref="B51:G51"/>
    <mergeCell ref="B47:H48"/>
    <mergeCell ref="B77:H77"/>
    <mergeCell ref="B45:H45"/>
    <mergeCell ref="B46:H46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r:id="rId1"/>
  <headerFooter>
    <oddFooter>&amp;LAg and Applied Economics, 1/2017&amp;R&amp;G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D26" sqref="D26"/>
    </sheetView>
  </sheetViews>
  <sheetFormatPr defaultColWidth="8.85546875" defaultRowHeight="15" x14ac:dyDescent="0.25"/>
  <cols>
    <col min="1" max="1" width="13.42578125" bestFit="1" customWidth="1"/>
    <col min="2" max="2" width="5.42578125" bestFit="1" customWidth="1"/>
    <col min="3" max="3" width="8.140625" bestFit="1" customWidth="1"/>
    <col min="4" max="4" width="8" bestFit="1" customWidth="1"/>
    <col min="5" max="5" width="9" bestFit="1" customWidth="1"/>
    <col min="6" max="6" width="8.85546875" bestFit="1" customWidth="1"/>
    <col min="8" max="8" width="20" bestFit="1" customWidth="1"/>
  </cols>
  <sheetData>
    <row r="1" spans="1:8" x14ac:dyDescent="0.2">
      <c r="A1" s="267" t="s">
        <v>359</v>
      </c>
      <c r="B1" s="267"/>
      <c r="C1" s="267"/>
      <c r="D1" s="267"/>
      <c r="E1" s="267"/>
      <c r="F1" s="267"/>
    </row>
    <row r="2" spans="1:8" x14ac:dyDescent="0.2">
      <c r="A2" s="98" t="s">
        <v>365</v>
      </c>
      <c r="B2" s="98" t="s">
        <v>366</v>
      </c>
      <c r="C2" s="98" t="s">
        <v>367</v>
      </c>
      <c r="D2" s="98" t="s">
        <v>368</v>
      </c>
      <c r="E2" s="98" t="s">
        <v>375</v>
      </c>
      <c r="F2" s="98" t="str">
        <f>CONCATENATE("$/",Main!$D$6)</f>
        <v>$/bushel</v>
      </c>
    </row>
    <row r="3" spans="1:8" x14ac:dyDescent="0.2">
      <c r="A3" s="99" t="s">
        <v>360</v>
      </c>
      <c r="B3" s="99" t="s">
        <v>494</v>
      </c>
      <c r="C3" s="99">
        <v>80</v>
      </c>
      <c r="D3" s="100">
        <v>0.42</v>
      </c>
      <c r="E3" s="101">
        <f>D3*C3</f>
        <v>33.6</v>
      </c>
      <c r="F3" s="102">
        <f t="shared" ref="F3:F9" si="0">E3/yield</f>
        <v>0.51692307692307693</v>
      </c>
    </row>
    <row r="4" spans="1:8" x14ac:dyDescent="0.2">
      <c r="A4" s="103" t="s">
        <v>361</v>
      </c>
      <c r="B4" s="103" t="s">
        <v>494</v>
      </c>
      <c r="C4" s="103">
        <v>40</v>
      </c>
      <c r="D4" s="101">
        <v>0.39</v>
      </c>
      <c r="E4" s="101">
        <f t="shared" ref="E4:E9" si="1">D4*C4</f>
        <v>15.600000000000001</v>
      </c>
      <c r="F4" s="102">
        <f t="shared" si="0"/>
        <v>0.24000000000000002</v>
      </c>
    </row>
    <row r="5" spans="1:8" x14ac:dyDescent="0.2">
      <c r="A5" s="103" t="s">
        <v>362</v>
      </c>
      <c r="B5" s="103" t="s">
        <v>494</v>
      </c>
      <c r="C5" s="103">
        <v>60</v>
      </c>
      <c r="D5" s="101">
        <v>0.28000000000000003</v>
      </c>
      <c r="E5" s="101">
        <f t="shared" si="1"/>
        <v>16.8</v>
      </c>
      <c r="F5" s="102">
        <f t="shared" si="0"/>
        <v>0.25846153846153846</v>
      </c>
    </row>
    <row r="6" spans="1:8" x14ac:dyDescent="0.2">
      <c r="A6" s="103" t="s">
        <v>363</v>
      </c>
      <c r="B6" s="103" t="s">
        <v>385</v>
      </c>
      <c r="C6" s="103">
        <v>0.25</v>
      </c>
      <c r="D6" s="101">
        <v>42</v>
      </c>
      <c r="E6" s="101">
        <f t="shared" si="1"/>
        <v>10.5</v>
      </c>
      <c r="F6" s="102">
        <f t="shared" si="0"/>
        <v>0.16153846153846155</v>
      </c>
    </row>
    <row r="7" spans="1:8" x14ac:dyDescent="0.2">
      <c r="A7" s="103" t="s">
        <v>364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364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364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7" t="s">
        <v>370</v>
      </c>
      <c r="B10" s="267"/>
      <c r="C10" s="267"/>
      <c r="D10" s="267"/>
      <c r="E10" s="79">
        <f>SUM(E3:E9)</f>
        <v>76.5</v>
      </c>
      <c r="F10" s="79">
        <f>SUM(F3:F9)</f>
        <v>1.176923076923077</v>
      </c>
      <c r="H10" s="156" t="s">
        <v>446</v>
      </c>
    </row>
    <row r="12" spans="1:8" x14ac:dyDescent="0.2">
      <c r="A12" s="268" t="s">
        <v>395</v>
      </c>
      <c r="B12" s="268"/>
      <c r="C12" s="268"/>
      <c r="D12" s="268"/>
      <c r="E12" s="268"/>
      <c r="F12" s="268"/>
    </row>
    <row r="13" spans="1:8" x14ac:dyDescent="0.2">
      <c r="A13" s="90" t="s">
        <v>365</v>
      </c>
      <c r="B13" s="90" t="s">
        <v>366</v>
      </c>
      <c r="C13" s="90" t="s">
        <v>367</v>
      </c>
      <c r="D13" s="90" t="s">
        <v>368</v>
      </c>
      <c r="E13" s="90" t="s">
        <v>375</v>
      </c>
      <c r="F13" s="90" t="str">
        <f>CONCATENATE("$/",Main!$D$6)</f>
        <v>$/bushel</v>
      </c>
    </row>
    <row r="14" spans="1:8" x14ac:dyDescent="0.2">
      <c r="A14" s="95" t="s">
        <v>495</v>
      </c>
      <c r="B14" s="91" t="s">
        <v>498</v>
      </c>
      <c r="C14" s="91">
        <v>1</v>
      </c>
      <c r="D14" s="92">
        <v>7.4</v>
      </c>
      <c r="E14" s="93">
        <f>D14*C14</f>
        <v>7.4</v>
      </c>
      <c r="F14" s="94">
        <f t="shared" ref="F14:F20" si="2">E14/yield</f>
        <v>0.11384615384615385</v>
      </c>
    </row>
    <row r="15" spans="1:8" x14ac:dyDescent="0.2">
      <c r="A15" s="95" t="s">
        <v>496</v>
      </c>
      <c r="B15" s="95" t="s">
        <v>499</v>
      </c>
      <c r="C15" s="95">
        <v>2</v>
      </c>
      <c r="D15" s="93">
        <v>3.2</v>
      </c>
      <c r="E15" s="93">
        <f t="shared" ref="E15:E20" si="3">D15*C15</f>
        <v>6.4</v>
      </c>
      <c r="F15" s="94">
        <f t="shared" si="2"/>
        <v>9.8461538461538461E-2</v>
      </c>
    </row>
    <row r="16" spans="1:8" x14ac:dyDescent="0.2">
      <c r="A16" s="247" t="s">
        <v>497</v>
      </c>
      <c r="B16" s="95" t="s">
        <v>500</v>
      </c>
      <c r="C16" s="95">
        <v>1</v>
      </c>
      <c r="D16" s="93">
        <v>1.8</v>
      </c>
      <c r="E16" s="93">
        <f t="shared" si="3"/>
        <v>1.8</v>
      </c>
      <c r="F16" s="94">
        <f t="shared" si="2"/>
        <v>2.7692307692307693E-2</v>
      </c>
    </row>
    <row r="17" spans="1:8" x14ac:dyDescent="0.2">
      <c r="A17" s="95" t="s">
        <v>364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364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364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364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8" t="s">
        <v>396</v>
      </c>
      <c r="B21" s="268"/>
      <c r="C21" s="268"/>
      <c r="D21" s="268"/>
      <c r="E21" s="80">
        <f>SUM(E14:E20)</f>
        <v>15.600000000000001</v>
      </c>
      <c r="F21" s="80">
        <f>SUM(F14:F20)</f>
        <v>0.24</v>
      </c>
      <c r="H21" s="156" t="s">
        <v>446</v>
      </c>
    </row>
    <row r="23" spans="1:8" x14ac:dyDescent="0.2">
      <c r="A23" s="270" t="s">
        <v>397</v>
      </c>
      <c r="B23" s="270"/>
      <c r="C23" s="270"/>
      <c r="D23" s="270"/>
      <c r="E23" s="270"/>
      <c r="F23" s="270"/>
    </row>
    <row r="24" spans="1:8" x14ac:dyDescent="0.2">
      <c r="A24" s="82" t="s">
        <v>365</v>
      </c>
      <c r="B24" s="82" t="s">
        <v>366</v>
      </c>
      <c r="C24" s="82" t="s">
        <v>367</v>
      </c>
      <c r="D24" s="82" t="s">
        <v>368</v>
      </c>
      <c r="E24" s="82" t="s">
        <v>375</v>
      </c>
      <c r="F24" s="82" t="str">
        <f>CONCATENATE("$/",Main!$D$6)</f>
        <v>$/bushel</v>
      </c>
    </row>
    <row r="25" spans="1:8" x14ac:dyDescent="0.2">
      <c r="A25" s="83" t="s">
        <v>525</v>
      </c>
      <c r="B25" s="83" t="s">
        <v>526</v>
      </c>
      <c r="C25" s="83">
        <v>4</v>
      </c>
      <c r="D25" s="84">
        <v>2.87</v>
      </c>
      <c r="E25" s="85">
        <f>D25*C25</f>
        <v>11.48</v>
      </c>
      <c r="F25" s="86">
        <f t="shared" ref="F25:F31" si="4">E25/yield</f>
        <v>0.17661538461538462</v>
      </c>
    </row>
    <row r="26" spans="1:8" x14ac:dyDescent="0.2">
      <c r="A26" s="87" t="s">
        <v>364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">
      <c r="A27" s="87" t="s">
        <v>364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364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">
      <c r="A29" s="87" t="s">
        <v>364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">
      <c r="A30" s="87" t="s">
        <v>364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">
      <c r="A31" s="88" t="s">
        <v>364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">
      <c r="A32" s="270" t="s">
        <v>398</v>
      </c>
      <c r="B32" s="270"/>
      <c r="C32" s="270"/>
      <c r="D32" s="270"/>
      <c r="E32" s="81">
        <f>SUM(E25:E31)</f>
        <v>11.48</v>
      </c>
      <c r="F32" s="81">
        <f>SUM(F25:F31)</f>
        <v>0.17661538461538462</v>
      </c>
      <c r="H32" s="156" t="s">
        <v>446</v>
      </c>
    </row>
    <row r="34" spans="1:8" x14ac:dyDescent="0.2">
      <c r="A34" s="269" t="s">
        <v>429</v>
      </c>
      <c r="B34" s="269"/>
      <c r="C34" s="269"/>
      <c r="D34" s="269"/>
      <c r="E34" s="269"/>
      <c r="F34" s="269"/>
    </row>
    <row r="35" spans="1:8" x14ac:dyDescent="0.2">
      <c r="A35" s="142" t="s">
        <v>365</v>
      </c>
      <c r="B35" s="142" t="s">
        <v>366</v>
      </c>
      <c r="C35" s="142" t="s">
        <v>367</v>
      </c>
      <c r="D35" s="142" t="s">
        <v>368</v>
      </c>
      <c r="E35" s="142" t="s">
        <v>375</v>
      </c>
      <c r="F35" s="142" t="str">
        <f>CONCATENATE("$/",Main!$D$6)</f>
        <v>$/bushel</v>
      </c>
    </row>
    <row r="36" spans="1:8" x14ac:dyDescent="0.2">
      <c r="A36" s="143" t="s">
        <v>364</v>
      </c>
      <c r="B36" s="143"/>
      <c r="C36" s="143"/>
      <c r="D36" s="144"/>
      <c r="E36" s="145">
        <f>D36*C36</f>
        <v>0</v>
      </c>
      <c r="F36" s="146">
        <f t="shared" ref="F36:F45" si="6">E36/yield</f>
        <v>0</v>
      </c>
    </row>
    <row r="37" spans="1:8" x14ac:dyDescent="0.2">
      <c r="A37" s="147" t="s">
        <v>364</v>
      </c>
      <c r="B37" s="147"/>
      <c r="C37" s="147"/>
      <c r="D37" s="145"/>
      <c r="E37" s="145">
        <f t="shared" ref="E37:E45" si="7">D37*C37</f>
        <v>0</v>
      </c>
      <c r="F37" s="146">
        <f t="shared" si="6"/>
        <v>0</v>
      </c>
    </row>
    <row r="38" spans="1:8" x14ac:dyDescent="0.2">
      <c r="A38" s="147" t="s">
        <v>364</v>
      </c>
      <c r="B38" s="147"/>
      <c r="C38" s="147"/>
      <c r="D38" s="145"/>
      <c r="E38" s="145">
        <f t="shared" ref="E38:E41" si="8">D38*C38</f>
        <v>0</v>
      </c>
      <c r="F38" s="146">
        <f t="shared" ref="F38:F41" si="9">E38/yield</f>
        <v>0</v>
      </c>
    </row>
    <row r="39" spans="1:8" x14ac:dyDescent="0.25">
      <c r="A39" s="147" t="s">
        <v>364</v>
      </c>
      <c r="B39" s="147"/>
      <c r="C39" s="147"/>
      <c r="D39" s="145"/>
      <c r="E39" s="145">
        <f t="shared" si="8"/>
        <v>0</v>
      </c>
      <c r="F39" s="146">
        <f t="shared" si="9"/>
        <v>0</v>
      </c>
    </row>
    <row r="40" spans="1:8" x14ac:dyDescent="0.25">
      <c r="A40" s="147" t="s">
        <v>364</v>
      </c>
      <c r="B40" s="147"/>
      <c r="C40" s="147"/>
      <c r="D40" s="145"/>
      <c r="E40" s="145">
        <f t="shared" si="8"/>
        <v>0</v>
      </c>
      <c r="F40" s="146">
        <f t="shared" si="9"/>
        <v>0</v>
      </c>
    </row>
    <row r="41" spans="1:8" x14ac:dyDescent="0.25">
      <c r="A41" s="147" t="s">
        <v>364</v>
      </c>
      <c r="B41" s="147"/>
      <c r="C41" s="147"/>
      <c r="D41" s="145"/>
      <c r="E41" s="145">
        <f t="shared" si="8"/>
        <v>0</v>
      </c>
      <c r="F41" s="146">
        <f t="shared" si="9"/>
        <v>0</v>
      </c>
    </row>
    <row r="42" spans="1:8" x14ac:dyDescent="0.25">
      <c r="A42" s="147" t="s">
        <v>364</v>
      </c>
      <c r="B42" s="147"/>
      <c r="C42" s="147"/>
      <c r="D42" s="145"/>
      <c r="E42" s="145">
        <f t="shared" si="7"/>
        <v>0</v>
      </c>
      <c r="F42" s="146">
        <f t="shared" si="6"/>
        <v>0</v>
      </c>
    </row>
    <row r="43" spans="1:8" x14ac:dyDescent="0.25">
      <c r="A43" s="147" t="s">
        <v>364</v>
      </c>
      <c r="B43" s="147"/>
      <c r="C43" s="147"/>
      <c r="D43" s="145"/>
      <c r="E43" s="145">
        <f t="shared" si="7"/>
        <v>0</v>
      </c>
      <c r="F43" s="146">
        <f t="shared" si="6"/>
        <v>0</v>
      </c>
    </row>
    <row r="44" spans="1:8" x14ac:dyDescent="0.25">
      <c r="A44" s="147" t="s">
        <v>364</v>
      </c>
      <c r="B44" s="147"/>
      <c r="C44" s="147"/>
      <c r="D44" s="145"/>
      <c r="E44" s="145">
        <f t="shared" si="7"/>
        <v>0</v>
      </c>
      <c r="F44" s="146">
        <f t="shared" si="6"/>
        <v>0</v>
      </c>
    </row>
    <row r="45" spans="1:8" x14ac:dyDescent="0.25">
      <c r="A45" s="148" t="s">
        <v>364</v>
      </c>
      <c r="B45" s="148"/>
      <c r="C45" s="148"/>
      <c r="D45" s="149"/>
      <c r="E45" s="145">
        <f t="shared" si="7"/>
        <v>0</v>
      </c>
      <c r="F45" s="146">
        <f t="shared" si="6"/>
        <v>0</v>
      </c>
    </row>
    <row r="46" spans="1:8" x14ac:dyDescent="0.25">
      <c r="A46" s="269" t="s">
        <v>430</v>
      </c>
      <c r="B46" s="269"/>
      <c r="C46" s="269"/>
      <c r="D46" s="269"/>
      <c r="E46" s="141">
        <f>SUM(E36:E45)</f>
        <v>0</v>
      </c>
      <c r="F46" s="141">
        <f>SUM(F36:F45)</f>
        <v>0</v>
      </c>
      <c r="H46" s="156" t="s">
        <v>446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42578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42578125" style="43" bestFit="1" customWidth="1"/>
    <col min="8" max="8" width="8" style="43" bestFit="1" customWidth="1"/>
    <col min="9" max="9" width="7.42578125" style="43" bestFit="1" customWidth="1"/>
    <col min="10" max="10" width="8" style="43" bestFit="1" customWidth="1"/>
    <col min="11" max="11" width="7.42578125" style="43" bestFit="1" customWidth="1"/>
    <col min="12" max="12" width="26.42578125" style="174" bestFit="1" customWidth="1"/>
    <col min="13" max="13" width="22.42578125" style="174" bestFit="1" customWidth="1"/>
    <col min="14" max="14" width="9.28515625" style="43" bestFit="1" customWidth="1"/>
    <col min="15" max="15" width="8.42578125" style="43" bestFit="1" customWidth="1"/>
    <col min="16" max="16" width="8" style="43" bestFit="1" customWidth="1"/>
    <col min="17" max="17" width="7.42578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x14ac:dyDescent="0.2">
      <c r="B1" s="254" t="s">
        <v>185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46" customFormat="1" ht="38.25" x14ac:dyDescent="0.2">
      <c r="A2" s="272" t="s">
        <v>172</v>
      </c>
      <c r="B2" s="42" t="s">
        <v>184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73" t="s">
        <v>183</v>
      </c>
      <c r="M2" s="173" t="s">
        <v>455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432</v>
      </c>
      <c r="S2" s="44" t="s">
        <v>175</v>
      </c>
      <c r="T2" s="44" t="s">
        <v>174</v>
      </c>
      <c r="U2" s="42" t="s">
        <v>171</v>
      </c>
    </row>
    <row r="3" spans="1:21" x14ac:dyDescent="0.25">
      <c r="A3" s="273"/>
      <c r="B3" s="177" t="s">
        <v>503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12.394841666666665</v>
      </c>
      <c r="I3" s="59">
        <f>H3*G3</f>
        <v>1.8760682261208577</v>
      </c>
      <c r="J3" s="59">
        <f t="shared" ref="J3:J14" si="4">IF(B3&gt;0,VLOOKUP($B3,pre_implement,31),0)</f>
        <v>35.721933683333326</v>
      </c>
      <c r="K3" s="60">
        <f>J3*G3</f>
        <v>5.4068286276803113</v>
      </c>
      <c r="L3" s="174" t="s">
        <v>509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12.349649999999999</v>
      </c>
      <c r="Q3" s="59">
        <f>P3*G3</f>
        <v>1.8692280701754387</v>
      </c>
      <c r="R3" s="59">
        <f>I3+Q3</f>
        <v>3.7452962962962966</v>
      </c>
      <c r="S3" s="59">
        <f t="shared" ref="S3:S14" si="8">IF(L3&gt;0,VLOOKUP($L3,tractor_data,24),0)</f>
        <v>36.176241399999995</v>
      </c>
      <c r="T3" s="59">
        <f>S3*G3</f>
        <v>5.4755920935672515</v>
      </c>
      <c r="U3" s="59">
        <f>T3+K3</f>
        <v>10.882420721247563</v>
      </c>
    </row>
    <row r="4" spans="1:21" x14ac:dyDescent="0.25">
      <c r="A4" s="273"/>
      <c r="B4" s="177" t="s">
        <v>504</v>
      </c>
      <c r="C4" s="233" t="str">
        <f t="shared" si="0"/>
        <v>Disk &amp; Incorporate 32'</v>
      </c>
      <c r="D4" s="52" t="str">
        <f t="shared" si="1"/>
        <v>32'</v>
      </c>
      <c r="E4" s="58">
        <f t="shared" si="2"/>
        <v>6.5476190476190479E-2</v>
      </c>
      <c r="F4" s="52">
        <v>1</v>
      </c>
      <c r="G4" s="58">
        <f t="shared" ref="G4:G14" si="9">F4*E4</f>
        <v>6.5476190476190479E-2</v>
      </c>
      <c r="H4" s="59">
        <f t="shared" si="3"/>
        <v>17.641511999999999</v>
      </c>
      <c r="I4" s="59">
        <f t="shared" ref="I4:I14" si="10">H4*G4</f>
        <v>1.1550989999999999</v>
      </c>
      <c r="J4" s="59">
        <f t="shared" si="4"/>
        <v>42.369031319999998</v>
      </c>
      <c r="K4" s="60">
        <f t="shared" ref="K4:K14" si="11">J4*G4</f>
        <v>2.7741627649999998</v>
      </c>
      <c r="L4" s="174" t="s">
        <v>509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0.64034404761904762</v>
      </c>
      <c r="P4" s="59">
        <f t="shared" si="7"/>
        <v>12.349649999999999</v>
      </c>
      <c r="Q4" s="59">
        <f t="shared" ref="Q4:Q14" si="13">P4*G4</f>
        <v>0.80860803571428563</v>
      </c>
      <c r="R4" s="59">
        <f t="shared" ref="R4:R14" si="14">I4+Q4</f>
        <v>1.9637070357142856</v>
      </c>
      <c r="S4" s="59">
        <f t="shared" si="8"/>
        <v>36.176241399999995</v>
      </c>
      <c r="T4" s="59">
        <f t="shared" ref="T4:T14" si="15">S4*G4</f>
        <v>2.3686824726190476</v>
      </c>
      <c r="U4" s="59">
        <f t="shared" ref="U4:U14" si="16">T4+K4</f>
        <v>5.1428452376190474</v>
      </c>
    </row>
    <row r="5" spans="1:21" x14ac:dyDescent="0.25">
      <c r="A5" s="273"/>
      <c r="B5" s="177" t="s">
        <v>505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3.4941374999999999</v>
      </c>
      <c r="I5" s="59">
        <f t="shared" si="10"/>
        <v>0.36397265625000003</v>
      </c>
      <c r="J5" s="59">
        <f t="shared" si="4"/>
        <v>12.587630343749998</v>
      </c>
      <c r="K5" s="60">
        <f t="shared" si="11"/>
        <v>1.3112114941406248</v>
      </c>
      <c r="L5" s="174" t="s">
        <v>509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12.349649999999999</v>
      </c>
      <c r="Q5" s="59">
        <f t="shared" si="13"/>
        <v>1.2864218749999998</v>
      </c>
      <c r="R5" s="59">
        <f t="shared" si="14"/>
        <v>1.6503945312499999</v>
      </c>
      <c r="S5" s="59">
        <f t="shared" si="8"/>
        <v>36.176241399999995</v>
      </c>
      <c r="T5" s="59">
        <f t="shared" si="15"/>
        <v>3.7683584791666664</v>
      </c>
      <c r="U5" s="59">
        <f t="shared" si="16"/>
        <v>5.079569973307291</v>
      </c>
    </row>
    <row r="6" spans="1:21" x14ac:dyDescent="0.25">
      <c r="A6" s="273"/>
      <c r="B6" s="177" t="s">
        <v>506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4" t="s">
        <v>510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7.1213849999999983</v>
      </c>
      <c r="Q6" s="59">
        <f t="shared" si="13"/>
        <v>0.74604985714285699</v>
      </c>
      <c r="R6" s="59">
        <f t="shared" si="14"/>
        <v>1.7831986071428569</v>
      </c>
      <c r="S6" s="59">
        <f t="shared" si="8"/>
        <v>20.860910459999996</v>
      </c>
      <c r="T6" s="59">
        <f t="shared" si="15"/>
        <v>2.1854287148571423</v>
      </c>
      <c r="U6" s="59">
        <f t="shared" si="16"/>
        <v>4.9769721948571419</v>
      </c>
    </row>
    <row r="7" spans="1:21" x14ac:dyDescent="0.25">
      <c r="A7" s="273"/>
      <c r="B7" s="177" t="s">
        <v>507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10.007899999999999</v>
      </c>
      <c r="I7" s="59">
        <f t="shared" si="10"/>
        <v>1.0921319444444446</v>
      </c>
      <c r="J7" s="59">
        <f t="shared" si="4"/>
        <v>15.492229199999999</v>
      </c>
      <c r="K7" s="60">
        <f t="shared" si="11"/>
        <v>1.69062025</v>
      </c>
      <c r="L7" s="174" t="s">
        <v>510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7.1213849999999983</v>
      </c>
      <c r="Q7" s="59">
        <f t="shared" si="13"/>
        <v>0.77713526785714282</v>
      </c>
      <c r="R7" s="59">
        <f t="shared" si="14"/>
        <v>1.8692672123015874</v>
      </c>
      <c r="S7" s="59">
        <f t="shared" si="8"/>
        <v>20.860910459999996</v>
      </c>
      <c r="T7" s="59">
        <f t="shared" si="15"/>
        <v>2.2764882446428572</v>
      </c>
      <c r="U7" s="59">
        <f t="shared" si="16"/>
        <v>3.967108494642857</v>
      </c>
    </row>
    <row r="8" spans="1:21" x14ac:dyDescent="0.25">
      <c r="A8" s="273"/>
      <c r="B8" s="177" t="s">
        <v>508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4.8529687499999996</v>
      </c>
      <c r="I8" s="59">
        <f t="shared" si="10"/>
        <v>0.41063581730769227</v>
      </c>
      <c r="J8" s="59">
        <f t="shared" si="4"/>
        <v>8.0132219999999972</v>
      </c>
      <c r="K8" s="60">
        <f t="shared" si="11"/>
        <v>0.67804186153846135</v>
      </c>
      <c r="L8" s="174" t="s">
        <v>510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7.1213849999999983</v>
      </c>
      <c r="Q8" s="59">
        <f t="shared" si="13"/>
        <v>0.60257873076923063</v>
      </c>
      <c r="R8" s="59">
        <f t="shared" si="14"/>
        <v>1.013214548076923</v>
      </c>
      <c r="S8" s="59">
        <f t="shared" si="8"/>
        <v>20.860910459999996</v>
      </c>
      <c r="T8" s="59">
        <f t="shared" si="15"/>
        <v>1.7651539619999999</v>
      </c>
      <c r="U8" s="59">
        <f t="shared" si="16"/>
        <v>2.4431958235384612</v>
      </c>
    </row>
    <row r="9" spans="1:21" x14ac:dyDescent="0.25">
      <c r="A9" s="273"/>
      <c r="B9" s="177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3"/>
      <c r="B10" s="177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3"/>
      <c r="B11" s="177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3"/>
      <c r="B12" s="177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3"/>
      <c r="B13" s="177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3"/>
      <c r="B14" s="177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4"/>
      <c r="B15" s="47"/>
      <c r="C15" s="47"/>
      <c r="D15" s="61"/>
      <c r="E15" s="61"/>
      <c r="F15" s="61"/>
      <c r="G15" s="62">
        <f>SUM(G3:G14)</f>
        <v>0.61950591977681768</v>
      </c>
      <c r="H15" s="61"/>
      <c r="I15" s="63"/>
      <c r="J15" s="61"/>
      <c r="K15" s="63"/>
      <c r="L15" s="175"/>
      <c r="M15" s="175"/>
      <c r="N15" s="61"/>
      <c r="O15" s="62">
        <f>SUM(O3:O14)</f>
        <v>5.1367433959427222</v>
      </c>
      <c r="P15" s="61"/>
      <c r="Q15" s="63"/>
      <c r="R15" s="63">
        <f>SUM(R3:R14)</f>
        <v>12.025078230781947</v>
      </c>
      <c r="S15" s="61"/>
      <c r="T15" s="63"/>
      <c r="U15" s="63">
        <f>SUM(U3:U14)</f>
        <v>32.492112445212364</v>
      </c>
    </row>
    <row r="16" spans="1:21" x14ac:dyDescent="0.2">
      <c r="B16" s="156" t="s">
        <v>446</v>
      </c>
      <c r="C16" s="156"/>
    </row>
    <row r="17" spans="1:14" x14ac:dyDescent="0.2">
      <c r="A17" s="51"/>
      <c r="B17" s="254" t="s">
        <v>178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124"/>
    </row>
    <row r="18" spans="1:14" s="48" customFormat="1" ht="38.25" x14ac:dyDescent="0.25">
      <c r="A18" s="271" t="s">
        <v>177</v>
      </c>
      <c r="B18" s="49" t="s">
        <v>186</v>
      </c>
      <c r="C18" s="188" t="s">
        <v>456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80" t="s">
        <v>180</v>
      </c>
      <c r="M18" s="180" t="s">
        <v>181</v>
      </c>
      <c r="N18" s="172"/>
    </row>
    <row r="19" spans="1:14" x14ac:dyDescent="0.25">
      <c r="A19" s="271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71"/>
      <c r="B20" s="179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71"/>
      <c r="B21" s="179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71"/>
      <c r="B22" s="179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71"/>
      <c r="B23" s="179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71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446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8.85546875"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42578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42578125" bestFit="1" customWidth="1"/>
    <col min="16" max="16" width="7.7109375" bestFit="1" customWidth="1"/>
    <col min="17" max="17" width="7.42578125" bestFit="1" customWidth="1"/>
    <col min="18" max="18" width="7.42578125" customWidth="1"/>
    <col min="19" max="19" width="8.7109375" bestFit="1" customWidth="1"/>
    <col min="20" max="21" width="7.7109375" bestFit="1" customWidth="1"/>
  </cols>
  <sheetData>
    <row r="1" spans="1:21" x14ac:dyDescent="0.2">
      <c r="B1" s="254" t="s">
        <v>196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54" customFormat="1" ht="42" x14ac:dyDescent="0.2">
      <c r="A2" s="55"/>
      <c r="B2" s="42" t="s">
        <v>195</v>
      </c>
      <c r="C2" s="42" t="s">
        <v>456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456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432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5" t="s">
        <v>207</v>
      </c>
      <c r="B4" s="174" t="s">
        <v>515</v>
      </c>
      <c r="C4" s="187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4.9725000000000001</v>
      </c>
      <c r="I4" s="59">
        <f t="shared" ref="I4:I10" si="6">H4*G4</f>
        <v>0.76607142857142851</v>
      </c>
      <c r="J4" s="59">
        <f t="shared" si="4"/>
        <v>10.26324</v>
      </c>
      <c r="K4" s="59">
        <f t="shared" ref="K4:K10" si="7">J4*G4</f>
        <v>1.5811714285714282</v>
      </c>
      <c r="L4" s="177" t="s">
        <v>512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30.196249999999999</v>
      </c>
      <c r="Q4" s="59">
        <f t="shared" ref="Q4:Q10" si="12">G4*P4</f>
        <v>4.6520833333333327</v>
      </c>
      <c r="R4" s="65">
        <f t="shared" ref="R4:R10" si="13">I4+Q4</f>
        <v>5.418154761904761</v>
      </c>
      <c r="S4" s="59">
        <f t="shared" ref="S4:S10" si="14">IF(L4&lt;&gt;"",VLOOKUP($L4,tractor_data,24),0)</f>
        <v>191.95152200000001</v>
      </c>
      <c r="T4" s="59">
        <f t="shared" ref="T4:T10" si="15">S4*G4</f>
        <v>29.572363333333332</v>
      </c>
      <c r="U4" s="59">
        <f t="shared" ref="U4:U10" si="16">T4+K4</f>
        <v>31.153534761904758</v>
      </c>
    </row>
    <row r="5" spans="1:21" x14ac:dyDescent="0.25">
      <c r="A5" s="275"/>
      <c r="B5" s="174" t="s">
        <v>511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6.8233749999999995</v>
      </c>
      <c r="I5" s="59">
        <f t="shared" si="6"/>
        <v>0.64139724999999992</v>
      </c>
      <c r="J5" s="59">
        <f t="shared" si="4"/>
        <v>16.682627</v>
      </c>
      <c r="K5" s="59">
        <f t="shared" si="7"/>
        <v>1.5681669380000001</v>
      </c>
      <c r="L5" s="177" t="s">
        <v>510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7.1213849999999983</v>
      </c>
      <c r="Q5" s="59">
        <f t="shared" si="12"/>
        <v>0.66941018999999979</v>
      </c>
      <c r="R5" s="68">
        <f t="shared" si="13"/>
        <v>1.3108074399999996</v>
      </c>
      <c r="S5" s="59">
        <f t="shared" si="14"/>
        <v>20.860910459999996</v>
      </c>
      <c r="T5" s="59">
        <f t="shared" si="15"/>
        <v>1.9609255832399997</v>
      </c>
      <c r="U5" s="59">
        <f t="shared" si="16"/>
        <v>3.5290925212399999</v>
      </c>
    </row>
    <row r="6" spans="1:21" x14ac:dyDescent="0.25">
      <c r="A6" s="275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5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5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5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4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6.7289622019047606</v>
      </c>
      <c r="S11" s="72"/>
      <c r="T11" s="75"/>
      <c r="U11" s="75">
        <f>SUM(U3:U10)</f>
        <v>34.682627283144761</v>
      </c>
    </row>
    <row r="12" spans="1:21" x14ac:dyDescent="0.2">
      <c r="B12" s="156" t="s">
        <v>446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42578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42578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42578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42578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42578125" style="1" bestFit="1" customWidth="1"/>
    <col min="35" max="35" width="7.85546875" style="1" bestFit="1" customWidth="1"/>
    <col min="36" max="16384" width="8.85546875" style="1"/>
  </cols>
  <sheetData>
    <row r="1" spans="1:35" x14ac:dyDescent="0.2">
      <c r="A1" s="278" t="s">
        <v>459</v>
      </c>
      <c r="B1" s="279"/>
      <c r="C1" s="280" t="s">
        <v>130</v>
      </c>
      <c r="D1" s="281"/>
      <c r="E1" s="281"/>
      <c r="F1" s="218">
        <v>0.09</v>
      </c>
    </row>
    <row r="2" spans="1:35" ht="15.95" thickBot="1" x14ac:dyDescent="0.25">
      <c r="C2" s="282" t="s">
        <v>129</v>
      </c>
      <c r="D2" s="283"/>
      <c r="E2" s="283"/>
      <c r="F2" s="219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7"/>
      <c r="E3" s="1"/>
      <c r="R3" s="276" t="s">
        <v>128</v>
      </c>
      <c r="S3" s="276"/>
      <c r="T3" s="276"/>
      <c r="U3" s="276"/>
      <c r="V3" s="276"/>
      <c r="W3" s="276"/>
      <c r="X3" s="277" t="s">
        <v>127</v>
      </c>
      <c r="Y3" s="277"/>
    </row>
    <row r="4" spans="1:35" s="15" customFormat="1" ht="11.1" x14ac:dyDescent="0.15">
      <c r="A4" s="26"/>
      <c r="B4" s="26" t="s">
        <v>125</v>
      </c>
      <c r="C4" s="165" t="s">
        <v>126</v>
      </c>
      <c r="D4" s="166" t="s">
        <v>453</v>
      </c>
      <c r="E4" s="167" t="s">
        <v>124</v>
      </c>
      <c r="F4" s="167" t="s">
        <v>123</v>
      </c>
      <c r="G4" s="167" t="s">
        <v>454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452</v>
      </c>
      <c r="E5" s="164" t="s">
        <v>470</v>
      </c>
      <c r="F5" s="164" t="s">
        <v>199</v>
      </c>
      <c r="G5" s="164" t="str">
        <f t="shared" ref="G5:G68" si="1">CONCATENATE(E5,F5)</f>
        <v>Bed-Disk  (Hipper)  4R-36</v>
      </c>
      <c r="H5" s="30">
        <v>8096.0459999999994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168.03691780442628</v>
      </c>
      <c r="W5" s="9">
        <f t="shared" ref="W5:W68" si="5">V5/P5</f>
        <v>1.0502307362776642</v>
      </c>
      <c r="X5" s="8">
        <f t="shared" ref="X5:X68" si="6">(H5*N5/100)/O5</f>
        <v>323.84183999999993</v>
      </c>
      <c r="Y5" s="7">
        <f t="shared" ref="Y5:Y68" si="7">X5/P5</f>
        <v>2.0240114999999994</v>
      </c>
      <c r="Z5" s="2">
        <f t="shared" ref="Z5:Z68" si="8">H5*M5/100</f>
        <v>2428.8137999999999</v>
      </c>
      <c r="AA5" s="2">
        <f t="shared" ref="AA5:AA68" si="9">(H5-Z5)/O5</f>
        <v>566.72321999999997</v>
      </c>
      <c r="AB5" s="2">
        <f t="shared" ref="AB5:AB68" si="10">(Z5+H5)/2</f>
        <v>5262.4298999999992</v>
      </c>
      <c r="AC5" s="6">
        <f t="shared" ref="AC5:AC68" si="11">AB5*intir</f>
        <v>473.6186909999999</v>
      </c>
      <c r="AD5" s="6">
        <f t="shared" ref="AD5:AD68" si="12">AB5*itr</f>
        <v>126.29831759999998</v>
      </c>
      <c r="AE5" s="6">
        <f t="shared" ref="AE5:AE68" si="13">AA5+AC5+AD5</f>
        <v>1166.6402286</v>
      </c>
      <c r="AF5" s="5">
        <f t="shared" ref="AF5:AF68" si="14">AE5/P5</f>
        <v>7.2915014287500002</v>
      </c>
    </row>
    <row r="6" spans="1:35" x14ac:dyDescent="0.2">
      <c r="A6" s="245">
        <v>66</v>
      </c>
      <c r="B6" s="1" t="str">
        <f t="shared" si="0"/>
        <v>0.02, Bed-Disk  (Hipper)  6R-30</v>
      </c>
      <c r="C6" s="168">
        <v>0.02</v>
      </c>
      <c r="D6" s="164" t="s">
        <v>452</v>
      </c>
      <c r="E6" s="164" t="s">
        <v>470</v>
      </c>
      <c r="F6" s="164" t="s">
        <v>53</v>
      </c>
      <c r="G6" s="164" t="str">
        <f t="shared" si="1"/>
        <v>Bed-Disk  (Hipper)  6R-30</v>
      </c>
      <c r="H6" s="30">
        <v>13251.839999999998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275.04764039599183</v>
      </c>
      <c r="W6" s="9">
        <f t="shared" si="5"/>
        <v>1.719047752474949</v>
      </c>
      <c r="X6" s="8">
        <f t="shared" si="6"/>
        <v>530.07359999999994</v>
      </c>
      <c r="Y6" s="7">
        <f t="shared" si="7"/>
        <v>3.3129599999999995</v>
      </c>
      <c r="Z6" s="2">
        <f t="shared" si="8"/>
        <v>3975.5519999999997</v>
      </c>
      <c r="AA6" s="2">
        <f t="shared" si="9"/>
        <v>927.62879999999984</v>
      </c>
      <c r="AB6" s="2">
        <f t="shared" si="10"/>
        <v>8613.6959999999999</v>
      </c>
      <c r="AC6" s="6">
        <f t="shared" si="11"/>
        <v>775.23263999999995</v>
      </c>
      <c r="AD6" s="6">
        <f t="shared" si="12"/>
        <v>206.72870399999999</v>
      </c>
      <c r="AE6" s="6">
        <f t="shared" si="13"/>
        <v>1909.5901439999998</v>
      </c>
      <c r="AF6" s="5">
        <f t="shared" si="14"/>
        <v>11.934938399999998</v>
      </c>
    </row>
    <row r="7" spans="1:35" x14ac:dyDescent="0.2">
      <c r="A7" s="245">
        <v>67</v>
      </c>
      <c r="B7" s="1" t="str">
        <f t="shared" si="0"/>
        <v>0.03, Bed-Disk  (Hipper)  6R-36</v>
      </c>
      <c r="C7" s="168">
        <v>0.03</v>
      </c>
      <c r="D7" s="164" t="s">
        <v>452</v>
      </c>
      <c r="E7" s="164" t="s">
        <v>470</v>
      </c>
      <c r="F7" s="164" t="s">
        <v>200</v>
      </c>
      <c r="G7" s="164" t="str">
        <f t="shared" si="1"/>
        <v>Bed-Disk  (Hipper)  6R-36</v>
      </c>
      <c r="H7" s="30">
        <v>13976.55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290.08930823014765</v>
      </c>
      <c r="W7" s="9">
        <f t="shared" si="5"/>
        <v>1.8130581764384228</v>
      </c>
      <c r="X7" s="8">
        <f t="shared" si="6"/>
        <v>559.06200000000001</v>
      </c>
      <c r="Y7" s="7">
        <f t="shared" si="7"/>
        <v>3.4941374999999999</v>
      </c>
      <c r="Z7" s="2">
        <f t="shared" si="8"/>
        <v>4192.9650000000001</v>
      </c>
      <c r="AA7" s="2">
        <f t="shared" si="9"/>
        <v>978.35849999999994</v>
      </c>
      <c r="AB7" s="2">
        <f t="shared" si="10"/>
        <v>9084.7574999999997</v>
      </c>
      <c r="AC7" s="6">
        <f t="shared" si="11"/>
        <v>817.62817499999994</v>
      </c>
      <c r="AD7" s="6">
        <f t="shared" si="12"/>
        <v>218.03417999999999</v>
      </c>
      <c r="AE7" s="6">
        <f t="shared" si="13"/>
        <v>2014.0208549999998</v>
      </c>
      <c r="AF7" s="5">
        <f t="shared" si="14"/>
        <v>12.587630343749998</v>
      </c>
    </row>
    <row r="8" spans="1:35" x14ac:dyDescent="0.2">
      <c r="A8" s="245">
        <v>68</v>
      </c>
      <c r="B8" s="1" t="str">
        <f t="shared" si="0"/>
        <v>0.04, Bed-Disk  (Hipper)  8R-30</v>
      </c>
      <c r="C8" s="168">
        <v>0.04</v>
      </c>
      <c r="D8" s="164" t="s">
        <v>452</v>
      </c>
      <c r="E8" s="164" t="s">
        <v>470</v>
      </c>
      <c r="F8" s="164" t="s">
        <v>25</v>
      </c>
      <c r="G8" s="164" t="str">
        <f t="shared" si="1"/>
        <v>Bed-Disk  (Hipper)  8R-30</v>
      </c>
      <c r="H8" s="30">
        <v>18014.219999999998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373.8928861633014</v>
      </c>
      <c r="W8" s="9">
        <f t="shared" si="5"/>
        <v>2.3368305385206338</v>
      </c>
      <c r="X8" s="8">
        <f t="shared" si="6"/>
        <v>720.5687999999999</v>
      </c>
      <c r="Y8" s="7">
        <f t="shared" si="7"/>
        <v>4.5035549999999995</v>
      </c>
      <c r="Z8" s="2">
        <f t="shared" si="8"/>
        <v>5404.2659999999996</v>
      </c>
      <c r="AA8" s="2">
        <f t="shared" si="9"/>
        <v>1260.9953999999998</v>
      </c>
      <c r="AB8" s="2">
        <f t="shared" si="10"/>
        <v>11709.242999999999</v>
      </c>
      <c r="AC8" s="6">
        <f t="shared" si="11"/>
        <v>1053.8318699999998</v>
      </c>
      <c r="AD8" s="6">
        <f t="shared" si="12"/>
        <v>281.02183199999996</v>
      </c>
      <c r="AE8" s="6">
        <f t="shared" si="13"/>
        <v>2595.8491019999997</v>
      </c>
      <c r="AF8" s="5">
        <f t="shared" si="14"/>
        <v>16.224056887499998</v>
      </c>
    </row>
    <row r="9" spans="1:35" x14ac:dyDescent="0.2">
      <c r="A9" s="245">
        <v>70</v>
      </c>
      <c r="B9" s="1" t="str">
        <f t="shared" si="0"/>
        <v>0.05, Bed-Disk  (Hipper) 10R-30</v>
      </c>
      <c r="C9" s="168">
        <v>0.05</v>
      </c>
      <c r="D9" s="164" t="s">
        <v>452</v>
      </c>
      <c r="E9" s="164" t="s">
        <v>470</v>
      </c>
      <c r="F9" s="164" t="s">
        <v>24</v>
      </c>
      <c r="G9" s="164" t="str">
        <f t="shared" si="1"/>
        <v>Bed-Disk  (Hipper) 10R-30</v>
      </c>
      <c r="H9" s="30">
        <v>20602.469999999998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427.61312842814351</v>
      </c>
      <c r="W9" s="9">
        <f t="shared" si="5"/>
        <v>2.6725820526758968</v>
      </c>
      <c r="X9" s="8">
        <f t="shared" si="6"/>
        <v>824.09879999999998</v>
      </c>
      <c r="Y9" s="7">
        <f t="shared" si="7"/>
        <v>5.1506175000000001</v>
      </c>
      <c r="Z9" s="2">
        <f t="shared" si="8"/>
        <v>6180.741</v>
      </c>
      <c r="AA9" s="2">
        <f t="shared" si="9"/>
        <v>1442.1728999999998</v>
      </c>
      <c r="AB9" s="2">
        <f t="shared" si="10"/>
        <v>13391.605499999998</v>
      </c>
      <c r="AC9" s="6">
        <f t="shared" si="11"/>
        <v>1205.2444949999997</v>
      </c>
      <c r="AD9" s="6">
        <f t="shared" si="12"/>
        <v>321.39853199999993</v>
      </c>
      <c r="AE9" s="6">
        <f t="shared" si="13"/>
        <v>2968.8159269999996</v>
      </c>
      <c r="AF9" s="5">
        <f t="shared" si="14"/>
        <v>18.555099543749996</v>
      </c>
    </row>
    <row r="10" spans="1:35" x14ac:dyDescent="0.2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452</v>
      </c>
      <c r="E10" s="164" t="s">
        <v>470</v>
      </c>
      <c r="F10" s="164" t="s">
        <v>6</v>
      </c>
      <c r="G10" s="164" t="str">
        <f t="shared" si="1"/>
        <v>Bed-Disk  (Hipper) 12R-30</v>
      </c>
      <c r="H10" s="30">
        <v>30127.229999999996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625.3036199627627</v>
      </c>
      <c r="W10" s="9">
        <f t="shared" si="5"/>
        <v>3.9081476247672668</v>
      </c>
      <c r="X10" s="8">
        <f t="shared" si="6"/>
        <v>1205.0891999999999</v>
      </c>
      <c r="Y10" s="7">
        <f t="shared" si="7"/>
        <v>7.5318074999999993</v>
      </c>
      <c r="Z10" s="2">
        <f t="shared" si="8"/>
        <v>9038.1689999999999</v>
      </c>
      <c r="AA10" s="2">
        <f t="shared" si="9"/>
        <v>2108.9060999999992</v>
      </c>
      <c r="AB10" s="2">
        <f t="shared" si="10"/>
        <v>19582.699499999999</v>
      </c>
      <c r="AC10" s="6">
        <f t="shared" si="11"/>
        <v>1762.4429549999998</v>
      </c>
      <c r="AD10" s="6">
        <f t="shared" si="12"/>
        <v>469.98478799999998</v>
      </c>
      <c r="AE10" s="6">
        <f t="shared" si="13"/>
        <v>4341.3338429999985</v>
      </c>
      <c r="AF10" s="5">
        <f t="shared" si="14"/>
        <v>27.133336518749992</v>
      </c>
    </row>
    <row r="11" spans="1:35" x14ac:dyDescent="0.2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452</v>
      </c>
      <c r="E11" s="164" t="s">
        <v>470</v>
      </c>
      <c r="F11" s="164" t="s">
        <v>202</v>
      </c>
      <c r="G11" s="164" t="str">
        <f t="shared" si="1"/>
        <v>Bed-Disk  (Hipper) 10R-36</v>
      </c>
      <c r="H11" s="30">
        <v>23915.429999999997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496.3750385271415</v>
      </c>
      <c r="W11" s="9">
        <f t="shared" si="5"/>
        <v>3.1023439907946342</v>
      </c>
      <c r="X11" s="8">
        <f t="shared" si="6"/>
        <v>956.61719999999991</v>
      </c>
      <c r="Y11" s="7">
        <f t="shared" si="7"/>
        <v>5.9788574999999993</v>
      </c>
      <c r="Z11" s="2">
        <f t="shared" si="8"/>
        <v>7174.628999999999</v>
      </c>
      <c r="AA11" s="2">
        <f t="shared" si="9"/>
        <v>1674.0800999999999</v>
      </c>
      <c r="AB11" s="2">
        <f t="shared" si="10"/>
        <v>15545.029499999997</v>
      </c>
      <c r="AC11" s="6">
        <f t="shared" si="11"/>
        <v>1399.0526549999997</v>
      </c>
      <c r="AD11" s="6">
        <f t="shared" si="12"/>
        <v>373.08070799999996</v>
      </c>
      <c r="AE11" s="6">
        <f t="shared" si="13"/>
        <v>3446.2134629999996</v>
      </c>
      <c r="AF11" s="5">
        <f t="shared" si="14"/>
        <v>21.538834143749998</v>
      </c>
    </row>
    <row r="12" spans="1:35" x14ac:dyDescent="0.2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452</v>
      </c>
      <c r="E12" s="164" t="s">
        <v>470</v>
      </c>
      <c r="F12" s="164" t="s">
        <v>201</v>
      </c>
      <c r="G12" s="164" t="str">
        <f t="shared" si="1"/>
        <v>Bed-Disk  (Hipper)  8R-36 2x1</v>
      </c>
      <c r="H12" s="30">
        <v>33026.07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685.47029129938608</v>
      </c>
      <c r="W12" s="9">
        <f t="shared" si="5"/>
        <v>4.284189320621163</v>
      </c>
      <c r="X12" s="8">
        <f t="shared" si="6"/>
        <v>1321.0427999999999</v>
      </c>
      <c r="Y12" s="7">
        <f t="shared" si="7"/>
        <v>8.2565174999999993</v>
      </c>
      <c r="Z12" s="2">
        <f t="shared" si="8"/>
        <v>9907.8209999999999</v>
      </c>
      <c r="AA12" s="2">
        <f t="shared" si="9"/>
        <v>2311.8249000000001</v>
      </c>
      <c r="AB12" s="2">
        <f t="shared" si="10"/>
        <v>21466.945500000002</v>
      </c>
      <c r="AC12" s="6">
        <f t="shared" si="11"/>
        <v>1932.025095</v>
      </c>
      <c r="AD12" s="6">
        <f t="shared" si="12"/>
        <v>515.20669200000009</v>
      </c>
      <c r="AE12" s="6">
        <f t="shared" si="13"/>
        <v>4759.0566870000002</v>
      </c>
      <c r="AF12" s="5">
        <f t="shared" si="14"/>
        <v>29.744104293750002</v>
      </c>
    </row>
    <row r="13" spans="1:35" x14ac:dyDescent="0.2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452</v>
      </c>
      <c r="E13" s="164" t="s">
        <v>470</v>
      </c>
      <c r="F13" s="164" t="s">
        <v>198</v>
      </c>
      <c r="G13" s="164" t="str">
        <f t="shared" si="1"/>
        <v>Bed-Disk  (Hipper) 12R-36</v>
      </c>
      <c r="H13" s="30">
        <v>33026.07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685.47029129938608</v>
      </c>
      <c r="W13" s="9">
        <f t="shared" si="5"/>
        <v>4.284189320621163</v>
      </c>
      <c r="X13" s="8">
        <f t="shared" si="6"/>
        <v>1321.0427999999999</v>
      </c>
      <c r="Y13" s="7">
        <f t="shared" si="7"/>
        <v>8.2565174999999993</v>
      </c>
      <c r="Z13" s="2">
        <f t="shared" si="8"/>
        <v>9907.8209999999999</v>
      </c>
      <c r="AA13" s="2">
        <f t="shared" si="9"/>
        <v>2311.8249000000001</v>
      </c>
      <c r="AB13" s="2">
        <f t="shared" si="10"/>
        <v>21466.945500000002</v>
      </c>
      <c r="AC13" s="6">
        <f t="shared" si="11"/>
        <v>1932.025095</v>
      </c>
      <c r="AD13" s="6">
        <f t="shared" si="12"/>
        <v>515.20669200000009</v>
      </c>
      <c r="AE13" s="6">
        <f t="shared" si="13"/>
        <v>4759.0566870000002</v>
      </c>
      <c r="AF13" s="5">
        <f t="shared" si="14"/>
        <v>29.744104293750002</v>
      </c>
    </row>
    <row r="14" spans="1:35" x14ac:dyDescent="0.2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452</v>
      </c>
      <c r="E14" s="164" t="s">
        <v>471</v>
      </c>
      <c r="F14" s="164" t="s">
        <v>197</v>
      </c>
      <c r="G14" s="164" t="str">
        <f t="shared" si="1"/>
        <v>Bed-Disk  (Hipper) Fl  8R-36</v>
      </c>
      <c r="H14" s="30">
        <v>22051.89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457.69646409645514</v>
      </c>
      <c r="W14" s="9">
        <f t="shared" si="5"/>
        <v>2.8606029006028448</v>
      </c>
      <c r="X14" s="8">
        <f t="shared" si="6"/>
        <v>882.07559999999989</v>
      </c>
      <c r="Y14" s="7">
        <f t="shared" si="7"/>
        <v>5.5129724999999992</v>
      </c>
      <c r="Z14" s="2">
        <f t="shared" si="8"/>
        <v>6615.5669999999991</v>
      </c>
      <c r="AA14" s="2">
        <f t="shared" si="9"/>
        <v>1543.6323</v>
      </c>
      <c r="AB14" s="2">
        <f t="shared" si="10"/>
        <v>14333.728499999999</v>
      </c>
      <c r="AC14" s="6">
        <f t="shared" si="11"/>
        <v>1290.0355649999999</v>
      </c>
      <c r="AD14" s="6">
        <f t="shared" si="12"/>
        <v>344.00948399999999</v>
      </c>
      <c r="AE14" s="6">
        <f t="shared" si="13"/>
        <v>3177.677349</v>
      </c>
      <c r="AF14" s="5">
        <f t="shared" si="14"/>
        <v>19.86048343125</v>
      </c>
    </row>
    <row r="15" spans="1:35" x14ac:dyDescent="0.2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452</v>
      </c>
      <c r="E15" s="164" t="s">
        <v>472</v>
      </c>
      <c r="F15" s="164" t="s">
        <v>197</v>
      </c>
      <c r="G15" s="164" t="str">
        <f t="shared" si="1"/>
        <v>Bed-Disk  (Hipper) Rd  8R-36</v>
      </c>
      <c r="H15" s="30">
        <v>20498.939999999999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425.46431873754995</v>
      </c>
      <c r="W15" s="9">
        <f t="shared" si="5"/>
        <v>2.6591519921096873</v>
      </c>
      <c r="X15" s="8">
        <f t="shared" si="6"/>
        <v>819.95759999999996</v>
      </c>
      <c r="Y15" s="7">
        <f t="shared" si="7"/>
        <v>5.1247349999999994</v>
      </c>
      <c r="Z15" s="2">
        <f t="shared" si="8"/>
        <v>6149.6819999999998</v>
      </c>
      <c r="AA15" s="2">
        <f t="shared" si="9"/>
        <v>1434.9257999999998</v>
      </c>
      <c r="AB15" s="2">
        <f t="shared" si="10"/>
        <v>13324.311</v>
      </c>
      <c r="AC15" s="6">
        <f t="shared" si="11"/>
        <v>1199.1879899999999</v>
      </c>
      <c r="AD15" s="6">
        <f t="shared" si="12"/>
        <v>319.78346399999998</v>
      </c>
      <c r="AE15" s="6">
        <f t="shared" si="13"/>
        <v>2953.8972539999995</v>
      </c>
      <c r="AF15" s="5">
        <f t="shared" si="14"/>
        <v>18.461857837499998</v>
      </c>
    </row>
    <row r="16" spans="1:35" x14ac:dyDescent="0.2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452</v>
      </c>
      <c r="E16" s="164" t="s">
        <v>468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452</v>
      </c>
      <c r="E17" s="164" t="s">
        <v>468</v>
      </c>
      <c r="F17" s="164" t="s">
        <v>197</v>
      </c>
      <c r="G17" s="164" t="str">
        <f t="shared" si="1"/>
        <v>Bed-Disk  w/roller 8R-36</v>
      </c>
      <c r="H17" s="30">
        <v>26296.62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452</v>
      </c>
      <c r="E18" s="164" t="s">
        <v>468</v>
      </c>
      <c r="F18" s="164" t="s">
        <v>469</v>
      </c>
      <c r="G18" s="164" t="str">
        <f t="shared" si="1"/>
        <v>Bed-Disk  w/roller 12R-30</v>
      </c>
      <c r="H18" s="30">
        <v>48866.159999999996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452</v>
      </c>
      <c r="E19" s="164" t="s">
        <v>473</v>
      </c>
      <c r="F19" s="164" t="s">
        <v>199</v>
      </c>
      <c r="G19" s="164" t="str">
        <f t="shared" si="1"/>
        <v>Bed-Middle Buster 4R-36</v>
      </c>
      <c r="H19" s="30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452</v>
      </c>
      <c r="E20" s="164" t="s">
        <v>473</v>
      </c>
      <c r="F20" s="164" t="s">
        <v>200</v>
      </c>
      <c r="G20" s="164" t="str">
        <f t="shared" si="1"/>
        <v>Bed-Middle Buster 6R-36</v>
      </c>
      <c r="H20" s="30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452</v>
      </c>
      <c r="E21" s="164" t="s">
        <v>473</v>
      </c>
      <c r="F21" s="164" t="s">
        <v>25</v>
      </c>
      <c r="G21" s="164" t="str">
        <f t="shared" si="1"/>
        <v>Bed-Middle Buster 8R-30</v>
      </c>
      <c r="H21" s="251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 x14ac:dyDescent="0.2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452</v>
      </c>
      <c r="E22" s="164" t="s">
        <v>473</v>
      </c>
      <c r="F22" s="164" t="s">
        <v>197</v>
      </c>
      <c r="G22" s="164" t="str">
        <f t="shared" si="1"/>
        <v>Bed-Middle Buster 8R-36</v>
      </c>
      <c r="H22" s="251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452</v>
      </c>
      <c r="E23" s="164" t="s">
        <v>473</v>
      </c>
      <c r="F23" s="164" t="s">
        <v>201</v>
      </c>
      <c r="G23" s="164" t="str">
        <f t="shared" si="1"/>
        <v>Bed-Middle Buster 8R-36 2x1</v>
      </c>
      <c r="H23" s="251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5">
        <v>122</v>
      </c>
      <c r="B24" s="1" t="str">
        <f t="shared" si="0"/>
        <v>0.2, Bed-Middle Buster 10R-30</v>
      </c>
      <c r="C24" s="168">
        <v>0.2</v>
      </c>
      <c r="D24" s="164" t="s">
        <v>452</v>
      </c>
      <c r="E24" s="164" t="s">
        <v>474</v>
      </c>
      <c r="F24" s="164" t="s">
        <v>24</v>
      </c>
      <c r="G24" s="164" t="str">
        <f t="shared" si="1"/>
        <v>Bed-Middle Buster 10R-30</v>
      </c>
      <c r="H24" s="251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452</v>
      </c>
      <c r="E25" s="164" t="s">
        <v>474</v>
      </c>
      <c r="F25" s="164" t="s">
        <v>202</v>
      </c>
      <c r="G25" s="164" t="str">
        <f t="shared" si="1"/>
        <v>Bed-Middle Buster 10R-36</v>
      </c>
      <c r="H25" s="251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452</v>
      </c>
      <c r="E26" s="164" t="s">
        <v>474</v>
      </c>
      <c r="F26" s="164" t="s">
        <v>198</v>
      </c>
      <c r="G26" s="164" t="str">
        <f t="shared" si="1"/>
        <v>Bed-Middle Buster 12R-36</v>
      </c>
      <c r="H26" s="251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452</v>
      </c>
      <c r="E27" s="164" t="s">
        <v>475</v>
      </c>
      <c r="F27" s="164" t="s">
        <v>197</v>
      </c>
      <c r="G27" s="164" t="str">
        <f t="shared" si="1"/>
        <v>Bed-Paratill   Fold 8R-36</v>
      </c>
      <c r="H27" s="251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452</v>
      </c>
      <c r="E28" s="164" t="s">
        <v>475</v>
      </c>
      <c r="F28" s="164" t="s">
        <v>24</v>
      </c>
      <c r="G28" s="164" t="str">
        <f t="shared" si="1"/>
        <v>Bed-Paratill   Fold10R-30</v>
      </c>
      <c r="H28" s="248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452</v>
      </c>
      <c r="E29" s="164" t="s">
        <v>475</v>
      </c>
      <c r="F29" s="164" t="s">
        <v>201</v>
      </c>
      <c r="G29" s="164" t="str">
        <f t="shared" si="1"/>
        <v>Bed-Paratill   Fold 8R-36 2x1</v>
      </c>
      <c r="H29" s="251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452</v>
      </c>
      <c r="E30" s="164" t="s">
        <v>475</v>
      </c>
      <c r="F30" s="164" t="s">
        <v>198</v>
      </c>
      <c r="G30" s="164" t="str">
        <f t="shared" si="1"/>
        <v>Bed-Paratill   Fold12R-36</v>
      </c>
      <c r="H30" s="251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452</v>
      </c>
      <c r="E31" s="164" t="s">
        <v>476</v>
      </c>
      <c r="F31" s="164" t="s">
        <v>48</v>
      </c>
      <c r="G31" s="164" t="str">
        <f t="shared" si="1"/>
        <v>Bed-Paratill   Rigid 4R-30</v>
      </c>
      <c r="H31" s="251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452</v>
      </c>
      <c r="E32" s="164" t="s">
        <v>476</v>
      </c>
      <c r="F32" s="164" t="s">
        <v>199</v>
      </c>
      <c r="G32" s="164" t="str">
        <f t="shared" si="1"/>
        <v>Bed-Paratill   Rigid 4R-36</v>
      </c>
      <c r="H32" s="251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452</v>
      </c>
      <c r="E33" s="164" t="s">
        <v>476</v>
      </c>
      <c r="F33" s="164" t="s">
        <v>53</v>
      </c>
      <c r="G33" s="164" t="str">
        <f t="shared" si="1"/>
        <v>Bed-Paratill   Rigid 6R-30</v>
      </c>
      <c r="H33" s="251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452</v>
      </c>
      <c r="E34" s="164" t="s">
        <v>476</v>
      </c>
      <c r="F34" s="164" t="s">
        <v>200</v>
      </c>
      <c r="G34" s="164" t="str">
        <f t="shared" si="1"/>
        <v>Bed-Paratill   Rigid 6R-36</v>
      </c>
      <c r="H34" s="251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452</v>
      </c>
      <c r="E35" s="164" t="s">
        <v>476</v>
      </c>
      <c r="F35" s="164" t="s">
        <v>25</v>
      </c>
      <c r="G35" s="164" t="str">
        <f t="shared" si="1"/>
        <v>Bed-Paratill   Rigid 8R-30</v>
      </c>
      <c r="H35" s="251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452</v>
      </c>
      <c r="E36" s="164" t="s">
        <v>476</v>
      </c>
      <c r="F36" s="164" t="s">
        <v>197</v>
      </c>
      <c r="G36" s="164" t="str">
        <f t="shared" si="1"/>
        <v>Bed-Paratill   Rigid 8R-36</v>
      </c>
      <c r="H36" s="251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452</v>
      </c>
      <c r="E37" s="164" t="s">
        <v>476</v>
      </c>
      <c r="F37" s="164" t="s">
        <v>24</v>
      </c>
      <c r="G37" s="164" t="str">
        <f t="shared" si="1"/>
        <v>Bed-Paratill   Rigid10R-30</v>
      </c>
      <c r="H37" s="251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452</v>
      </c>
      <c r="E38" s="164" t="s">
        <v>477</v>
      </c>
      <c r="F38" s="164" t="s">
        <v>0</v>
      </c>
      <c r="G38" s="164" t="str">
        <f t="shared" si="1"/>
        <v>Bed-Paratill  w/rol4R-30</v>
      </c>
      <c r="H38" s="251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452</v>
      </c>
      <c r="E39" s="164" t="s">
        <v>485</v>
      </c>
      <c r="F39" s="164" t="s">
        <v>73</v>
      </c>
      <c r="G39" s="164" t="str">
        <f t="shared" si="1"/>
        <v>Bed-Paratill  w/roll 4R-36</v>
      </c>
      <c r="H39" s="251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452</v>
      </c>
      <c r="E40" s="164" t="s">
        <v>485</v>
      </c>
      <c r="F40" s="164" t="s">
        <v>204</v>
      </c>
      <c r="G40" s="164" t="str">
        <f t="shared" si="1"/>
        <v>Bed-Paratill  w/roll 6R-36</v>
      </c>
      <c r="H40" s="251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452</v>
      </c>
      <c r="E41" s="164" t="s">
        <v>478</v>
      </c>
      <c r="F41" s="164" t="s">
        <v>197</v>
      </c>
      <c r="G41" s="164" t="str">
        <f t="shared" si="1"/>
        <v>Bed-Rip/Disk Fold. 8R-36</v>
      </c>
      <c r="H41" s="251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452</v>
      </c>
      <c r="E42" s="164" t="s">
        <v>478</v>
      </c>
      <c r="F42" s="164" t="s">
        <v>6</v>
      </c>
      <c r="G42" s="164" t="str">
        <f t="shared" si="1"/>
        <v>Bed-Rip/Disk Fold.12R-30</v>
      </c>
      <c r="H42" s="251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5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452</v>
      </c>
      <c r="E43" s="164" t="s">
        <v>478</v>
      </c>
      <c r="F43" s="164" t="s">
        <v>198</v>
      </c>
      <c r="G43" s="164" t="str">
        <f t="shared" si="1"/>
        <v>Bed-Rip/Disk Fold.12R-36</v>
      </c>
      <c r="H43" s="251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5">
      <c r="A44" s="245">
        <v>607</v>
      </c>
      <c r="B44" s="1" t="str">
        <f t="shared" si="0"/>
        <v>0.4, Bed-Rip/Disk Rigid 4R-30</v>
      </c>
      <c r="C44" s="168">
        <v>0.4</v>
      </c>
      <c r="D44" s="164" t="s">
        <v>452</v>
      </c>
      <c r="E44" s="164" t="s">
        <v>479</v>
      </c>
      <c r="F44" s="164" t="s">
        <v>48</v>
      </c>
      <c r="G44" s="164" t="str">
        <f t="shared" si="1"/>
        <v>Bed-Rip/Disk Rigid 4R-30</v>
      </c>
      <c r="H44" s="251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5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452</v>
      </c>
      <c r="E45" s="164" t="s">
        <v>479</v>
      </c>
      <c r="F45" s="164" t="s">
        <v>199</v>
      </c>
      <c r="G45" s="164" t="str">
        <f t="shared" si="1"/>
        <v>Bed-Rip/Disk Rigid 4R-36</v>
      </c>
      <c r="H45" s="251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5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452</v>
      </c>
      <c r="E46" s="164" t="s">
        <v>479</v>
      </c>
      <c r="F46" s="164" t="s">
        <v>25</v>
      </c>
      <c r="G46" s="164" t="str">
        <f t="shared" si="1"/>
        <v>Bed-Rip/Disk Rigid 8R-30</v>
      </c>
      <c r="H46" s="251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5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452</v>
      </c>
      <c r="E47" s="164" t="s">
        <v>479</v>
      </c>
      <c r="F47" s="164" t="s">
        <v>200</v>
      </c>
      <c r="G47" s="164" t="str">
        <f t="shared" si="1"/>
        <v>Bed-Rip/Disk Rigid 6R-36</v>
      </c>
      <c r="H47" s="251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5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452</v>
      </c>
      <c r="E48" s="164" t="s">
        <v>479</v>
      </c>
      <c r="F48" s="164" t="s">
        <v>197</v>
      </c>
      <c r="G48" s="164" t="str">
        <f t="shared" si="1"/>
        <v>Bed-Rip/Disk Rigid 8R-36</v>
      </c>
      <c r="H48" s="251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452</v>
      </c>
      <c r="E49" s="164" t="s">
        <v>480</v>
      </c>
      <c r="F49" s="164" t="s">
        <v>47</v>
      </c>
      <c r="G49" s="164" t="str">
        <f t="shared" si="1"/>
        <v>Bed-Rip/Disk Rigid 6R-30</v>
      </c>
      <c r="H49" s="251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452</v>
      </c>
      <c r="E50" s="164" t="s">
        <v>481</v>
      </c>
      <c r="F50" s="164" t="s">
        <v>46</v>
      </c>
      <c r="G50" s="164" t="str">
        <f t="shared" si="1"/>
        <v>Bed-Rip/Disk/Cond. 6-Row</v>
      </c>
      <c r="H50" s="251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452</v>
      </c>
      <c r="E51" s="164" t="s">
        <v>481</v>
      </c>
      <c r="F51" s="164" t="s">
        <v>45</v>
      </c>
      <c r="G51" s="164" t="str">
        <f t="shared" si="1"/>
        <v>Bed-Rip/Disk/Cond. 8-Row</v>
      </c>
      <c r="H51" s="251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5">
      <c r="A52" s="245">
        <v>510</v>
      </c>
      <c r="B52" s="1" t="str">
        <f t="shared" si="0"/>
        <v>0.48, Bed-Roll-Fold. 8R-36</v>
      </c>
      <c r="C52" s="168">
        <v>0.48</v>
      </c>
      <c r="D52" s="164" t="s">
        <v>452</v>
      </c>
      <c r="E52" s="164" t="s">
        <v>482</v>
      </c>
      <c r="F52" s="164" t="s">
        <v>197</v>
      </c>
      <c r="G52" s="164" t="str">
        <f t="shared" si="1"/>
        <v>Bed-Roll-Fold. 8R-36</v>
      </c>
      <c r="H52" s="248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5">
      <c r="A53" s="245">
        <v>512</v>
      </c>
      <c r="B53" s="1" t="str">
        <f t="shared" si="0"/>
        <v>0.49, Bed-Roll-Fold. 12R-30</v>
      </c>
      <c r="C53" s="168">
        <v>0.49</v>
      </c>
      <c r="D53" s="164" t="s">
        <v>452</v>
      </c>
      <c r="E53" s="164" t="s">
        <v>483</v>
      </c>
      <c r="F53" s="164" t="s">
        <v>6</v>
      </c>
      <c r="G53" s="164" t="str">
        <f t="shared" si="1"/>
        <v>Bed-Roll-Fold. 12R-30</v>
      </c>
      <c r="H53" s="248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5">
      <c r="A54" s="245">
        <v>513</v>
      </c>
      <c r="B54" s="1" t="str">
        <f t="shared" si="0"/>
        <v>0.5, Bed-Roll-Fold. 12R-36</v>
      </c>
      <c r="C54" s="168">
        <v>0.5</v>
      </c>
      <c r="D54" s="164" t="s">
        <v>452</v>
      </c>
      <c r="E54" s="164" t="s">
        <v>483</v>
      </c>
      <c r="F54" s="164" t="s">
        <v>198</v>
      </c>
      <c r="G54" s="164" t="str">
        <f t="shared" si="1"/>
        <v>Bed-Roll-Fold. 12R-36</v>
      </c>
      <c r="H54" s="248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5">
      <c r="A55" s="245">
        <v>514</v>
      </c>
      <c r="B55" s="1" t="str">
        <f t="shared" si="0"/>
        <v>0.51, Bed-Roll-Fold. 16R-30</v>
      </c>
      <c r="C55" s="168">
        <v>0.51</v>
      </c>
      <c r="D55" s="164" t="s">
        <v>452</v>
      </c>
      <c r="E55" s="164" t="s">
        <v>483</v>
      </c>
      <c r="F55" s="164" t="s">
        <v>59</v>
      </c>
      <c r="G55" s="164" t="str">
        <f t="shared" si="1"/>
        <v>Bed-Roll-Fold. 16R-30</v>
      </c>
      <c r="H55" s="248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5">
      <c r="A56" s="245">
        <v>511</v>
      </c>
      <c r="B56" s="1" t="str">
        <f t="shared" si="0"/>
        <v>0.52, Bed-Roll-Rigid  8R-36</v>
      </c>
      <c r="C56" s="168">
        <v>0.52</v>
      </c>
      <c r="D56" s="164" t="s">
        <v>452</v>
      </c>
      <c r="E56" s="164" t="s">
        <v>484</v>
      </c>
      <c r="F56" s="164" t="s">
        <v>197</v>
      </c>
      <c r="G56" s="164" t="str">
        <f t="shared" si="1"/>
        <v>Bed-Roll-Rigid  8R-36</v>
      </c>
      <c r="H56" s="248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5">
      <c r="A57" s="245">
        <v>418</v>
      </c>
      <c r="B57" s="1" t="str">
        <f t="shared" si="0"/>
        <v>0.53, Blade-Box  6'-7'</v>
      </c>
      <c r="C57" s="168">
        <v>0.53</v>
      </c>
      <c r="D57" s="164" t="s">
        <v>452</v>
      </c>
      <c r="E57" s="164" t="s">
        <v>265</v>
      </c>
      <c r="F57" s="164" t="s">
        <v>97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5">
      <c r="A58" s="245">
        <v>473</v>
      </c>
      <c r="B58" s="1" t="str">
        <f t="shared" si="0"/>
        <v>0.54, Blade-Box  8'-10'</v>
      </c>
      <c r="C58" s="168">
        <v>0.54</v>
      </c>
      <c r="D58" s="164" t="s">
        <v>452</v>
      </c>
      <c r="E58" s="164" t="s">
        <v>265</v>
      </c>
      <c r="F58" s="164" t="s">
        <v>96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452</v>
      </c>
      <c r="E59" s="164" t="s">
        <v>265</v>
      </c>
      <c r="F59" s="164" t="s">
        <v>95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452</v>
      </c>
      <c r="E60" s="164" t="s">
        <v>266</v>
      </c>
      <c r="F60" s="164" t="s">
        <v>97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452</v>
      </c>
      <c r="E61" s="164" t="s">
        <v>266</v>
      </c>
      <c r="F61" s="164" t="s">
        <v>96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452</v>
      </c>
      <c r="E62" s="164" t="s">
        <v>266</v>
      </c>
      <c r="F62" s="164" t="s">
        <v>95</v>
      </c>
      <c r="G62" s="164" t="str">
        <f t="shared" si="1"/>
        <v>Blade-Scraper 12'-16'</v>
      </c>
      <c r="H62" s="252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5">
      <c r="A63" s="245">
        <v>5</v>
      </c>
      <c r="B63" s="1" t="str">
        <f t="shared" si="0"/>
        <v>0.59, Chisel Plow-Folding 16'</v>
      </c>
      <c r="C63" s="168">
        <v>0.59</v>
      </c>
      <c r="D63" s="164" t="s">
        <v>452</v>
      </c>
      <c r="E63" s="169" t="s">
        <v>267</v>
      </c>
      <c r="F63" s="169" t="s">
        <v>83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5">
      <c r="A64" s="245">
        <v>408</v>
      </c>
      <c r="B64" s="1" t="str">
        <f t="shared" si="0"/>
        <v>0.6, Chisel Plow-Folding 24'</v>
      </c>
      <c r="C64" s="168">
        <v>0.6</v>
      </c>
      <c r="D64" s="164" t="s">
        <v>452</v>
      </c>
      <c r="E64" s="164" t="s">
        <v>267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5">
      <c r="A65" s="245">
        <v>7</v>
      </c>
      <c r="B65" s="1" t="str">
        <f t="shared" si="0"/>
        <v>0.61, Chisel Plow-Folding 32'</v>
      </c>
      <c r="C65" s="168">
        <v>0.61</v>
      </c>
      <c r="D65" s="164" t="s">
        <v>452</v>
      </c>
      <c r="E65" s="164" t="s">
        <v>267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5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452</v>
      </c>
      <c r="E66" s="164" t="s">
        <v>267</v>
      </c>
      <c r="F66" s="164" t="s">
        <v>89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5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452</v>
      </c>
      <c r="E67" s="164" t="s">
        <v>267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5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452</v>
      </c>
      <c r="E68" s="164" t="s">
        <v>267</v>
      </c>
      <c r="F68" s="164" t="s">
        <v>93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5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452</v>
      </c>
      <c r="E69" s="164" t="s">
        <v>268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5">
      <c r="A70" s="245">
        <v>4</v>
      </c>
      <c r="B70" s="1" t="str">
        <f t="shared" si="15"/>
        <v>0.66, Chisel Plow-Rigid 15'</v>
      </c>
      <c r="C70" s="168">
        <v>0.66</v>
      </c>
      <c r="D70" s="164" t="s">
        <v>452</v>
      </c>
      <c r="E70" s="164" t="s">
        <v>268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5">
      <c r="A71" s="245">
        <v>701</v>
      </c>
      <c r="B71" s="1" t="str">
        <f t="shared" si="15"/>
        <v>0.67, Chisel Plow-Rigid 20'</v>
      </c>
      <c r="C71" s="168">
        <v>0.67</v>
      </c>
      <c r="D71" s="164" t="s">
        <v>452</v>
      </c>
      <c r="E71" s="164" t="s">
        <v>268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5">
      <c r="A72" s="245">
        <v>6</v>
      </c>
      <c r="B72" s="1" t="str">
        <f t="shared" si="15"/>
        <v>0.68, Chisel Plow-Rigid 24'</v>
      </c>
      <c r="C72" s="168">
        <v>0.68</v>
      </c>
      <c r="D72" s="164" t="s">
        <v>452</v>
      </c>
      <c r="E72" s="164" t="s">
        <v>268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5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452</v>
      </c>
      <c r="E73" s="164" t="s">
        <v>269</v>
      </c>
      <c r="F73" s="164" t="s">
        <v>92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5">
      <c r="A74" s="245">
        <v>293</v>
      </c>
      <c r="B74" s="1" t="str">
        <f t="shared" si="15"/>
        <v>0.7, Chisel-Harrow 27 shank</v>
      </c>
      <c r="C74" s="168">
        <v>0.7</v>
      </c>
      <c r="D74" s="164" t="s">
        <v>452</v>
      </c>
      <c r="E74" s="164" t="s">
        <v>269</v>
      </c>
      <c r="F74" s="164" t="s">
        <v>91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5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452</v>
      </c>
      <c r="E75" s="164" t="s">
        <v>270</v>
      </c>
      <c r="F75" s="164" t="s">
        <v>92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5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452</v>
      </c>
      <c r="E76" s="164" t="s">
        <v>270</v>
      </c>
      <c r="F76" s="164" t="s">
        <v>91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5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452</v>
      </c>
      <c r="E77" s="164" t="s">
        <v>488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5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452</v>
      </c>
      <c r="E78" s="164" t="s">
        <v>490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5">
      <c r="A79" s="245">
        <v>579</v>
      </c>
      <c r="B79" s="1" t="str">
        <f t="shared" si="15"/>
        <v>0.75, Cultivate  4R-30</v>
      </c>
      <c r="C79" s="168">
        <v>0.75</v>
      </c>
      <c r="D79" s="164" t="s">
        <v>452</v>
      </c>
      <c r="E79" s="164" t="s">
        <v>271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5">
      <c r="A80" s="245">
        <v>31</v>
      </c>
      <c r="B80" s="1" t="str">
        <f t="shared" si="15"/>
        <v>0.76, Cultivate  4R-36</v>
      </c>
      <c r="C80" s="168">
        <v>0.76</v>
      </c>
      <c r="D80" s="164" t="s">
        <v>452</v>
      </c>
      <c r="E80" s="164" t="s">
        <v>271</v>
      </c>
      <c r="F80" s="164" t="s">
        <v>199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5">
      <c r="A81" s="245">
        <v>32</v>
      </c>
      <c r="B81" s="1" t="str">
        <f t="shared" si="15"/>
        <v>0.77, Cultivate  6R-30</v>
      </c>
      <c r="C81" s="168">
        <v>0.77</v>
      </c>
      <c r="D81" s="164" t="s">
        <v>452</v>
      </c>
      <c r="E81" s="164" t="s">
        <v>271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5">
      <c r="A82" s="245">
        <v>33</v>
      </c>
      <c r="B82" s="1" t="str">
        <f t="shared" si="15"/>
        <v>0.78, Cultivate  6R-36</v>
      </c>
      <c r="C82" s="168">
        <v>0.78</v>
      </c>
      <c r="D82" s="164" t="s">
        <v>452</v>
      </c>
      <c r="E82" s="164" t="s">
        <v>271</v>
      </c>
      <c r="F82" s="164" t="s">
        <v>200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5">
      <c r="A83" s="245">
        <v>34</v>
      </c>
      <c r="B83" s="1" t="str">
        <f t="shared" si="15"/>
        <v>0.79, Cultivate  8R-30</v>
      </c>
      <c r="C83" s="168">
        <v>0.79</v>
      </c>
      <c r="D83" s="164" t="s">
        <v>452</v>
      </c>
      <c r="E83" s="164" t="s">
        <v>271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5">
      <c r="A84" s="245">
        <v>35</v>
      </c>
      <c r="B84" s="1" t="str">
        <f t="shared" si="15"/>
        <v>0.8, Cultivate  8R-36</v>
      </c>
      <c r="C84" s="168">
        <v>0.8</v>
      </c>
      <c r="D84" s="164" t="s">
        <v>452</v>
      </c>
      <c r="E84" s="164" t="s">
        <v>271</v>
      </c>
      <c r="F84" s="164" t="s">
        <v>197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5">
      <c r="A85" s="245">
        <v>36</v>
      </c>
      <c r="B85" s="1" t="str">
        <f t="shared" si="15"/>
        <v>0.81, Cultivate 10R-30</v>
      </c>
      <c r="C85" s="168">
        <v>0.81</v>
      </c>
      <c r="D85" s="164" t="s">
        <v>452</v>
      </c>
      <c r="E85" s="164" t="s">
        <v>271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5">
      <c r="A86" s="245">
        <v>508</v>
      </c>
      <c r="B86" s="1" t="str">
        <f t="shared" si="15"/>
        <v>0.82, Cultivate 12R-30</v>
      </c>
      <c r="C86" s="168">
        <v>0.82</v>
      </c>
      <c r="D86" s="164" t="s">
        <v>452</v>
      </c>
      <c r="E86" s="164" t="s">
        <v>271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5">
      <c r="A87" s="245">
        <v>235</v>
      </c>
      <c r="B87" s="1" t="str">
        <f t="shared" si="15"/>
        <v>0.83, Cultivate  8R-36 2x1</v>
      </c>
      <c r="C87" s="168">
        <v>0.83</v>
      </c>
      <c r="D87" s="164" t="s">
        <v>452</v>
      </c>
      <c r="E87" s="164" t="s">
        <v>271</v>
      </c>
      <c r="F87" s="164" t="s">
        <v>201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5">
      <c r="A88" s="245">
        <v>236</v>
      </c>
      <c r="B88" s="1" t="str">
        <f t="shared" si="15"/>
        <v>0.84, Cultivate 12R-36</v>
      </c>
      <c r="C88" s="168">
        <v>0.84</v>
      </c>
      <c r="D88" s="164" t="s">
        <v>452</v>
      </c>
      <c r="E88" s="164" t="s">
        <v>271</v>
      </c>
      <c r="F88" s="164" t="s">
        <v>198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5">
      <c r="A89" s="245">
        <v>580</v>
      </c>
      <c r="B89" s="1" t="str">
        <f t="shared" si="15"/>
        <v>0.85, Cultivate 16R-30</v>
      </c>
      <c r="C89" s="168">
        <v>0.85</v>
      </c>
      <c r="D89" s="164" t="s">
        <v>452</v>
      </c>
      <c r="E89" s="164" t="s">
        <v>271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5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452</v>
      </c>
      <c r="E90" s="164" t="s">
        <v>272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5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452</v>
      </c>
      <c r="E91" s="164" t="s">
        <v>272</v>
      </c>
      <c r="F91" s="164" t="s">
        <v>199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5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452</v>
      </c>
      <c r="E92" s="164" t="s">
        <v>272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5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452</v>
      </c>
      <c r="E93" s="164" t="s">
        <v>272</v>
      </c>
      <c r="F93" s="164" t="s">
        <v>200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5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452</v>
      </c>
      <c r="E94" s="164" t="s">
        <v>272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5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452</v>
      </c>
      <c r="E95" s="164" t="s">
        <v>272</v>
      </c>
      <c r="F95" s="164" t="s">
        <v>197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5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452</v>
      </c>
      <c r="E96" s="164" t="s">
        <v>272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5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452</v>
      </c>
      <c r="E97" s="164" t="s">
        <v>272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5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452</v>
      </c>
      <c r="E98" s="164" t="s">
        <v>272</v>
      </c>
      <c r="F98" s="164" t="s">
        <v>201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5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452</v>
      </c>
      <c r="E99" s="164" t="s">
        <v>272</v>
      </c>
      <c r="F99" s="164" t="s">
        <v>198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5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452</v>
      </c>
      <c r="E100" s="164" t="s">
        <v>272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5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452</v>
      </c>
      <c r="E101" s="164" t="s">
        <v>489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5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452</v>
      </c>
      <c r="E102" s="164" t="s">
        <v>491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5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452</v>
      </c>
      <c r="E103" s="164" t="s">
        <v>273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</row>
    <row r="104" spans="1:32" x14ac:dyDescent="0.25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452</v>
      </c>
      <c r="E104" s="164" t="s">
        <v>273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</row>
    <row r="105" spans="1:32" x14ac:dyDescent="0.25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452</v>
      </c>
      <c r="E105" s="164" t="s">
        <v>273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</row>
    <row r="106" spans="1:32" x14ac:dyDescent="0.25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452</v>
      </c>
      <c r="E106" s="164" t="s">
        <v>273</v>
      </c>
      <c r="F106" s="164" t="s">
        <v>90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</row>
    <row r="107" spans="1:32" x14ac:dyDescent="0.25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452</v>
      </c>
      <c r="E107" s="164" t="s">
        <v>273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</row>
    <row r="108" spans="1:32" x14ac:dyDescent="0.25">
      <c r="A108" s="245">
        <v>72</v>
      </c>
      <c r="B108" s="1" t="str">
        <f t="shared" si="15"/>
        <v>1.04, Disk Harrow 14'</v>
      </c>
      <c r="C108" s="168">
        <v>1.04</v>
      </c>
      <c r="D108" s="164" t="s">
        <v>452</v>
      </c>
      <c r="E108" s="164" t="s">
        <v>274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5">
      <c r="A109" s="245">
        <v>743</v>
      </c>
      <c r="B109" s="1" t="str">
        <f t="shared" si="15"/>
        <v>1.05, Disk Harrow 20'</v>
      </c>
      <c r="C109" s="168">
        <v>1.05</v>
      </c>
      <c r="D109" s="164" t="s">
        <v>452</v>
      </c>
      <c r="E109" s="164" t="s">
        <v>274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5">
      <c r="A110" s="245">
        <v>73</v>
      </c>
      <c r="B110" s="1" t="str">
        <f t="shared" si="15"/>
        <v>1.06, Disk Harrow 24'</v>
      </c>
      <c r="C110" s="168">
        <v>1.06</v>
      </c>
      <c r="D110" s="164" t="s">
        <v>452</v>
      </c>
      <c r="E110" s="164" t="s">
        <v>274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5">
      <c r="A111" s="245">
        <v>291</v>
      </c>
      <c r="B111" s="1" t="str">
        <f t="shared" si="15"/>
        <v>1.07, Disk Harrow 28'</v>
      </c>
      <c r="C111" s="168">
        <v>1.07</v>
      </c>
      <c r="D111" s="164" t="s">
        <v>452</v>
      </c>
      <c r="E111" s="164" t="s">
        <v>274</v>
      </c>
      <c r="F111" s="164" t="s">
        <v>90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5">
      <c r="A112" s="245">
        <v>74</v>
      </c>
      <c r="B112" s="1" t="str">
        <f t="shared" si="15"/>
        <v>1.08, Disk Harrow 32'</v>
      </c>
      <c r="C112" s="168">
        <v>1.08</v>
      </c>
      <c r="D112" s="164" t="s">
        <v>452</v>
      </c>
      <c r="E112" s="164" t="s">
        <v>274</v>
      </c>
      <c r="F112" s="164" t="s">
        <v>43</v>
      </c>
      <c r="G112" s="164" t="str">
        <f t="shared" si="16"/>
        <v>Disk Harrow 32'</v>
      </c>
      <c r="H112" s="30">
        <v>52593.24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1287.2864491514081</v>
      </c>
      <c r="W112" s="9">
        <f t="shared" si="20"/>
        <v>7.1515913841744894</v>
      </c>
      <c r="X112" s="8">
        <f t="shared" si="21"/>
        <v>2629.6619999999998</v>
      </c>
      <c r="Y112" s="7">
        <f t="shared" si="22"/>
        <v>14.609233333333332</v>
      </c>
      <c r="Z112" s="2">
        <f t="shared" si="23"/>
        <v>15777.972</v>
      </c>
      <c r="AA112" s="2">
        <f t="shared" si="24"/>
        <v>3681.5267999999996</v>
      </c>
      <c r="AB112" s="2">
        <f t="shared" si="25"/>
        <v>34185.606</v>
      </c>
      <c r="AC112" s="6">
        <f t="shared" si="26"/>
        <v>3076.7045399999997</v>
      </c>
      <c r="AD112" s="6">
        <f t="shared" si="27"/>
        <v>820.45454400000006</v>
      </c>
      <c r="AE112" s="6">
        <f t="shared" si="28"/>
        <v>7578.6858839999995</v>
      </c>
      <c r="AF112" s="5">
        <f t="shared" si="29"/>
        <v>42.103810466666665</v>
      </c>
    </row>
    <row r="113" spans="1:32" x14ac:dyDescent="0.25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452</v>
      </c>
      <c r="E113" s="164" t="s">
        <v>274</v>
      </c>
      <c r="F113" s="164" t="s">
        <v>89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5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452</v>
      </c>
      <c r="E114" s="164" t="s">
        <v>275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5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452</v>
      </c>
      <c r="E115" s="164" t="s">
        <v>276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5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452</v>
      </c>
      <c r="E116" s="164" t="s">
        <v>277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5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452</v>
      </c>
      <c r="E117" s="164" t="s">
        <v>278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5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452</v>
      </c>
      <c r="E118" s="164" t="s">
        <v>279</v>
      </c>
      <c r="F118" s="164" t="s">
        <v>199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5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452</v>
      </c>
      <c r="E119" s="164" t="s">
        <v>279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5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452</v>
      </c>
      <c r="E120" s="164" t="s">
        <v>279</v>
      </c>
      <c r="F120" s="164" t="s">
        <v>200</v>
      </c>
      <c r="G120" s="164" t="str">
        <f t="shared" si="16"/>
        <v>Fert Appl (Liquid)  6R-36</v>
      </c>
      <c r="H120" s="30">
        <v>15011.849999999999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284.6595399135573</v>
      </c>
      <c r="W120" s="9">
        <f t="shared" si="20"/>
        <v>1.8977302660903819</v>
      </c>
      <c r="X120" s="8">
        <f t="shared" si="21"/>
        <v>1501.1849999999999</v>
      </c>
      <c r="Y120" s="7">
        <f t="shared" si="22"/>
        <v>10.007899999999999</v>
      </c>
      <c r="Z120" s="2">
        <f t="shared" si="23"/>
        <v>6004.74</v>
      </c>
      <c r="AA120" s="2">
        <f t="shared" si="24"/>
        <v>1125.8887499999998</v>
      </c>
      <c r="AB120" s="2">
        <f t="shared" si="25"/>
        <v>10508.294999999998</v>
      </c>
      <c r="AC120" s="6">
        <f t="shared" si="26"/>
        <v>945.74654999999984</v>
      </c>
      <c r="AD120" s="6">
        <f t="shared" si="27"/>
        <v>252.19907999999995</v>
      </c>
      <c r="AE120" s="6">
        <f t="shared" si="28"/>
        <v>2323.8343799999998</v>
      </c>
      <c r="AF120" s="5">
        <f t="shared" si="29"/>
        <v>15.492229199999999</v>
      </c>
    </row>
    <row r="121" spans="1:32" x14ac:dyDescent="0.25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452</v>
      </c>
      <c r="E121" s="164" t="s">
        <v>279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5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452</v>
      </c>
      <c r="E122" s="164" t="s">
        <v>279</v>
      </c>
      <c r="F122" s="164" t="s">
        <v>197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5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452</v>
      </c>
      <c r="E123" s="164" t="s">
        <v>279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5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452</v>
      </c>
      <c r="E124" s="164" t="s">
        <v>279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5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452</v>
      </c>
      <c r="E125" s="164" t="s">
        <v>279</v>
      </c>
      <c r="F125" s="164" t="s">
        <v>202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5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452</v>
      </c>
      <c r="E126" s="164" t="s">
        <v>279</v>
      </c>
      <c r="F126" s="164" t="s">
        <v>201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5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452</v>
      </c>
      <c r="E127" s="164" t="s">
        <v>279</v>
      </c>
      <c r="F127" s="164" t="s">
        <v>198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5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452</v>
      </c>
      <c r="E128" s="164" t="s">
        <v>280</v>
      </c>
      <c r="F128" s="164" t="s">
        <v>89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</row>
    <row r="129" spans="1:32" x14ac:dyDescent="0.25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452</v>
      </c>
      <c r="E129" s="164" t="s">
        <v>280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</row>
    <row r="130" spans="1:32" x14ac:dyDescent="0.25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452</v>
      </c>
      <c r="E130" s="164" t="s">
        <v>281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</row>
    <row r="131" spans="1:32" x14ac:dyDescent="0.25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452</v>
      </c>
      <c r="E131" s="164" t="s">
        <v>281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</row>
    <row r="132" spans="1:32" x14ac:dyDescent="0.25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452</v>
      </c>
      <c r="E132" s="164" t="s">
        <v>282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</row>
    <row r="133" spans="1:32" x14ac:dyDescent="0.25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452</v>
      </c>
      <c r="E133" s="164" t="s">
        <v>283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</row>
    <row r="134" spans="1:32" x14ac:dyDescent="0.25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452</v>
      </c>
      <c r="E134" s="164" t="s">
        <v>283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</row>
    <row r="135" spans="1:32" x14ac:dyDescent="0.25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452</v>
      </c>
      <c r="E135" s="164" t="s">
        <v>283</v>
      </c>
      <c r="F135" s="164" t="s">
        <v>89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</row>
    <row r="136" spans="1:32" x14ac:dyDescent="0.25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452</v>
      </c>
      <c r="E136" s="164" t="s">
        <v>283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</row>
    <row r="137" spans="1:32" x14ac:dyDescent="0.25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452</v>
      </c>
      <c r="E137" s="164" t="s">
        <v>284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</row>
    <row r="138" spans="1:32" x14ac:dyDescent="0.25">
      <c r="A138" s="245">
        <v>556</v>
      </c>
      <c r="B138" s="1" t="str">
        <f t="shared" si="30"/>
        <v>1.34, Grain Drill  8'</v>
      </c>
      <c r="C138" s="168">
        <v>1.34</v>
      </c>
      <c r="D138" s="164" t="s">
        <v>452</v>
      </c>
      <c r="E138" s="164" t="s">
        <v>285</v>
      </c>
      <c r="F138" s="164" t="s">
        <v>85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</row>
    <row r="139" spans="1:32" x14ac:dyDescent="0.25">
      <c r="A139" s="245">
        <v>558</v>
      </c>
      <c r="B139" s="1" t="str">
        <f t="shared" si="30"/>
        <v>1.35, Grain Drill 10'</v>
      </c>
      <c r="C139" s="168">
        <v>1.35</v>
      </c>
      <c r="D139" s="164" t="s">
        <v>452</v>
      </c>
      <c r="E139" s="164" t="s">
        <v>285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</row>
    <row r="140" spans="1:32" x14ac:dyDescent="0.25">
      <c r="A140" s="245">
        <v>106</v>
      </c>
      <c r="B140" s="1" t="str">
        <f t="shared" si="30"/>
        <v>1.36, Grain Drill 12'</v>
      </c>
      <c r="C140" s="168">
        <v>1.36</v>
      </c>
      <c r="D140" s="164" t="s">
        <v>452</v>
      </c>
      <c r="E140" s="164" t="s">
        <v>285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</row>
    <row r="141" spans="1:32" x14ac:dyDescent="0.25">
      <c r="A141" s="245">
        <v>208</v>
      </c>
      <c r="B141" s="1" t="str">
        <f t="shared" si="30"/>
        <v>1.37, Grain Drill 15'</v>
      </c>
      <c r="C141" s="168">
        <v>1.37</v>
      </c>
      <c r="D141" s="164" t="s">
        <v>452</v>
      </c>
      <c r="E141" s="164" t="s">
        <v>285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</row>
    <row r="142" spans="1:32" x14ac:dyDescent="0.25">
      <c r="A142" s="245">
        <v>107</v>
      </c>
      <c r="B142" s="1" t="str">
        <f t="shared" si="30"/>
        <v>1.38, Grain Drill 20'</v>
      </c>
      <c r="C142" s="168">
        <v>1.38</v>
      </c>
      <c r="D142" s="164" t="s">
        <v>452</v>
      </c>
      <c r="E142" s="164" t="s">
        <v>285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</row>
    <row r="143" spans="1:32" x14ac:dyDescent="0.25">
      <c r="A143" s="245">
        <v>209</v>
      </c>
      <c r="B143" s="1" t="str">
        <f t="shared" si="30"/>
        <v>1.39, Grain Drill 24'</v>
      </c>
      <c r="C143" s="168">
        <v>1.39</v>
      </c>
      <c r="D143" s="164" t="s">
        <v>452</v>
      </c>
      <c r="E143" s="164" t="s">
        <v>285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</row>
    <row r="144" spans="1:32" x14ac:dyDescent="0.25">
      <c r="A144" s="245">
        <v>108</v>
      </c>
      <c r="B144" s="1" t="str">
        <f t="shared" si="30"/>
        <v>1.4, Grain Drill 30'</v>
      </c>
      <c r="C144" s="168">
        <v>1.4</v>
      </c>
      <c r="D144" s="164" t="s">
        <v>452</v>
      </c>
      <c r="E144" s="164" t="s">
        <v>285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</row>
    <row r="145" spans="1:32" x14ac:dyDescent="0.25">
      <c r="A145" s="245">
        <v>560</v>
      </c>
      <c r="B145" s="1" t="str">
        <f t="shared" si="30"/>
        <v>1.41, Grain Drill 35'</v>
      </c>
      <c r="C145" s="168">
        <v>1.41</v>
      </c>
      <c r="D145" s="164" t="s">
        <v>452</v>
      </c>
      <c r="E145" s="164" t="s">
        <v>285</v>
      </c>
      <c r="F145" s="164" t="s">
        <v>84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</row>
    <row r="146" spans="1:32" x14ac:dyDescent="0.25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452</v>
      </c>
      <c r="E146" s="164" t="s">
        <v>286</v>
      </c>
      <c r="F146" s="164" t="s">
        <v>85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</row>
    <row r="147" spans="1:32" x14ac:dyDescent="0.25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452</v>
      </c>
      <c r="E147" s="164" t="s">
        <v>286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</row>
    <row r="148" spans="1:32" x14ac:dyDescent="0.25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452</v>
      </c>
      <c r="E148" s="164" t="s">
        <v>286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</row>
    <row r="149" spans="1:32" x14ac:dyDescent="0.25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452</v>
      </c>
      <c r="E149" s="164" t="s">
        <v>286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</row>
    <row r="150" spans="1:32" x14ac:dyDescent="0.25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452</v>
      </c>
      <c r="E150" s="164" t="s">
        <v>286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</row>
    <row r="151" spans="1:32" x14ac:dyDescent="0.25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452</v>
      </c>
      <c r="E151" s="164" t="s">
        <v>286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</row>
    <row r="152" spans="1:32" x14ac:dyDescent="0.25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452</v>
      </c>
      <c r="E152" s="164" t="s">
        <v>286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</row>
    <row r="153" spans="1:32" x14ac:dyDescent="0.25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452</v>
      </c>
      <c r="E153" s="164" t="s">
        <v>286</v>
      </c>
      <c r="F153" s="164" t="s">
        <v>84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</row>
    <row r="154" spans="1:32" x14ac:dyDescent="0.25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452</v>
      </c>
      <c r="E154" s="164" t="s">
        <v>287</v>
      </c>
      <c r="F154" s="164" t="s">
        <v>203</v>
      </c>
      <c r="G154" s="164" t="str">
        <f t="shared" si="31"/>
        <v>Grain Drill &amp; Pre T 8R-36</v>
      </c>
      <c r="H154" s="252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</row>
    <row r="155" spans="1:32" x14ac:dyDescent="0.25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452</v>
      </c>
      <c r="E155" s="164" t="s">
        <v>288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5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452</v>
      </c>
      <c r="E156" s="164" t="s">
        <v>289</v>
      </c>
      <c r="F156" s="164" t="s">
        <v>83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5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452</v>
      </c>
      <c r="E157" s="164" t="s">
        <v>289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5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452</v>
      </c>
      <c r="E158" s="164" t="s">
        <v>289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5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452</v>
      </c>
      <c r="E159" s="164" t="s">
        <v>289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5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452</v>
      </c>
      <c r="E160" s="164" t="s">
        <v>289</v>
      </c>
      <c r="F160" s="164" t="s">
        <v>82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5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452</v>
      </c>
      <c r="E161" s="164" t="s">
        <v>290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5">
      <c r="A162" s="245"/>
      <c r="B162" s="1" t="str">
        <f t="shared" si="30"/>
        <v>1.58, Heavy Disk 14'</v>
      </c>
      <c r="C162" s="168">
        <v>1.58</v>
      </c>
      <c r="D162" s="164" t="s">
        <v>452</v>
      </c>
      <c r="E162" s="164" t="s">
        <v>436</v>
      </c>
      <c r="F162" s="164" t="s">
        <v>12</v>
      </c>
      <c r="G162" s="164" t="str">
        <f t="shared" si="31"/>
        <v>Heavy Disk 14'</v>
      </c>
      <c r="H162" s="30">
        <v>24018.959999999999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587.89459882505253</v>
      </c>
      <c r="W162" s="9">
        <f t="shared" si="35"/>
        <v>3.2660811045836251</v>
      </c>
      <c r="X162" s="8">
        <f t="shared" si="36"/>
        <v>1200.9479999999999</v>
      </c>
      <c r="Y162" s="7">
        <f t="shared" si="37"/>
        <v>6.6719333333333326</v>
      </c>
      <c r="Z162" s="2">
        <f t="shared" si="38"/>
        <v>7205.6879999999992</v>
      </c>
      <c r="AA162" s="2">
        <f t="shared" si="39"/>
        <v>1681.3272000000002</v>
      </c>
      <c r="AB162" s="2">
        <f t="shared" si="40"/>
        <v>15612.323999999999</v>
      </c>
      <c r="AC162" s="6">
        <f t="shared" si="41"/>
        <v>1405.1091599999997</v>
      </c>
      <c r="AD162" s="6">
        <f t="shared" si="42"/>
        <v>374.69577599999997</v>
      </c>
      <c r="AE162" s="6">
        <f t="shared" si="43"/>
        <v>3461.1321359999997</v>
      </c>
      <c r="AF162" s="5">
        <f t="shared" si="44"/>
        <v>19.228511866666665</v>
      </c>
    </row>
    <row r="163" spans="1:32" x14ac:dyDescent="0.25">
      <c r="A163" s="245"/>
      <c r="B163" s="1" t="str">
        <f t="shared" si="30"/>
        <v>1.59, Heavy Disk 21'</v>
      </c>
      <c r="C163" s="168">
        <v>1.59</v>
      </c>
      <c r="D163" s="164" t="s">
        <v>452</v>
      </c>
      <c r="E163" s="164" t="s">
        <v>436</v>
      </c>
      <c r="F163" s="164" t="s">
        <v>39</v>
      </c>
      <c r="G163" s="164" t="str">
        <f t="shared" si="31"/>
        <v>Heavy Disk 21'</v>
      </c>
      <c r="H163" s="30">
        <v>33854.31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828.62730093013863</v>
      </c>
      <c r="W163" s="9">
        <f t="shared" si="35"/>
        <v>4.6034850051674372</v>
      </c>
      <c r="X163" s="8">
        <f t="shared" si="36"/>
        <v>1692.7154999999998</v>
      </c>
      <c r="Y163" s="7">
        <f t="shared" si="37"/>
        <v>9.4039749999999991</v>
      </c>
      <c r="Z163" s="2">
        <f t="shared" si="38"/>
        <v>10156.293</v>
      </c>
      <c r="AA163" s="2">
        <f t="shared" si="39"/>
        <v>2369.8017</v>
      </c>
      <c r="AB163" s="2">
        <f t="shared" si="40"/>
        <v>22005.301499999998</v>
      </c>
      <c r="AC163" s="6">
        <f t="shared" si="41"/>
        <v>1980.4771349999996</v>
      </c>
      <c r="AD163" s="6">
        <f t="shared" si="42"/>
        <v>528.12723599999993</v>
      </c>
      <c r="AE163" s="6">
        <f t="shared" si="43"/>
        <v>4878.4060709999994</v>
      </c>
      <c r="AF163" s="5">
        <f t="shared" si="44"/>
        <v>27.102255949999996</v>
      </c>
    </row>
    <row r="164" spans="1:32" x14ac:dyDescent="0.25">
      <c r="A164" s="245"/>
      <c r="B164" s="1" t="str">
        <f t="shared" si="30"/>
        <v>1.6, Heavy Disk 27'</v>
      </c>
      <c r="C164" s="168">
        <v>1.6</v>
      </c>
      <c r="D164" s="164" t="s">
        <v>452</v>
      </c>
      <c r="E164" s="164" t="s">
        <v>436</v>
      </c>
      <c r="F164" s="164" t="s">
        <v>17</v>
      </c>
      <c r="G164" s="164" t="str">
        <f t="shared" si="31"/>
        <v>Heavy Disk 27'</v>
      </c>
      <c r="H164" s="30">
        <v>44621.429999999993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1092.1662590241276</v>
      </c>
      <c r="W164" s="9">
        <f t="shared" si="35"/>
        <v>6.0675903279118204</v>
      </c>
      <c r="X164" s="8">
        <f t="shared" si="36"/>
        <v>2231.0714999999996</v>
      </c>
      <c r="Y164" s="7">
        <f t="shared" si="37"/>
        <v>12.394841666666665</v>
      </c>
      <c r="Z164" s="2">
        <f t="shared" si="38"/>
        <v>13386.428999999998</v>
      </c>
      <c r="AA164" s="2">
        <f t="shared" si="39"/>
        <v>3123.5000999999997</v>
      </c>
      <c r="AB164" s="2">
        <f t="shared" si="40"/>
        <v>29003.929499999995</v>
      </c>
      <c r="AC164" s="6">
        <f t="shared" si="41"/>
        <v>2610.3536549999994</v>
      </c>
      <c r="AD164" s="6">
        <f t="shared" si="42"/>
        <v>696.09430799999984</v>
      </c>
      <c r="AE164" s="6">
        <f t="shared" si="43"/>
        <v>6429.9480629999989</v>
      </c>
      <c r="AF164" s="5">
        <f t="shared" si="44"/>
        <v>35.721933683333326</v>
      </c>
    </row>
    <row r="165" spans="1:32" x14ac:dyDescent="0.25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452</v>
      </c>
      <c r="E165" s="164" t="s">
        <v>291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5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452</v>
      </c>
      <c r="E166" s="164" t="s">
        <v>292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5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452</v>
      </c>
      <c r="E167" s="164" t="s">
        <v>293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5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452</v>
      </c>
      <c r="E168" s="164" t="s">
        <v>294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5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452</v>
      </c>
      <c r="E169" s="164" t="s">
        <v>295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5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452</v>
      </c>
      <c r="E170" s="164" t="s">
        <v>295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5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452</v>
      </c>
      <c r="E171" s="164" t="s">
        <v>295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5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452</v>
      </c>
      <c r="E172" s="164" t="s">
        <v>295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5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452</v>
      </c>
      <c r="E173" s="164" t="s">
        <v>295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5">
      <c r="A174" s="245">
        <v>329</v>
      </c>
      <c r="B174" s="1" t="str">
        <f t="shared" si="30"/>
        <v>1.7, NT Grain Drill 24'</v>
      </c>
      <c r="C174" s="168">
        <v>1.7</v>
      </c>
      <c r="D174" s="164" t="s">
        <v>452</v>
      </c>
      <c r="E174" s="164" t="s">
        <v>295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5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452</v>
      </c>
      <c r="E175" s="164" t="s">
        <v>295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5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452</v>
      </c>
      <c r="E176" s="164" t="s">
        <v>296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5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452</v>
      </c>
      <c r="E177" s="164" t="s">
        <v>296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5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452</v>
      </c>
      <c r="E178" s="164" t="s">
        <v>296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5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452</v>
      </c>
      <c r="E179" s="164" t="s">
        <v>296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5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452</v>
      </c>
      <c r="E180" s="164" t="s">
        <v>296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5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452</v>
      </c>
      <c r="E181" s="164" t="s">
        <v>296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5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452</v>
      </c>
      <c r="E182" s="164" t="s">
        <v>296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5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452</v>
      </c>
      <c r="E183" s="164" t="s">
        <v>297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5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452</v>
      </c>
      <c r="E184" s="164" t="s">
        <v>297</v>
      </c>
      <c r="F184" s="164" t="s">
        <v>197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5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452</v>
      </c>
      <c r="E185" s="164" t="s">
        <v>297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5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452</v>
      </c>
      <c r="E186" s="164" t="s">
        <v>297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5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452</v>
      </c>
      <c r="E187" s="164" t="s">
        <v>297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5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452</v>
      </c>
      <c r="E188" s="164" t="s">
        <v>297</v>
      </c>
      <c r="F188" s="164" t="s">
        <v>201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5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452</v>
      </c>
      <c r="E189" s="164" t="s">
        <v>297</v>
      </c>
      <c r="F189" s="164" t="s">
        <v>198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5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452</v>
      </c>
      <c r="E190" s="164" t="s">
        <v>297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5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452</v>
      </c>
      <c r="E191" s="164" t="s">
        <v>297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5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452</v>
      </c>
      <c r="E192" s="164" t="s">
        <v>297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5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452</v>
      </c>
      <c r="E193" s="164" t="s">
        <v>297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5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452</v>
      </c>
      <c r="E194" s="164" t="s">
        <v>297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5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452</v>
      </c>
      <c r="E195" s="164" t="s">
        <v>297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5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452</v>
      </c>
      <c r="E196" s="164" t="s">
        <v>298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5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452</v>
      </c>
      <c r="E197" s="164" t="s">
        <v>298</v>
      </c>
      <c r="F197" s="164" t="s">
        <v>199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5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452</v>
      </c>
      <c r="E198" s="164" t="s">
        <v>298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5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452</v>
      </c>
      <c r="E199" s="164" t="s">
        <v>298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5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452</v>
      </c>
      <c r="E200" s="164" t="s">
        <v>298</v>
      </c>
      <c r="F200" s="164" t="s">
        <v>200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5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452</v>
      </c>
      <c r="E201" s="164" t="s">
        <v>298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5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452</v>
      </c>
      <c r="E202" s="164" t="s">
        <v>298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5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452</v>
      </c>
      <c r="E203" s="164" t="s">
        <v>298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5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452</v>
      </c>
      <c r="E204" s="164" t="s">
        <v>298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5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452</v>
      </c>
      <c r="E205" s="164" t="s">
        <v>298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5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452</v>
      </c>
      <c r="E206" s="164" t="s">
        <v>298</v>
      </c>
      <c r="F206" s="164" t="s">
        <v>197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5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452</v>
      </c>
      <c r="E207" s="164" t="s">
        <v>298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5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452</v>
      </c>
      <c r="E208" s="164" t="s">
        <v>298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5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452</v>
      </c>
      <c r="E209" s="164" t="s">
        <v>299</v>
      </c>
      <c r="F209" s="164" t="s">
        <v>203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5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452</v>
      </c>
      <c r="E210" s="164" t="s">
        <v>299</v>
      </c>
      <c r="F210" s="164" t="s">
        <v>198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5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452</v>
      </c>
      <c r="E211" s="164" t="s">
        <v>300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5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452</v>
      </c>
      <c r="E212" s="164" t="s">
        <v>300</v>
      </c>
      <c r="F212" s="164" t="s">
        <v>197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5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452</v>
      </c>
      <c r="E213" s="164" t="s">
        <v>300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5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452</v>
      </c>
      <c r="E214" s="164" t="s">
        <v>300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5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452</v>
      </c>
      <c r="E215" s="164" t="s">
        <v>300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5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452</v>
      </c>
      <c r="E216" s="164" t="s">
        <v>300</v>
      </c>
      <c r="F216" s="164" t="s">
        <v>201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5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452</v>
      </c>
      <c r="E217" s="164" t="s">
        <v>300</v>
      </c>
      <c r="F217" s="164" t="s">
        <v>198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5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452</v>
      </c>
      <c r="E218" s="164" t="s">
        <v>300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5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452</v>
      </c>
      <c r="E219" s="164" t="s">
        <v>300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5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452</v>
      </c>
      <c r="E220" s="164" t="s">
        <v>300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5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452</v>
      </c>
      <c r="E221" s="164" t="s">
        <v>300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5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452</v>
      </c>
      <c r="E222" s="164" t="s">
        <v>300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5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452</v>
      </c>
      <c r="E223" s="164" t="s">
        <v>300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5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452</v>
      </c>
      <c r="E224" s="164" t="s">
        <v>301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5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452</v>
      </c>
      <c r="E225" s="164" t="s">
        <v>301</v>
      </c>
      <c r="F225" s="164" t="s">
        <v>199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5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452</v>
      </c>
      <c r="E226" s="164" t="s">
        <v>301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5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452</v>
      </c>
      <c r="E227" s="164" t="s">
        <v>301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5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452</v>
      </c>
      <c r="E228" s="164" t="s">
        <v>301</v>
      </c>
      <c r="F228" s="164" t="s">
        <v>200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5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452</v>
      </c>
      <c r="E229" s="164" t="s">
        <v>301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5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452</v>
      </c>
      <c r="E230" s="164" t="s">
        <v>301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5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452</v>
      </c>
      <c r="E231" s="164" t="s">
        <v>301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5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452</v>
      </c>
      <c r="E232" s="164" t="s">
        <v>301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5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452</v>
      </c>
      <c r="E233" s="164" t="s">
        <v>301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5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452</v>
      </c>
      <c r="E234" s="164" t="s">
        <v>301</v>
      </c>
      <c r="F234" s="164" t="s">
        <v>197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5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452</v>
      </c>
      <c r="E235" s="164" t="s">
        <v>301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5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452</v>
      </c>
      <c r="E236" s="164" t="s">
        <v>301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5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452</v>
      </c>
      <c r="E237" s="164" t="s">
        <v>302</v>
      </c>
      <c r="F237" s="164" t="s">
        <v>203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5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452</v>
      </c>
      <c r="E238" s="164" t="s">
        <v>302</v>
      </c>
      <c r="F238" s="164" t="s">
        <v>198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5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452</v>
      </c>
      <c r="E239" s="164" t="s">
        <v>303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</row>
    <row r="240" spans="1:32" x14ac:dyDescent="0.25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452</v>
      </c>
      <c r="E240" s="164" t="s">
        <v>303</v>
      </c>
      <c r="F240" s="164" t="s">
        <v>204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</row>
    <row r="241" spans="1:32" x14ac:dyDescent="0.25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452</v>
      </c>
      <c r="E241" s="164" t="s">
        <v>303</v>
      </c>
      <c r="F241" s="164" t="s">
        <v>203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</row>
    <row r="242" spans="1:32" x14ac:dyDescent="0.25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452</v>
      </c>
      <c r="E242" s="164" t="s">
        <v>304</v>
      </c>
      <c r="F242" s="164" t="s">
        <v>198</v>
      </c>
      <c r="G242" s="164" t="str">
        <f t="shared" si="46"/>
        <v>Peanut Plant &amp; Pre Fold. 12R-36</v>
      </c>
      <c r="H242" s="252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</row>
    <row r="243" spans="1:32" x14ac:dyDescent="0.25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452</v>
      </c>
      <c r="E243" s="164" t="s">
        <v>305</v>
      </c>
      <c r="F243" s="164" t="s">
        <v>25</v>
      </c>
      <c r="G243" s="164" t="str">
        <f t="shared" si="46"/>
        <v>Peanut Plant &amp; Pre Rigid  8R-30</v>
      </c>
      <c r="H243" s="252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</row>
    <row r="244" spans="1:32" x14ac:dyDescent="0.25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452</v>
      </c>
      <c r="E244" s="164" t="s">
        <v>305</v>
      </c>
      <c r="F244" s="164" t="s">
        <v>197</v>
      </c>
      <c r="G244" s="164" t="str">
        <f t="shared" si="46"/>
        <v>Peanut Plant &amp; Pre Rigid  8R-36</v>
      </c>
      <c r="H244" s="252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</row>
    <row r="245" spans="1:32" x14ac:dyDescent="0.25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452</v>
      </c>
      <c r="E245" s="164" t="s">
        <v>306</v>
      </c>
      <c r="F245" s="164" t="s">
        <v>64</v>
      </c>
      <c r="G245" s="164" t="str">
        <f t="shared" si="46"/>
        <v>Pipe Spool 160 ac 1/4m roll</v>
      </c>
      <c r="H245" s="252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5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452</v>
      </c>
      <c r="E246" s="164" t="s">
        <v>307</v>
      </c>
      <c r="F246" s="164" t="s">
        <v>44</v>
      </c>
      <c r="G246" s="164" t="str">
        <f t="shared" si="46"/>
        <v>Pipe Trailer 1m/160a 30'</v>
      </c>
      <c r="H246" s="252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5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452</v>
      </c>
      <c r="E247" s="164" t="s">
        <v>308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5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452</v>
      </c>
      <c r="E248" s="164" t="s">
        <v>308</v>
      </c>
      <c r="F248" s="164" t="s">
        <v>197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5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452</v>
      </c>
      <c r="E249" s="164" t="s">
        <v>308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5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452</v>
      </c>
      <c r="E250" s="164" t="s">
        <v>308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5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452</v>
      </c>
      <c r="E251" s="164" t="s">
        <v>308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5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452</v>
      </c>
      <c r="E252" s="164" t="s">
        <v>308</v>
      </c>
      <c r="F252" s="164" t="s">
        <v>201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5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452</v>
      </c>
      <c r="E253" s="164" t="s">
        <v>308</v>
      </c>
      <c r="F253" s="164" t="s">
        <v>198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5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452</v>
      </c>
      <c r="E254" s="164" t="s">
        <v>308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5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452</v>
      </c>
      <c r="E255" s="164" t="s">
        <v>308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5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452</v>
      </c>
      <c r="E256" s="164" t="s">
        <v>308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5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452</v>
      </c>
      <c r="E257" s="164" t="s">
        <v>308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5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452</v>
      </c>
      <c r="E258" s="164" t="s">
        <v>308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5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452</v>
      </c>
      <c r="E259" s="164" t="s">
        <v>308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5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452</v>
      </c>
      <c r="E260" s="164" t="s">
        <v>309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5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452</v>
      </c>
      <c r="E261" s="164" t="s">
        <v>309</v>
      </c>
      <c r="F261" s="164" t="s">
        <v>199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5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452</v>
      </c>
      <c r="E262" s="164" t="s">
        <v>309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5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452</v>
      </c>
      <c r="E263" s="164" t="s">
        <v>309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5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452</v>
      </c>
      <c r="E264" s="164" t="s">
        <v>309</v>
      </c>
      <c r="F264" s="164" t="s">
        <v>200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5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452</v>
      </c>
      <c r="E265" s="164" t="s">
        <v>309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5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452</v>
      </c>
      <c r="E266" s="164" t="s">
        <v>309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5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452</v>
      </c>
      <c r="E267" s="164" t="s">
        <v>309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5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452</v>
      </c>
      <c r="E268" s="164" t="s">
        <v>309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5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452</v>
      </c>
      <c r="E269" s="164" t="s">
        <v>309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5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452</v>
      </c>
      <c r="E270" s="164" t="s">
        <v>309</v>
      </c>
      <c r="F270" s="164" t="s">
        <v>197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5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452</v>
      </c>
      <c r="E271" s="164" t="s">
        <v>309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5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452</v>
      </c>
      <c r="E272" s="164" t="s">
        <v>309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5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452</v>
      </c>
      <c r="E273" s="164" t="s">
        <v>310</v>
      </c>
      <c r="F273" s="164" t="s">
        <v>203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5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452</v>
      </c>
      <c r="E274" s="164" t="s">
        <v>310</v>
      </c>
      <c r="F274" s="164" t="s">
        <v>198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5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452</v>
      </c>
      <c r="E275" s="164" t="s">
        <v>311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5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452</v>
      </c>
      <c r="E276" s="164" t="s">
        <v>311</v>
      </c>
      <c r="F276" s="164" t="s">
        <v>197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5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452</v>
      </c>
      <c r="E277" s="164" t="s">
        <v>311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5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452</v>
      </c>
      <c r="E278" s="164" t="s">
        <v>311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5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452</v>
      </c>
      <c r="E279" s="164" t="s">
        <v>311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5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452</v>
      </c>
      <c r="E280" s="164" t="s">
        <v>311</v>
      </c>
      <c r="F280" s="164" t="s">
        <v>201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5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452</v>
      </c>
      <c r="E281" s="164" t="s">
        <v>311</v>
      </c>
      <c r="F281" s="164" t="s">
        <v>198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5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452</v>
      </c>
      <c r="E282" s="164" t="s">
        <v>311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5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452</v>
      </c>
      <c r="E283" s="164" t="s">
        <v>311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5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452</v>
      </c>
      <c r="E284" s="164" t="s">
        <v>311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5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452</v>
      </c>
      <c r="E285" s="164" t="s">
        <v>311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5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452</v>
      </c>
      <c r="E286" s="164" t="s">
        <v>311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5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452</v>
      </c>
      <c r="E287" s="164" t="s">
        <v>311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5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452</v>
      </c>
      <c r="E288" s="164" t="s">
        <v>312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</row>
    <row r="289" spans="1:32" x14ac:dyDescent="0.25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452</v>
      </c>
      <c r="E289" s="164" t="s">
        <v>312</v>
      </c>
      <c r="F289" s="164" t="s">
        <v>199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</row>
    <row r="290" spans="1:32" x14ac:dyDescent="0.25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452</v>
      </c>
      <c r="E290" s="164" t="s">
        <v>312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</row>
    <row r="291" spans="1:32" x14ac:dyDescent="0.25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452</v>
      </c>
      <c r="E291" s="164" t="s">
        <v>312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</row>
    <row r="292" spans="1:32" x14ac:dyDescent="0.25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452</v>
      </c>
      <c r="E292" s="164" t="s">
        <v>312</v>
      </c>
      <c r="F292" s="164" t="s">
        <v>200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</row>
    <row r="293" spans="1:32" x14ac:dyDescent="0.25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452</v>
      </c>
      <c r="E293" s="164" t="s">
        <v>312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</row>
    <row r="294" spans="1:32" x14ac:dyDescent="0.25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452</v>
      </c>
      <c r="E294" s="164" t="s">
        <v>312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</row>
    <row r="295" spans="1:32" x14ac:dyDescent="0.25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452</v>
      </c>
      <c r="E295" s="164" t="s">
        <v>312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</row>
    <row r="296" spans="1:32" x14ac:dyDescent="0.25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452</v>
      </c>
      <c r="E296" s="164" t="s">
        <v>312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</row>
    <row r="297" spans="1:32" x14ac:dyDescent="0.25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452</v>
      </c>
      <c r="E297" s="164" t="s">
        <v>312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</row>
    <row r="298" spans="1:32" x14ac:dyDescent="0.25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452</v>
      </c>
      <c r="E298" s="164" t="s">
        <v>312</v>
      </c>
      <c r="F298" s="164" t="s">
        <v>197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</row>
    <row r="299" spans="1:32" x14ac:dyDescent="0.25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452</v>
      </c>
      <c r="E299" s="164" t="s">
        <v>312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</row>
    <row r="300" spans="1:32" x14ac:dyDescent="0.25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452</v>
      </c>
      <c r="E300" s="164" t="s">
        <v>312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</row>
    <row r="301" spans="1:32" x14ac:dyDescent="0.25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452</v>
      </c>
      <c r="E301" s="164" t="s">
        <v>313</v>
      </c>
      <c r="F301" s="164" t="s">
        <v>203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</row>
    <row r="302" spans="1:32" x14ac:dyDescent="0.25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452</v>
      </c>
      <c r="E302" s="164" t="s">
        <v>313</v>
      </c>
      <c r="F302" s="164" t="s">
        <v>198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</row>
    <row r="303" spans="1:32" x14ac:dyDescent="0.25">
      <c r="A303" s="245"/>
      <c r="B303" s="1" t="str">
        <f t="shared" si="60"/>
        <v>2.99, Plow 4 Bottom Switch</v>
      </c>
      <c r="C303" s="168">
        <v>2.99</v>
      </c>
      <c r="D303" s="164" t="s">
        <v>452</v>
      </c>
      <c r="E303" s="164" t="s">
        <v>437</v>
      </c>
      <c r="F303" s="164" t="s">
        <v>438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</row>
    <row r="304" spans="1:32" x14ac:dyDescent="0.25">
      <c r="A304" s="245"/>
      <c r="B304" s="1" t="str">
        <f t="shared" si="60"/>
        <v>3, Plow 5 Bottom Switch</v>
      </c>
      <c r="C304" s="168">
        <v>3</v>
      </c>
      <c r="D304" s="164" t="s">
        <v>452</v>
      </c>
      <c r="E304" s="164" t="s">
        <v>437</v>
      </c>
      <c r="F304" s="164" t="s">
        <v>439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</row>
    <row r="305" spans="1:32" x14ac:dyDescent="0.25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452</v>
      </c>
      <c r="E305" s="164" t="s">
        <v>314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5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452</v>
      </c>
      <c r="E306" s="164" t="s">
        <v>314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5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452</v>
      </c>
      <c r="E307" s="164" t="s">
        <v>314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5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452</v>
      </c>
      <c r="E308" s="164" t="s">
        <v>314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5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452</v>
      </c>
      <c r="E309" s="164" t="s">
        <v>315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5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452</v>
      </c>
      <c r="E310" s="164" t="s">
        <v>315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5">
      <c r="A311" s="245">
        <v>485</v>
      </c>
      <c r="B311" s="1" t="str">
        <f t="shared" si="60"/>
        <v>3.07, Rotary Cutter  7'</v>
      </c>
      <c r="C311" s="168">
        <v>3.07</v>
      </c>
      <c r="D311" s="164" t="s">
        <v>452</v>
      </c>
      <c r="E311" s="164" t="s">
        <v>316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5">
      <c r="A312" s="245">
        <v>199</v>
      </c>
      <c r="B312" s="1" t="str">
        <f t="shared" si="60"/>
        <v>3.08, Rotary Cutter 12'</v>
      </c>
      <c r="C312" s="168">
        <v>3.08</v>
      </c>
      <c r="D312" s="164" t="s">
        <v>452</v>
      </c>
      <c r="E312" s="164" t="s">
        <v>316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5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452</v>
      </c>
      <c r="E313" s="164" t="s">
        <v>317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5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452</v>
      </c>
      <c r="E314" s="164" t="s">
        <v>317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5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452</v>
      </c>
      <c r="E315" s="164" t="s">
        <v>318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5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452</v>
      </c>
      <c r="E316" s="164" t="s">
        <v>318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5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452</v>
      </c>
      <c r="E317" s="164" t="s">
        <v>319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5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452</v>
      </c>
      <c r="E318" s="164" t="s">
        <v>319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5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452</v>
      </c>
      <c r="E319" s="164" t="s">
        <v>319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5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452</v>
      </c>
      <c r="E320" s="164" t="s">
        <v>320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5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452</v>
      </c>
      <c r="E321" s="164" t="s">
        <v>320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5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452</v>
      </c>
      <c r="E322" s="164" t="s">
        <v>321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5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452</v>
      </c>
      <c r="E323" s="164" t="s">
        <v>321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5">
      <c r="A324" s="245">
        <v>179</v>
      </c>
      <c r="B324" s="1" t="str">
        <f t="shared" si="60"/>
        <v>3.2, Row Cond Rigid 26'</v>
      </c>
      <c r="C324" s="168">
        <v>3.2</v>
      </c>
      <c r="D324" s="164" t="s">
        <v>452</v>
      </c>
      <c r="E324" s="164" t="s">
        <v>321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5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452</v>
      </c>
      <c r="E325" s="164" t="s">
        <v>486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5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452</v>
      </c>
      <c r="E326" s="164" t="s">
        <v>486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5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452</v>
      </c>
      <c r="E327" s="164" t="s">
        <v>486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5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452</v>
      </c>
      <c r="E328" s="164" t="s">
        <v>487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5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452</v>
      </c>
      <c r="E329" s="164" t="s">
        <v>487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5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452</v>
      </c>
      <c r="E330" s="164" t="s">
        <v>322</v>
      </c>
      <c r="F330" s="164" t="s">
        <v>37</v>
      </c>
      <c r="G330" s="164" t="str">
        <f t="shared" si="76"/>
        <v>Spin Spreader 5 ton</v>
      </c>
      <c r="H330" s="30">
        <v>11181.24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120.18595913134888</v>
      </c>
      <c r="W330" s="9">
        <f t="shared" si="80"/>
        <v>1.2018595913134889</v>
      </c>
      <c r="X330" s="8">
        <f t="shared" si="81"/>
        <v>628.94475</v>
      </c>
      <c r="Y330" s="7">
        <f t="shared" si="82"/>
        <v>6.2894474999999996</v>
      </c>
      <c r="Z330" s="2">
        <f t="shared" si="83"/>
        <v>4472.4960000000001</v>
      </c>
      <c r="AA330" s="2">
        <f t="shared" si="84"/>
        <v>838.59299999999996</v>
      </c>
      <c r="AB330" s="2">
        <f t="shared" si="85"/>
        <v>7826.8680000000004</v>
      </c>
      <c r="AC330" s="6">
        <f t="shared" si="86"/>
        <v>704.41812000000004</v>
      </c>
      <c r="AD330" s="6">
        <f t="shared" si="87"/>
        <v>187.84483200000003</v>
      </c>
      <c r="AE330" s="6">
        <f t="shared" si="88"/>
        <v>1730.8559520000001</v>
      </c>
      <c r="AF330" s="5">
        <f t="shared" si="89"/>
        <v>17.308559520000003</v>
      </c>
    </row>
    <row r="331" spans="1:32" x14ac:dyDescent="0.25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452</v>
      </c>
      <c r="E331" s="164" t="s">
        <v>323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5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452</v>
      </c>
      <c r="E332" s="164" t="s">
        <v>324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5">
      <c r="A333" s="245">
        <v>733</v>
      </c>
      <c r="B333" s="1" t="str">
        <f t="shared" si="75"/>
        <v>3.29, Spray (ATV) 20'</v>
      </c>
      <c r="C333" s="168">
        <v>3.29</v>
      </c>
      <c r="D333" s="164" t="s">
        <v>452</v>
      </c>
      <c r="E333" s="164" t="s">
        <v>324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5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452</v>
      </c>
      <c r="E334" s="164" t="s">
        <v>325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5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452</v>
      </c>
      <c r="E335" s="164" t="s">
        <v>325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5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452</v>
      </c>
      <c r="E336" s="164" t="s">
        <v>325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5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452</v>
      </c>
      <c r="E337" s="164" t="s">
        <v>325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5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452</v>
      </c>
      <c r="E338" s="164" t="s">
        <v>325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5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452</v>
      </c>
      <c r="E339" s="164" t="s">
        <v>326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5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452</v>
      </c>
      <c r="E340" s="164" t="s">
        <v>326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5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452</v>
      </c>
      <c r="E341" s="164" t="s">
        <v>326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5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452</v>
      </c>
      <c r="E342" s="164" t="s">
        <v>326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5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452</v>
      </c>
      <c r="E343" s="164" t="s">
        <v>326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5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452</v>
      </c>
      <c r="E344" s="164" t="s">
        <v>326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5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452</v>
      </c>
      <c r="E345" s="164" t="s">
        <v>327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5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452</v>
      </c>
      <c r="E346" s="164" t="s">
        <v>327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5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452</v>
      </c>
      <c r="E347" s="164" t="s">
        <v>328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5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452</v>
      </c>
      <c r="E348" s="164" t="s">
        <v>328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5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452</v>
      </c>
      <c r="E349" s="164" t="s">
        <v>328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5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452</v>
      </c>
      <c r="E350" s="164" t="s">
        <v>328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5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452</v>
      </c>
      <c r="E351" s="164" t="s">
        <v>328</v>
      </c>
      <c r="F351" s="164" t="s">
        <v>13</v>
      </c>
      <c r="G351" s="164" t="str">
        <f t="shared" si="76"/>
        <v>Spray (Broadcast) 60'</v>
      </c>
      <c r="H351" s="30">
        <v>10352.999999999998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293.67837747711576</v>
      </c>
      <c r="W351" s="9">
        <f t="shared" si="80"/>
        <v>1.4683918873855788</v>
      </c>
      <c r="X351" s="8">
        <f t="shared" si="81"/>
        <v>970.59374999999989</v>
      </c>
      <c r="Y351" s="7">
        <f t="shared" si="82"/>
        <v>4.8529687499999996</v>
      </c>
      <c r="Z351" s="2">
        <f t="shared" si="83"/>
        <v>4141.2</v>
      </c>
      <c r="AA351" s="2">
        <f t="shared" si="84"/>
        <v>776.4749999999998</v>
      </c>
      <c r="AB351" s="2">
        <f t="shared" si="85"/>
        <v>7247.0999999999985</v>
      </c>
      <c r="AC351" s="6">
        <f t="shared" si="86"/>
        <v>652.23899999999981</v>
      </c>
      <c r="AD351" s="6">
        <f t="shared" si="87"/>
        <v>173.93039999999996</v>
      </c>
      <c r="AE351" s="6">
        <f t="shared" si="88"/>
        <v>1602.6443999999995</v>
      </c>
      <c r="AF351" s="5">
        <f t="shared" si="89"/>
        <v>8.0132219999999972</v>
      </c>
    </row>
    <row r="352" spans="1:32" x14ac:dyDescent="0.25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452</v>
      </c>
      <c r="E352" s="164" t="s">
        <v>329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5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452</v>
      </c>
      <c r="E353" s="164" t="s">
        <v>329</v>
      </c>
      <c r="F353" s="164" t="s">
        <v>197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5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452</v>
      </c>
      <c r="E354" s="164" t="s">
        <v>329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5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452</v>
      </c>
      <c r="E355" s="164" t="s">
        <v>329</v>
      </c>
      <c r="F355" s="164" t="s">
        <v>198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5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452</v>
      </c>
      <c r="E356" s="164" t="s">
        <v>330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5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452</v>
      </c>
      <c r="E357" s="164" t="s">
        <v>330</v>
      </c>
      <c r="F357" s="164" t="s">
        <v>197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5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452</v>
      </c>
      <c r="E358" s="164" t="s">
        <v>330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5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452</v>
      </c>
      <c r="E359" s="164" t="s">
        <v>330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5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452</v>
      </c>
      <c r="E360" s="164" t="s">
        <v>330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5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452</v>
      </c>
      <c r="E361" s="164" t="s">
        <v>330</v>
      </c>
      <c r="F361" s="164" t="s">
        <v>201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5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452</v>
      </c>
      <c r="E362" s="164" t="s">
        <v>330</v>
      </c>
      <c r="F362" s="164" t="s">
        <v>198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5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452</v>
      </c>
      <c r="E363" s="164" t="s">
        <v>331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5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452</v>
      </c>
      <c r="E364" s="164" t="s">
        <v>332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5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452</v>
      </c>
      <c r="E365" s="164" t="s">
        <v>332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5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452</v>
      </c>
      <c r="E366" s="164" t="s">
        <v>332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5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452</v>
      </c>
      <c r="E367" s="164" t="s">
        <v>332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5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452</v>
      </c>
      <c r="E368" s="164" t="s">
        <v>332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5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452</v>
      </c>
      <c r="E369" s="164" t="s">
        <v>333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5">
      <c r="A370" s="245">
        <v>194</v>
      </c>
      <c r="B370" s="1" t="str">
        <f t="shared" si="75"/>
        <v>3.66, Spray (Spot) 27'</v>
      </c>
      <c r="C370" s="168">
        <v>3.66</v>
      </c>
      <c r="D370" s="164" t="s">
        <v>452</v>
      </c>
      <c r="E370" s="164" t="s">
        <v>334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5">
      <c r="A371" s="245">
        <v>195</v>
      </c>
      <c r="B371" s="1" t="str">
        <f t="shared" si="75"/>
        <v>3.67, Spray (Spot) 40'</v>
      </c>
      <c r="C371" s="168">
        <v>3.67</v>
      </c>
      <c r="D371" s="164" t="s">
        <v>452</v>
      </c>
      <c r="E371" s="164" t="s">
        <v>334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5">
      <c r="A372" s="245">
        <v>358</v>
      </c>
      <c r="B372" s="1" t="str">
        <f t="shared" si="75"/>
        <v>3.68, Spray (Spot) 50'</v>
      </c>
      <c r="C372" s="168">
        <v>3.68</v>
      </c>
      <c r="D372" s="164" t="s">
        <v>452</v>
      </c>
      <c r="E372" s="164" t="s">
        <v>334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5">
      <c r="A373" s="245">
        <v>359</v>
      </c>
      <c r="B373" s="1" t="str">
        <f t="shared" si="75"/>
        <v>3.69, Spray (Spot) 53'</v>
      </c>
      <c r="C373" s="168">
        <v>3.69</v>
      </c>
      <c r="D373" s="164" t="s">
        <v>452</v>
      </c>
      <c r="E373" s="164" t="s">
        <v>334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5">
      <c r="A374" s="245">
        <v>196</v>
      </c>
      <c r="B374" s="1" t="str">
        <f t="shared" si="75"/>
        <v>3.7, Spray (Spot) 60'</v>
      </c>
      <c r="C374" s="168">
        <v>3.7</v>
      </c>
      <c r="D374" s="164" t="s">
        <v>452</v>
      </c>
      <c r="E374" s="164" t="s">
        <v>334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5">
      <c r="A375" s="245"/>
      <c r="B375" s="1" t="str">
        <f t="shared" si="75"/>
        <v>3.71, ST Plant Rigid 6R-36</v>
      </c>
      <c r="C375" s="168">
        <v>3.71</v>
      </c>
      <c r="D375" s="164" t="s">
        <v>452</v>
      </c>
      <c r="E375" s="164" t="s">
        <v>433</v>
      </c>
      <c r="F375" s="164" t="s">
        <v>204</v>
      </c>
      <c r="G375" s="164" t="str">
        <f t="shared" si="76"/>
        <v>ST Plant Rigid 6R-36</v>
      </c>
      <c r="H375" s="30">
        <v>36649.619999999995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694.96191123723656</v>
      </c>
      <c r="W375" s="9">
        <f t="shared" si="80"/>
        <v>4.6330794082482436</v>
      </c>
      <c r="X375" s="8">
        <f t="shared" si="81"/>
        <v>1649.2328999999997</v>
      </c>
      <c r="Y375" s="7">
        <f t="shared" si="82"/>
        <v>10.994885999999997</v>
      </c>
      <c r="Z375" s="2">
        <f t="shared" si="83"/>
        <v>16492.328999999998</v>
      </c>
      <c r="AA375" s="2">
        <f t="shared" si="84"/>
        <v>2015.7290999999998</v>
      </c>
      <c r="AB375" s="2">
        <f t="shared" si="85"/>
        <v>26570.974499999997</v>
      </c>
      <c r="AC375" s="6">
        <f t="shared" si="86"/>
        <v>2391.3877049999996</v>
      </c>
      <c r="AD375" s="6">
        <f t="shared" si="87"/>
        <v>637.7033879999999</v>
      </c>
      <c r="AE375" s="6">
        <f t="shared" si="88"/>
        <v>5044.8201929999996</v>
      </c>
      <c r="AF375" s="5">
        <f t="shared" si="89"/>
        <v>33.632134619999995</v>
      </c>
    </row>
    <row r="376" spans="1:32" x14ac:dyDescent="0.25">
      <c r="A376" s="245"/>
      <c r="B376" s="1" t="str">
        <f t="shared" si="75"/>
        <v>3.72, ST Plant Rigid 8R-36</v>
      </c>
      <c r="C376" s="168">
        <v>3.72</v>
      </c>
      <c r="D376" s="164" t="s">
        <v>452</v>
      </c>
      <c r="E376" s="164" t="s">
        <v>433</v>
      </c>
      <c r="F376" s="164" t="s">
        <v>203</v>
      </c>
      <c r="G376" s="164" t="str">
        <f t="shared" si="76"/>
        <v>ST Plant Rigid 8R-36</v>
      </c>
      <c r="H376" s="30">
        <v>40376.699999999997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765.63600390543013</v>
      </c>
      <c r="W376" s="9">
        <f t="shared" si="80"/>
        <v>5.1042400260362006</v>
      </c>
      <c r="X376" s="8">
        <f t="shared" si="81"/>
        <v>1816.9514999999999</v>
      </c>
      <c r="Y376" s="7">
        <f t="shared" si="82"/>
        <v>12.113009999999999</v>
      </c>
      <c r="Z376" s="2">
        <f t="shared" si="83"/>
        <v>18169.514999999999</v>
      </c>
      <c r="AA376" s="2">
        <f t="shared" si="84"/>
        <v>2220.7184999999999</v>
      </c>
      <c r="AB376" s="2">
        <f t="shared" si="85"/>
        <v>29273.107499999998</v>
      </c>
      <c r="AC376" s="6">
        <f t="shared" si="86"/>
        <v>2634.579675</v>
      </c>
      <c r="AD376" s="6">
        <f t="shared" si="87"/>
        <v>702.55457999999999</v>
      </c>
      <c r="AE376" s="6">
        <f t="shared" si="88"/>
        <v>5557.8527549999999</v>
      </c>
      <c r="AF376" s="5">
        <f t="shared" si="89"/>
        <v>37.052351700000003</v>
      </c>
    </row>
    <row r="377" spans="1:32" x14ac:dyDescent="0.25">
      <c r="A377" s="245">
        <v>693</v>
      </c>
      <c r="B377" s="1" t="str">
        <f t="shared" si="75"/>
        <v>3.73, Strip Till 12R-30</v>
      </c>
      <c r="C377" s="168">
        <v>3.73</v>
      </c>
      <c r="D377" s="164" t="s">
        <v>452</v>
      </c>
      <c r="E377" s="164" t="s">
        <v>335</v>
      </c>
      <c r="F377" s="164" t="s">
        <v>6</v>
      </c>
      <c r="G377" s="164" t="str">
        <f t="shared" si="76"/>
        <v>Strip Till 12R-30</v>
      </c>
      <c r="H377" s="30">
        <v>49176.749999999993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932.50538937199804</v>
      </c>
      <c r="W377" s="9">
        <f t="shared" si="80"/>
        <v>6.2167025958133202</v>
      </c>
      <c r="X377" s="8">
        <f t="shared" si="81"/>
        <v>3196.4887499999995</v>
      </c>
      <c r="Y377" s="7">
        <f t="shared" si="82"/>
        <v>21.309924999999996</v>
      </c>
      <c r="Z377" s="2">
        <f t="shared" si="83"/>
        <v>14753.024999999998</v>
      </c>
      <c r="AA377" s="2">
        <f t="shared" si="84"/>
        <v>3442.372499999999</v>
      </c>
      <c r="AB377" s="2">
        <f t="shared" si="85"/>
        <v>31964.887499999997</v>
      </c>
      <c r="AC377" s="6">
        <f t="shared" si="86"/>
        <v>2876.8398749999997</v>
      </c>
      <c r="AD377" s="6">
        <f t="shared" si="87"/>
        <v>767.15729999999996</v>
      </c>
      <c r="AE377" s="6">
        <f t="shared" si="88"/>
        <v>7086.369674999999</v>
      </c>
      <c r="AF377" s="5">
        <f t="shared" si="89"/>
        <v>47.24246449999999</v>
      </c>
    </row>
    <row r="378" spans="1:32" x14ac:dyDescent="0.25">
      <c r="A378" s="245">
        <v>202</v>
      </c>
      <c r="B378" s="1" t="str">
        <f t="shared" si="75"/>
        <v>3.74, Subsoiler 3 shank</v>
      </c>
      <c r="C378" s="168">
        <v>3.74</v>
      </c>
      <c r="D378" s="164" t="s">
        <v>452</v>
      </c>
      <c r="E378" s="164" t="s">
        <v>336</v>
      </c>
      <c r="F378" s="164" t="s">
        <v>5</v>
      </c>
      <c r="G378" s="164" t="str">
        <f t="shared" si="76"/>
        <v>Subsoiler 3 shank</v>
      </c>
      <c r="H378" s="30">
        <v>3675.3149999999996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39.505569899656344</v>
      </c>
      <c r="W378" s="9">
        <f t="shared" si="80"/>
        <v>0.39505569899656345</v>
      </c>
      <c r="X378" s="8">
        <f t="shared" si="81"/>
        <v>122.51049999999999</v>
      </c>
      <c r="Y378" s="7">
        <f t="shared" si="82"/>
        <v>1.2251049999999999</v>
      </c>
      <c r="Z378" s="2">
        <f t="shared" si="83"/>
        <v>1102.5944999999999</v>
      </c>
      <c r="AA378" s="2">
        <f t="shared" si="84"/>
        <v>171.51469999999998</v>
      </c>
      <c r="AB378" s="2">
        <f t="shared" si="85"/>
        <v>2388.9547499999999</v>
      </c>
      <c r="AC378" s="6">
        <f t="shared" si="86"/>
        <v>215.00592749999998</v>
      </c>
      <c r="AD378" s="6">
        <f t="shared" si="87"/>
        <v>57.334913999999998</v>
      </c>
      <c r="AE378" s="6">
        <f t="shared" si="88"/>
        <v>443.85554149999996</v>
      </c>
      <c r="AF378" s="5">
        <f t="shared" si="89"/>
        <v>4.4385554149999997</v>
      </c>
    </row>
    <row r="379" spans="1:32" x14ac:dyDescent="0.25">
      <c r="A379" s="245">
        <v>217</v>
      </c>
      <c r="B379" s="1" t="str">
        <f t="shared" si="75"/>
        <v>3.75, Subsoiler 4 shank</v>
      </c>
      <c r="C379" s="168">
        <v>3.75</v>
      </c>
      <c r="D379" s="164" t="s">
        <v>452</v>
      </c>
      <c r="E379" s="164" t="s">
        <v>336</v>
      </c>
      <c r="F379" s="164" t="s">
        <v>3</v>
      </c>
      <c r="G379" s="164" t="str">
        <f t="shared" si="76"/>
        <v>Subsoiler 4 shank</v>
      </c>
      <c r="H379" s="30">
        <v>8520.5190000000002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91.586152189907537</v>
      </c>
      <c r="W379" s="9">
        <f t="shared" si="80"/>
        <v>0.91586152189907533</v>
      </c>
      <c r="X379" s="8">
        <f t="shared" si="81"/>
        <v>284.01730000000003</v>
      </c>
      <c r="Y379" s="7">
        <f t="shared" si="82"/>
        <v>2.8401730000000005</v>
      </c>
      <c r="Z379" s="2">
        <f t="shared" si="83"/>
        <v>2556.1557000000003</v>
      </c>
      <c r="AA379" s="2">
        <f t="shared" si="84"/>
        <v>397.62421999999998</v>
      </c>
      <c r="AB379" s="2">
        <f t="shared" si="85"/>
        <v>5538.3373499999998</v>
      </c>
      <c r="AC379" s="6">
        <f t="shared" si="86"/>
        <v>498.45036149999999</v>
      </c>
      <c r="AD379" s="6">
        <f t="shared" si="87"/>
        <v>132.92009640000001</v>
      </c>
      <c r="AE379" s="6">
        <f t="shared" si="88"/>
        <v>1028.9946778999999</v>
      </c>
      <c r="AF379" s="5">
        <f t="shared" si="89"/>
        <v>10.289946778999999</v>
      </c>
    </row>
    <row r="380" spans="1:32" x14ac:dyDescent="0.25">
      <c r="A380" s="245">
        <v>203</v>
      </c>
      <c r="B380" s="1" t="str">
        <f t="shared" si="75"/>
        <v>3.76, Subsoiler 5 shank</v>
      </c>
      <c r="C380" s="168">
        <v>3.76</v>
      </c>
      <c r="D380" s="164" t="s">
        <v>452</v>
      </c>
      <c r="E380" s="164" t="s">
        <v>336</v>
      </c>
      <c r="F380" s="164" t="s">
        <v>4</v>
      </c>
      <c r="G380" s="164" t="str">
        <f t="shared" si="76"/>
        <v>Subsoiler 5 shank</v>
      </c>
      <c r="H380" s="30">
        <v>11491.829999999998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123.52445799610855</v>
      </c>
      <c r="W380" s="9">
        <f t="shared" si="80"/>
        <v>1.2352445799610856</v>
      </c>
      <c r="X380" s="8">
        <f t="shared" si="81"/>
        <v>383.06099999999992</v>
      </c>
      <c r="Y380" s="7">
        <f t="shared" si="82"/>
        <v>3.8306099999999992</v>
      </c>
      <c r="Z380" s="2">
        <f t="shared" si="83"/>
        <v>3447.5489999999995</v>
      </c>
      <c r="AA380" s="2">
        <f t="shared" si="84"/>
        <v>536.28539999999998</v>
      </c>
      <c r="AB380" s="2">
        <f t="shared" si="85"/>
        <v>7469.6894999999986</v>
      </c>
      <c r="AC380" s="6">
        <f t="shared" si="86"/>
        <v>672.2720549999998</v>
      </c>
      <c r="AD380" s="6">
        <f t="shared" si="87"/>
        <v>179.27254799999997</v>
      </c>
      <c r="AE380" s="6">
        <f t="shared" si="88"/>
        <v>1387.8300029999996</v>
      </c>
      <c r="AF380" s="5">
        <f t="shared" si="89"/>
        <v>13.878300029999997</v>
      </c>
    </row>
    <row r="381" spans="1:32" x14ac:dyDescent="0.25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452</v>
      </c>
      <c r="E381" s="164" t="s">
        <v>337</v>
      </c>
      <c r="F381" s="164" t="s">
        <v>3</v>
      </c>
      <c r="G381" s="164" t="str">
        <f t="shared" si="76"/>
        <v>Subsoiler low-till 4 shank</v>
      </c>
      <c r="H381" s="30">
        <v>12837.72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137.99128641006723</v>
      </c>
      <c r="W381" s="9">
        <f t="shared" si="80"/>
        <v>1.3799128641006724</v>
      </c>
      <c r="X381" s="8">
        <f t="shared" si="81"/>
        <v>427.92399999999998</v>
      </c>
      <c r="Y381" s="7">
        <f t="shared" si="82"/>
        <v>4.2792399999999997</v>
      </c>
      <c r="Z381" s="2">
        <f t="shared" si="83"/>
        <v>3851.3159999999998</v>
      </c>
      <c r="AA381" s="2">
        <f t="shared" si="84"/>
        <v>599.09359999999992</v>
      </c>
      <c r="AB381" s="2">
        <f t="shared" si="85"/>
        <v>8344.518</v>
      </c>
      <c r="AC381" s="6">
        <f t="shared" si="86"/>
        <v>751.00662</v>
      </c>
      <c r="AD381" s="6">
        <f t="shared" si="87"/>
        <v>200.26843200000002</v>
      </c>
      <c r="AE381" s="6">
        <f t="shared" si="88"/>
        <v>1550.3686519999999</v>
      </c>
      <c r="AF381" s="5">
        <f t="shared" si="89"/>
        <v>15.503686519999999</v>
      </c>
    </row>
    <row r="382" spans="1:32" x14ac:dyDescent="0.25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452</v>
      </c>
      <c r="E382" s="164" t="s">
        <v>337</v>
      </c>
      <c r="F382" s="164" t="s">
        <v>2</v>
      </c>
      <c r="G382" s="164" t="str">
        <f t="shared" si="76"/>
        <v>Subsoiler low-till 6 shank</v>
      </c>
      <c r="H382" s="30">
        <v>15322.439999999999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164.69927732814475</v>
      </c>
      <c r="W382" s="9">
        <f t="shared" si="80"/>
        <v>1.6469927732814476</v>
      </c>
      <c r="X382" s="8">
        <f t="shared" si="81"/>
        <v>510.74799999999988</v>
      </c>
      <c r="Y382" s="7">
        <f t="shared" si="82"/>
        <v>5.1074799999999989</v>
      </c>
      <c r="Z382" s="2">
        <f t="shared" si="83"/>
        <v>4596.732</v>
      </c>
      <c r="AA382" s="2">
        <f t="shared" si="84"/>
        <v>715.04719999999986</v>
      </c>
      <c r="AB382" s="2">
        <f t="shared" si="85"/>
        <v>9959.5859999999993</v>
      </c>
      <c r="AC382" s="6">
        <f t="shared" si="86"/>
        <v>896.36273999999992</v>
      </c>
      <c r="AD382" s="6">
        <f t="shared" si="87"/>
        <v>239.03006399999998</v>
      </c>
      <c r="AE382" s="6">
        <f t="shared" si="88"/>
        <v>1850.4400039999998</v>
      </c>
      <c r="AF382" s="5">
        <f t="shared" si="89"/>
        <v>18.504400039999997</v>
      </c>
    </row>
    <row r="383" spans="1:32" x14ac:dyDescent="0.25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452</v>
      </c>
      <c r="E383" s="164" t="s">
        <v>337</v>
      </c>
      <c r="F383" s="164" t="s">
        <v>1</v>
      </c>
      <c r="G383" s="164" t="str">
        <f t="shared" si="76"/>
        <v>Subsoiler low-till 8 shank</v>
      </c>
      <c r="H383" s="30">
        <v>22983.659999999996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247.0489159922171</v>
      </c>
      <c r="W383" s="9">
        <f t="shared" si="80"/>
        <v>2.4704891599221712</v>
      </c>
      <c r="X383" s="8">
        <f t="shared" si="81"/>
        <v>766.12199999999984</v>
      </c>
      <c r="Y383" s="7">
        <f t="shared" si="82"/>
        <v>7.6612199999999984</v>
      </c>
      <c r="Z383" s="2">
        <f t="shared" si="83"/>
        <v>6895.097999999999</v>
      </c>
      <c r="AA383" s="2">
        <f t="shared" si="84"/>
        <v>1072.5708</v>
      </c>
      <c r="AB383" s="2">
        <f t="shared" si="85"/>
        <v>14939.378999999997</v>
      </c>
      <c r="AC383" s="6">
        <f t="shared" si="86"/>
        <v>1344.5441099999996</v>
      </c>
      <c r="AD383" s="6">
        <f t="shared" si="87"/>
        <v>358.54509599999994</v>
      </c>
      <c r="AE383" s="6">
        <f t="shared" si="88"/>
        <v>2775.6600059999992</v>
      </c>
      <c r="AF383" s="5">
        <f t="shared" si="89"/>
        <v>27.756600059999993</v>
      </c>
    </row>
    <row r="384" spans="1:32" x14ac:dyDescent="0.25">
      <c r="D384" s="164"/>
    </row>
    <row r="385" spans="1:32" x14ac:dyDescent="0.25">
      <c r="D385" s="164"/>
    </row>
    <row r="386" spans="1:32" x14ac:dyDescent="0.25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452</v>
      </c>
      <c r="E386" s="164" t="s">
        <v>338</v>
      </c>
      <c r="F386" s="164" t="s">
        <v>225</v>
      </c>
      <c r="G386" s="16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452</v>
      </c>
      <c r="E387" s="164" t="s">
        <v>338</v>
      </c>
      <c r="F387" s="164" t="s">
        <v>354</v>
      </c>
      <c r="G387" s="16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452</v>
      </c>
      <c r="E388" s="164" t="s">
        <v>338</v>
      </c>
      <c r="F388" s="164" t="s">
        <v>228</v>
      </c>
      <c r="G388" s="16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452</v>
      </c>
      <c r="E389" s="164" t="s">
        <v>338</v>
      </c>
      <c r="F389" s="164" t="s">
        <v>356</v>
      </c>
      <c r="G389" s="16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452</v>
      </c>
      <c r="E390" s="164" t="s">
        <v>338</v>
      </c>
      <c r="F390" s="164" t="s">
        <v>355</v>
      </c>
      <c r="G390" s="16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452</v>
      </c>
      <c r="E391" s="164" t="s">
        <v>338</v>
      </c>
      <c r="F391" s="164" t="s">
        <v>357</v>
      </c>
      <c r="G391" s="16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452</v>
      </c>
      <c r="E392" s="164" t="s">
        <v>338</v>
      </c>
      <c r="F392" s="164" t="s">
        <v>231</v>
      </c>
      <c r="G392" s="16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452</v>
      </c>
      <c r="E393" s="164" t="s">
        <v>338</v>
      </c>
      <c r="F393" s="164" t="s">
        <v>232</v>
      </c>
      <c r="G393" s="16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452</v>
      </c>
      <c r="E394" s="164" t="s">
        <v>338</v>
      </c>
      <c r="F394" s="164" t="s">
        <v>358</v>
      </c>
      <c r="G394" s="16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452</v>
      </c>
      <c r="E395" s="164" t="s">
        <v>339</v>
      </c>
      <c r="F395" s="164" t="s">
        <v>73</v>
      </c>
      <c r="G395" s="16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452</v>
      </c>
      <c r="E396" s="164" t="s">
        <v>339</v>
      </c>
      <c r="F396" s="164" t="s">
        <v>73</v>
      </c>
      <c r="G396" s="16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452</v>
      </c>
      <c r="E397" s="164" t="s">
        <v>339</v>
      </c>
      <c r="F397" s="164" t="s">
        <v>72</v>
      </c>
      <c r="G397" s="16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452</v>
      </c>
      <c r="E398" s="164" t="s">
        <v>339</v>
      </c>
      <c r="F398" s="164" t="s">
        <v>71</v>
      </c>
      <c r="G398" s="16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452</v>
      </c>
      <c r="E399" s="164" t="s">
        <v>339</v>
      </c>
      <c r="F399" s="164" t="s">
        <v>70</v>
      </c>
      <c r="G399" s="16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452</v>
      </c>
      <c r="E400" s="164" t="s">
        <v>339</v>
      </c>
      <c r="F400" s="164" t="s">
        <v>47</v>
      </c>
      <c r="G400" s="16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452</v>
      </c>
      <c r="E401" s="164" t="s">
        <v>339</v>
      </c>
      <c r="F401" s="164" t="s">
        <v>205</v>
      </c>
      <c r="G401" s="16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452</v>
      </c>
      <c r="E402" s="164" t="s">
        <v>339</v>
      </c>
      <c r="F402" s="164" t="s">
        <v>69</v>
      </c>
      <c r="G402" s="16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452</v>
      </c>
      <c r="E403" s="164" t="s">
        <v>339</v>
      </c>
      <c r="F403" s="164" t="s">
        <v>206</v>
      </c>
      <c r="G403" s="16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452</v>
      </c>
      <c r="E404" s="164" t="s">
        <v>339</v>
      </c>
      <c r="F404" s="164" t="s">
        <v>204</v>
      </c>
      <c r="G404" s="16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452</v>
      </c>
      <c r="E405" s="164" t="s">
        <v>339</v>
      </c>
      <c r="F405" s="164" t="s">
        <v>68</v>
      </c>
      <c r="G405" s="16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452</v>
      </c>
      <c r="E406" s="164" t="s">
        <v>339</v>
      </c>
      <c r="F406" s="164" t="s">
        <v>94</v>
      </c>
      <c r="G406" s="16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452</v>
      </c>
      <c r="E407" s="164" t="s">
        <v>339</v>
      </c>
      <c r="F407" s="164" t="s">
        <v>203</v>
      </c>
      <c r="G407" s="16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452</v>
      </c>
      <c r="E408" s="164" t="s">
        <v>340</v>
      </c>
      <c r="F408" s="164" t="s">
        <v>88</v>
      </c>
      <c r="G408" s="16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452</v>
      </c>
      <c r="E409" s="164" t="s">
        <v>340</v>
      </c>
      <c r="F409" s="164" t="s">
        <v>87</v>
      </c>
      <c r="G409" s="16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452</v>
      </c>
      <c r="E410" s="164" t="s">
        <v>340</v>
      </c>
      <c r="F410" s="164" t="s">
        <v>86</v>
      </c>
      <c r="G410" s="16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452</v>
      </c>
      <c r="E411" s="164" t="s">
        <v>341</v>
      </c>
      <c r="F411" s="164" t="s">
        <v>88</v>
      </c>
      <c r="G411" s="16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452</v>
      </c>
      <c r="E412" s="164" t="s">
        <v>341</v>
      </c>
      <c r="F412" s="164" t="s">
        <v>87</v>
      </c>
      <c r="G412" s="16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452</v>
      </c>
      <c r="E413" s="164" t="s">
        <v>341</v>
      </c>
      <c r="F413" s="164" t="s">
        <v>86</v>
      </c>
      <c r="G413" s="16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452</v>
      </c>
      <c r="E414" s="164" t="s">
        <v>342</v>
      </c>
      <c r="F414" s="164" t="s">
        <v>88</v>
      </c>
      <c r="G414" s="16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452</v>
      </c>
      <c r="E415" s="164" t="s">
        <v>342</v>
      </c>
      <c r="F415" s="164" t="s">
        <v>87</v>
      </c>
      <c r="G415" s="16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452</v>
      </c>
      <c r="E416" s="164" t="s">
        <v>342</v>
      </c>
      <c r="F416" s="164" t="s">
        <v>86</v>
      </c>
      <c r="G416" s="16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452</v>
      </c>
      <c r="E417" s="164" t="s">
        <v>343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452</v>
      </c>
      <c r="E418" s="164" t="s">
        <v>343</v>
      </c>
      <c r="F418" s="164" t="s">
        <v>200</v>
      </c>
      <c r="G418" s="16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452</v>
      </c>
      <c r="E419" s="164" t="s">
        <v>343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452</v>
      </c>
      <c r="E420" s="164" t="s">
        <v>343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452</v>
      </c>
      <c r="E421" s="164" t="s">
        <v>343</v>
      </c>
      <c r="F421" s="164" t="s">
        <v>197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452</v>
      </c>
      <c r="E422" s="164" t="s">
        <v>343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45">
        <v>426</v>
      </c>
      <c r="B423" s="1" t="str">
        <f t="shared" si="106"/>
        <v>0.38, Header -Soybean 18' Flex</v>
      </c>
      <c r="C423" s="168">
        <v>0.38</v>
      </c>
      <c r="D423" s="164" t="s">
        <v>452</v>
      </c>
      <c r="E423" s="164" t="s">
        <v>344</v>
      </c>
      <c r="F423" s="164" t="s">
        <v>514</v>
      </c>
      <c r="G423" s="16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452</v>
      </c>
      <c r="E424" s="164" t="s">
        <v>344</v>
      </c>
      <c r="F424" s="164" t="s">
        <v>81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452</v>
      </c>
      <c r="E425" s="164" t="s">
        <v>344</v>
      </c>
      <c r="F425" s="164" t="s">
        <v>80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452</v>
      </c>
      <c r="E426" s="164" t="s">
        <v>344</v>
      </c>
      <c r="F426" s="164" t="s">
        <v>79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45">
        <v>424</v>
      </c>
      <c r="B427" s="1" t="str">
        <f t="shared" si="106"/>
        <v>0.42, Header Wheat/Sorghum 18' Rigid</v>
      </c>
      <c r="C427" s="168">
        <v>0.42</v>
      </c>
      <c r="D427" s="164" t="s">
        <v>452</v>
      </c>
      <c r="E427" s="164" t="s">
        <v>345</v>
      </c>
      <c r="F427" s="164" t="s">
        <v>513</v>
      </c>
      <c r="G427" s="16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452</v>
      </c>
      <c r="E428" s="164" t="s">
        <v>345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452</v>
      </c>
      <c r="E429" s="164" t="s">
        <v>345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452</v>
      </c>
      <c r="E430" s="164" t="s">
        <v>346</v>
      </c>
      <c r="F430" s="164" t="s">
        <v>225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452</v>
      </c>
      <c r="E431" s="164" t="s">
        <v>346</v>
      </c>
      <c r="F431" s="164" t="s">
        <v>354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452</v>
      </c>
      <c r="E432" s="164" t="s">
        <v>346</v>
      </c>
      <c r="F432" s="164" t="s">
        <v>228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452</v>
      </c>
      <c r="E433" s="164" t="s">
        <v>346</v>
      </c>
      <c r="F433" s="164" t="s">
        <v>356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452</v>
      </c>
      <c r="E434" s="164" t="s">
        <v>346</v>
      </c>
      <c r="F434" s="164" t="s">
        <v>355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452</v>
      </c>
      <c r="E435" s="164" t="s">
        <v>346</v>
      </c>
      <c r="F435" s="164" t="s">
        <v>357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452</v>
      </c>
      <c r="E436" s="164" t="s">
        <v>346</v>
      </c>
      <c r="F436" s="164" t="s">
        <v>231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452</v>
      </c>
      <c r="E437" s="164" t="s">
        <v>346</v>
      </c>
      <c r="F437" s="164" t="s">
        <v>232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452</v>
      </c>
      <c r="E438" s="164" t="s">
        <v>346</v>
      </c>
      <c r="F438" s="164" t="s">
        <v>358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452</v>
      </c>
      <c r="E439" s="164" t="s">
        <v>347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452</v>
      </c>
      <c r="E440" s="164" t="s">
        <v>347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452</v>
      </c>
      <c r="E441" s="164" t="s">
        <v>347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452</v>
      </c>
      <c r="E442" s="164" t="s">
        <v>347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452</v>
      </c>
      <c r="E443" s="164" t="s">
        <v>347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452</v>
      </c>
      <c r="E444" s="164" t="s">
        <v>347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452</v>
      </c>
      <c r="E445" s="164" t="s">
        <v>347</v>
      </c>
      <c r="F445" s="164" t="s">
        <v>205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452</v>
      </c>
      <c r="E446" s="164" t="s">
        <v>347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452</v>
      </c>
      <c r="E447" s="164" t="s">
        <v>347</v>
      </c>
      <c r="F447" s="164" t="s">
        <v>206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452</v>
      </c>
      <c r="E448" s="164" t="s">
        <v>347</v>
      </c>
      <c r="F448" s="164" t="s">
        <v>204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452</v>
      </c>
      <c r="E449" s="164" t="s">
        <v>347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452</v>
      </c>
      <c r="E450" s="164" t="s">
        <v>347</v>
      </c>
      <c r="F450" s="164" t="s">
        <v>203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452</v>
      </c>
      <c r="E451" s="164" t="s">
        <v>348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452</v>
      </c>
      <c r="E452" s="164" t="s">
        <v>349</v>
      </c>
      <c r="F452" s="164" t="s">
        <v>46</v>
      </c>
      <c r="G452" s="164" t="str">
        <f t="shared" si="122"/>
        <v>Peanut Conditioner 6-Row</v>
      </c>
      <c r="H452" s="30">
        <v>14688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452</v>
      </c>
      <c r="E453" s="164" t="s">
        <v>450</v>
      </c>
      <c r="F453" s="164" t="s">
        <v>0</v>
      </c>
      <c r="G453" s="164" t="str">
        <f t="shared" si="122"/>
        <v>Peanut Dig/Inverter 4R-30</v>
      </c>
      <c r="H453" s="30">
        <v>26622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452</v>
      </c>
      <c r="E454" s="164" t="s">
        <v>450</v>
      </c>
      <c r="F454" s="164" t="s">
        <v>73</v>
      </c>
      <c r="G454" s="164" t="str">
        <f t="shared" si="122"/>
        <v>Peanut Dig/Inverter 4R-36</v>
      </c>
      <c r="H454" s="30">
        <v>26622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452</v>
      </c>
      <c r="E455" s="164" t="s">
        <v>450</v>
      </c>
      <c r="F455" s="164" t="s">
        <v>204</v>
      </c>
      <c r="G455" s="164" t="str">
        <f t="shared" si="122"/>
        <v>Peanut Dig/Inverter 6R-36</v>
      </c>
      <c r="H455" s="30">
        <v>39168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452</v>
      </c>
      <c r="E456" s="164" t="s">
        <v>350</v>
      </c>
      <c r="F456" s="164" t="s">
        <v>46</v>
      </c>
      <c r="G456" s="164" t="str">
        <f t="shared" si="122"/>
        <v>Peanut Dump Cart 6-Row</v>
      </c>
      <c r="H456" s="30">
        <v>46410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452</v>
      </c>
      <c r="E457" s="164" t="s">
        <v>351</v>
      </c>
      <c r="F457" s="164" t="s">
        <v>46</v>
      </c>
      <c r="G457" s="164" t="str">
        <f t="shared" si="122"/>
        <v>Peanut Lifter 6-Row</v>
      </c>
      <c r="H457" s="30">
        <v>6211.8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45"/>
      <c r="B458" s="1" t="str">
        <f t="shared" si="121"/>
        <v>0.73, Peanut Wagon 14'</v>
      </c>
      <c r="C458" s="168">
        <v>0.73</v>
      </c>
      <c r="D458" s="164" t="s">
        <v>452</v>
      </c>
      <c r="E458" s="164" t="s">
        <v>447</v>
      </c>
      <c r="F458" s="164" t="s">
        <v>12</v>
      </c>
      <c r="G458" s="164" t="str">
        <f t="shared" si="122"/>
        <v>Peanut Wagon 14'</v>
      </c>
      <c r="H458" s="30">
        <v>4692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45"/>
      <c r="B459" s="1" t="str">
        <f t="shared" si="121"/>
        <v>0.74, Peanut Wagon 21'</v>
      </c>
      <c r="C459" s="168">
        <v>0.74</v>
      </c>
      <c r="D459" s="164" t="s">
        <v>452</v>
      </c>
      <c r="E459" s="164" t="s">
        <v>447</v>
      </c>
      <c r="F459" s="164" t="s">
        <v>39</v>
      </c>
      <c r="G459" s="164" t="str">
        <f t="shared" si="122"/>
        <v>Peanut Wagon 21'</v>
      </c>
      <c r="H459" s="30">
        <v>7038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45"/>
      <c r="B460" s="1" t="str">
        <f t="shared" si="121"/>
        <v>0.75, Peanut Wagon 28'</v>
      </c>
      <c r="C460" s="168">
        <v>0.75</v>
      </c>
      <c r="D460" s="164" t="s">
        <v>452</v>
      </c>
      <c r="E460" s="164" t="s">
        <v>447</v>
      </c>
      <c r="F460" s="164" t="s">
        <v>90</v>
      </c>
      <c r="G460" s="164" t="str">
        <f t="shared" si="122"/>
        <v>Peanut Wagon 28'</v>
      </c>
      <c r="H460" s="30">
        <v>8211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45"/>
      <c r="B461" s="1" t="str">
        <f t="shared" si="121"/>
        <v>0.76, Pull-type Peanut Combine 2R-36</v>
      </c>
      <c r="C461" s="168">
        <v>0.76</v>
      </c>
      <c r="D461" s="164" t="s">
        <v>452</v>
      </c>
      <c r="E461" s="164" t="s">
        <v>448</v>
      </c>
      <c r="F461" s="164" t="s">
        <v>449</v>
      </c>
      <c r="G461" s="164" t="str">
        <f t="shared" si="122"/>
        <v>Pull-type Peanut Combine 2R-36</v>
      </c>
      <c r="H461" s="30">
        <v>36516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45"/>
      <c r="B462" s="1" t="str">
        <f t="shared" si="121"/>
        <v>0.77, Pull-type Peanut Combine 4R-36</v>
      </c>
      <c r="C462" s="168">
        <v>0.77</v>
      </c>
      <c r="D462" s="164" t="s">
        <v>452</v>
      </c>
      <c r="E462" s="164" t="s">
        <v>448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45"/>
      <c r="B463" s="1" t="str">
        <f t="shared" si="121"/>
        <v>0.78, Pull-type Peanut Combine 6R-36</v>
      </c>
      <c r="C463" s="168">
        <v>0.78</v>
      </c>
      <c r="D463" s="164" t="s">
        <v>452</v>
      </c>
      <c r="E463" s="164" t="s">
        <v>448</v>
      </c>
      <c r="F463" s="164" t="s">
        <v>204</v>
      </c>
      <c r="G463" s="164" t="str">
        <f t="shared" si="122"/>
        <v>Pull-type Peanut Combine 6R-36</v>
      </c>
      <c r="H463" s="30">
        <v>137700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452</v>
      </c>
      <c r="E464" s="164" t="s">
        <v>352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45">
        <v>267</v>
      </c>
      <c r="B465" s="1" t="str">
        <f t="shared" si="121"/>
        <v>0.8, Stalk Shredder 20'</v>
      </c>
      <c r="C465" s="168">
        <v>0.8</v>
      </c>
      <c r="D465" s="164" t="s">
        <v>452</v>
      </c>
      <c r="E465" s="164" t="s">
        <v>352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452</v>
      </c>
      <c r="E466" s="164" t="s">
        <v>353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452</v>
      </c>
      <c r="E467" s="164" t="s">
        <v>353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452</v>
      </c>
      <c r="E468" s="164" t="s">
        <v>353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452</v>
      </c>
      <c r="E469" s="164" t="s">
        <v>353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452</v>
      </c>
      <c r="E470" s="164" t="s">
        <v>353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64"/>
    </row>
    <row r="472" spans="1:32" x14ac:dyDescent="0.25">
      <c r="D472" s="164"/>
    </row>
    <row r="473" spans="1:32" x14ac:dyDescent="0.25">
      <c r="D473" s="164"/>
    </row>
    <row r="474" spans="1:32" x14ac:dyDescent="0.25">
      <c r="D474" s="164"/>
    </row>
    <row r="475" spans="1:32" x14ac:dyDescent="0.25">
      <c r="D475" s="164"/>
    </row>
    <row r="476" spans="1:32" x14ac:dyDescent="0.25">
      <c r="D476" s="164"/>
    </row>
    <row r="477" spans="1:32" x14ac:dyDescent="0.25">
      <c r="D477" s="164"/>
    </row>
    <row r="478" spans="1:32" x14ac:dyDescent="0.25">
      <c r="D478" s="164"/>
    </row>
    <row r="479" spans="1:32" x14ac:dyDescent="0.25">
      <c r="D479" s="164"/>
    </row>
    <row r="480" spans="1:32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42578125" style="164" bestFit="1" customWidth="1"/>
    <col min="6" max="6" width="6.28515625" style="164" bestFit="1" customWidth="1"/>
    <col min="7" max="7" width="17.42578125" style="164" bestFit="1" customWidth="1"/>
    <col min="8" max="8" width="7" style="22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42578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0" bestFit="1" customWidth="1"/>
    <col min="29" max="29" width="5" style="240" bestFit="1" customWidth="1"/>
    <col min="30" max="30" width="4.42578125" style="240" bestFit="1" customWidth="1"/>
    <col min="31" max="31" width="5.42578125" style="240" bestFit="1" customWidth="1"/>
    <col min="32" max="16384" width="8.85546875" style="1"/>
  </cols>
  <sheetData>
    <row r="1" spans="1:31" x14ac:dyDescent="0.2">
      <c r="A1" s="278" t="s">
        <v>458</v>
      </c>
      <c r="B1" s="278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7"/>
      <c r="D2" s="198"/>
      <c r="E2" s="171"/>
      <c r="O2" s="284" t="s">
        <v>163</v>
      </c>
      <c r="P2" s="284"/>
      <c r="Q2" s="277" t="s">
        <v>127</v>
      </c>
      <c r="R2" s="277"/>
    </row>
    <row r="3" spans="1:31" s="15" customFormat="1" ht="10.35" customHeight="1" x14ac:dyDescent="0.15">
      <c r="A3" s="26" t="s">
        <v>451</v>
      </c>
      <c r="B3" s="26" t="s">
        <v>125</v>
      </c>
      <c r="C3" s="199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41" t="s">
        <v>461</v>
      </c>
      <c r="AA3" s="241" t="s">
        <v>460</v>
      </c>
      <c r="AB3" s="242" t="s">
        <v>462</v>
      </c>
      <c r="AC3" s="241" t="s">
        <v>463</v>
      </c>
      <c r="AD3" s="241" t="s">
        <v>464</v>
      </c>
      <c r="AE3" s="241" t="s">
        <v>465</v>
      </c>
    </row>
    <row r="4" spans="1:31" x14ac:dyDescent="0.2">
      <c r="B4" s="1" t="str">
        <f>CONCATENATE(C4,D4,E4,F4)</f>
        <v>0.01, Combine (200-249 hp) 240 hp</v>
      </c>
      <c r="C4" s="168">
        <v>0.01</v>
      </c>
      <c r="D4" s="164" t="s">
        <v>452</v>
      </c>
      <c r="E4" s="164" t="s">
        <v>434</v>
      </c>
      <c r="F4" s="164" t="s">
        <v>435</v>
      </c>
      <c r="G4" s="164" t="str">
        <f>CONCATENATE(E4,F4)</f>
        <v>Combine (200-249 hp) 240 hp</v>
      </c>
      <c r="H4" s="222">
        <v>289884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6039.25</v>
      </c>
      <c r="R4" s="7">
        <f>Q4/M4</f>
        <v>30.196249999999999</v>
      </c>
      <c r="S4" s="2">
        <f>H4*J4/100</f>
        <v>86965.2</v>
      </c>
      <c r="T4" s="2">
        <f>(H4-S4)/L4</f>
        <v>16909.899999999998</v>
      </c>
      <c r="U4" s="2">
        <f>(S4+H4)/2</f>
        <v>188424.6</v>
      </c>
      <c r="V4" s="6">
        <f>U4*intir</f>
        <v>16958.214</v>
      </c>
      <c r="W4" s="6">
        <f>U4*itr</f>
        <v>4522.1904000000004</v>
      </c>
      <c r="X4" s="6">
        <f>T4+V4+W4</f>
        <v>38390.304400000001</v>
      </c>
      <c r="Y4" s="5">
        <f>X4/M4</f>
        <v>191.95152200000001</v>
      </c>
      <c r="Z4" s="243">
        <f>((1.132-0.165*(L4^0.5)-0.0079*(M4^0.5))^2)*H4</f>
        <v>58362.92981482394</v>
      </c>
      <c r="AA4" s="243">
        <f>(H4-Z4)/L4</f>
        <v>19293.422515431339</v>
      </c>
      <c r="AB4" s="243">
        <f t="shared" ref="AB4:AB43" si="0">(Z4+H4)*intir</f>
        <v>31342.223683334156</v>
      </c>
      <c r="AC4" s="243">
        <f t="shared" ref="AC4:AC43" si="1">(Z4+H4)*itr</f>
        <v>8357.9263155557746</v>
      </c>
      <c r="AD4" s="243">
        <f>(AA4+AB4+AC4)/M4</f>
        <v>294.9678625716063</v>
      </c>
      <c r="AE4" s="244">
        <f>AD4-Y4</f>
        <v>103.01634057160629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452</v>
      </c>
      <c r="E5" s="164" t="s">
        <v>208</v>
      </c>
      <c r="F5" s="164" t="s">
        <v>162</v>
      </c>
      <c r="G5" s="164" t="str">
        <f t="shared" ref="G5:G43" si="2">CONCATENATE(E5,F5)</f>
        <v>Combine (250-299 hp) 265 hp</v>
      </c>
      <c r="H5" s="222">
        <v>301272.3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6276.5062499999995</v>
      </c>
      <c r="R5" s="7">
        <f>Q5/M5</f>
        <v>31.382531249999996</v>
      </c>
      <c r="S5" s="2">
        <f>H5*J5/100</f>
        <v>90381.69</v>
      </c>
      <c r="T5" s="2">
        <f>(H5-S5)/L5</f>
        <v>17574.217499999999</v>
      </c>
      <c r="U5" s="2">
        <f>(S5+H5)/2</f>
        <v>195826.995</v>
      </c>
      <c r="V5" s="6">
        <f>U5*intir</f>
        <v>17624.429550000001</v>
      </c>
      <c r="W5" s="6">
        <f>U5*itr</f>
        <v>4699.8478800000003</v>
      </c>
      <c r="X5" s="6">
        <f>T5+V5+W5</f>
        <v>39898.494930000001</v>
      </c>
      <c r="Y5" s="5">
        <f>X5/M5</f>
        <v>199.49247464999999</v>
      </c>
      <c r="Z5" s="243">
        <f t="shared" ref="Z5:Z11" si="3">((1.132-0.165*(L5^0.5)-0.0079*(M5^0.5))^2)*H5</f>
        <v>60655.759200406304</v>
      </c>
      <c r="AA5" s="243">
        <f t="shared" ref="AA5:AA43" si="4">(H5-Z5)/L5</f>
        <v>20051.378399966139</v>
      </c>
      <c r="AB5" s="243">
        <f t="shared" si="0"/>
        <v>32573.525328036565</v>
      </c>
      <c r="AC5" s="243">
        <f t="shared" si="1"/>
        <v>8686.2734208097518</v>
      </c>
      <c r="AD5" s="243">
        <f t="shared" ref="AD5:AD43" si="5">(AA5+AB5+AC5)/M5</f>
        <v>306.55588574406227</v>
      </c>
      <c r="AE5" s="244">
        <f t="shared" ref="AE5:AE43" si="6">AD5-Y5</f>
        <v>107.06341109406227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452</v>
      </c>
      <c r="E6" s="164" t="s">
        <v>209</v>
      </c>
      <c r="F6" s="164" t="s">
        <v>161</v>
      </c>
      <c r="G6" s="164" t="str">
        <f t="shared" si="2"/>
        <v>Combine (300-349 hp) 325 hp</v>
      </c>
      <c r="H6" s="222">
        <v>336472.49999999994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7009.8437499999991</v>
      </c>
      <c r="R6" s="7">
        <f t="shared" ref="R6:R43" si="10">Q6/M6</f>
        <v>23.366145833333331</v>
      </c>
      <c r="S6" s="2">
        <f t="shared" ref="S6:S43" si="11">H6*J6/100</f>
        <v>100941.74999999999</v>
      </c>
      <c r="T6" s="2">
        <f t="shared" ref="T6:T43" si="12">(H6-S6)/L6</f>
        <v>19627.562499999996</v>
      </c>
      <c r="U6" s="2">
        <f t="shared" ref="U6:U43" si="13">(S6+H6)/2</f>
        <v>218707.12499999997</v>
      </c>
      <c r="V6" s="6">
        <f t="shared" ref="V6:V43" si="14">U6*intir</f>
        <v>19683.641249999997</v>
      </c>
      <c r="W6" s="6">
        <f t="shared" ref="W6:W43" si="15">U6*itr</f>
        <v>5248.9709999999995</v>
      </c>
      <c r="X6" s="6">
        <f t="shared" ref="X6:X43" si="16">T6+V6+W6</f>
        <v>44560.174749999991</v>
      </c>
      <c r="Y6" s="5">
        <f t="shared" ref="Y6:Y43" si="17">X6/M6</f>
        <v>148.53391583333331</v>
      </c>
      <c r="Z6" s="243">
        <f t="shared" si="3"/>
        <v>60373.099642828514</v>
      </c>
      <c r="AA6" s="243">
        <f t="shared" si="4"/>
        <v>23008.28336309762</v>
      </c>
      <c r="AB6" s="243">
        <f t="shared" si="0"/>
        <v>35716.103967854557</v>
      </c>
      <c r="AC6" s="243">
        <f t="shared" si="1"/>
        <v>9524.294391427884</v>
      </c>
      <c r="AD6" s="243">
        <f t="shared" si="5"/>
        <v>227.49560574126687</v>
      </c>
      <c r="AE6" s="244">
        <f t="shared" si="6"/>
        <v>78.961689907933561</v>
      </c>
    </row>
    <row r="7" spans="1:31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452</v>
      </c>
      <c r="E7" s="164" t="s">
        <v>210</v>
      </c>
      <c r="F7" s="164" t="s">
        <v>160</v>
      </c>
      <c r="G7" s="164" t="str">
        <f t="shared" si="2"/>
        <v>Combine (350-399 hp) 355 hp</v>
      </c>
      <c r="H7" s="222">
        <v>362354.99999999994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7549.0624999999991</v>
      </c>
      <c r="R7" s="7">
        <f t="shared" si="10"/>
        <v>25.163541666666664</v>
      </c>
      <c r="S7" s="2">
        <f t="shared" si="11"/>
        <v>108706.49999999999</v>
      </c>
      <c r="T7" s="2">
        <f t="shared" si="12"/>
        <v>21137.374999999996</v>
      </c>
      <c r="U7" s="2">
        <f t="shared" si="13"/>
        <v>235530.74999999997</v>
      </c>
      <c r="V7" s="6">
        <f t="shared" si="14"/>
        <v>21197.767499999998</v>
      </c>
      <c r="W7" s="6">
        <f t="shared" si="15"/>
        <v>5652.7379999999994</v>
      </c>
      <c r="X7" s="6">
        <f t="shared" si="16"/>
        <v>47987.880499999992</v>
      </c>
      <c r="Y7" s="5">
        <f t="shared" si="17"/>
        <v>159.95960166666663</v>
      </c>
      <c r="Z7" s="243">
        <f t="shared" si="3"/>
        <v>65017.184230738399</v>
      </c>
      <c r="AA7" s="243">
        <f t="shared" si="4"/>
        <v>24778.151314105129</v>
      </c>
      <c r="AB7" s="243">
        <f t="shared" si="0"/>
        <v>38463.496580766448</v>
      </c>
      <c r="AC7" s="243">
        <f t="shared" si="1"/>
        <v>10256.93242153772</v>
      </c>
      <c r="AD7" s="243">
        <f t="shared" si="5"/>
        <v>244.99526772136431</v>
      </c>
      <c r="AE7" s="244">
        <f t="shared" si="6"/>
        <v>85.035666054697685</v>
      </c>
    </row>
    <row r="8" spans="1:31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452</v>
      </c>
      <c r="E8" s="164" t="s">
        <v>211</v>
      </c>
      <c r="F8" s="164" t="s">
        <v>159</v>
      </c>
      <c r="G8" s="164" t="str">
        <f t="shared" si="2"/>
        <v>Combine (400-449 hp) 425 hp</v>
      </c>
      <c r="H8" s="222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3">
        <f t="shared" si="3"/>
        <v>69661.268818648285</v>
      </c>
      <c r="AA8" s="243">
        <f t="shared" si="4"/>
        <v>26548.019265112638</v>
      </c>
      <c r="AB8" s="243">
        <f t="shared" si="0"/>
        <v>41210.88919367834</v>
      </c>
      <c r="AC8" s="243">
        <f t="shared" si="1"/>
        <v>10989.570451647558</v>
      </c>
      <c r="AD8" s="243">
        <f t="shared" si="5"/>
        <v>262.49492970146179</v>
      </c>
      <c r="AE8" s="244">
        <f t="shared" si="6"/>
        <v>91.109642201461838</v>
      </c>
    </row>
    <row r="9" spans="1:31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452</v>
      </c>
      <c r="E9" s="164" t="s">
        <v>252</v>
      </c>
      <c r="F9" s="164" t="s">
        <v>158</v>
      </c>
      <c r="G9" s="164" t="str">
        <f t="shared" si="2"/>
        <v>Combine (450-499 hp) 475 hp</v>
      </c>
      <c r="H9" s="222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3">
        <f t="shared" si="3"/>
        <v>73748.063256008987</v>
      </c>
      <c r="AA9" s="243">
        <f t="shared" si="4"/>
        <v>28105.503061999247</v>
      </c>
      <c r="AB9" s="243">
        <f t="shared" si="0"/>
        <v>43628.59469304081</v>
      </c>
      <c r="AC9" s="243">
        <f t="shared" si="1"/>
        <v>11634.291918144216</v>
      </c>
      <c r="AD9" s="243">
        <f t="shared" si="5"/>
        <v>277.89463224394757</v>
      </c>
      <c r="AE9" s="244">
        <f t="shared" si="6"/>
        <v>96.45474121061423</v>
      </c>
    </row>
    <row r="10" spans="1:31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452</v>
      </c>
      <c r="E10" s="164" t="s">
        <v>212</v>
      </c>
      <c r="F10" s="164" t="s">
        <v>157</v>
      </c>
      <c r="G10" s="164" t="str">
        <f t="shared" si="2"/>
        <v>Cotton Stripper 173 hp</v>
      </c>
      <c r="H10" s="222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3">
        <f t="shared" si="3"/>
        <v>53936.946554952265</v>
      </c>
      <c r="AA10" s="243">
        <f t="shared" si="4"/>
        <v>15258.006680630962</v>
      </c>
      <c r="AB10" s="243">
        <f t="shared" si="0"/>
        <v>20694.415189945703</v>
      </c>
      <c r="AC10" s="243">
        <f t="shared" si="1"/>
        <v>5518.5107173188535</v>
      </c>
      <c r="AD10" s="243">
        <f t="shared" si="5"/>
        <v>207.35466293947761</v>
      </c>
      <c r="AE10" s="244">
        <f t="shared" si="6"/>
        <v>65.14585493947763</v>
      </c>
    </row>
    <row r="11" spans="1:31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452</v>
      </c>
      <c r="E11" s="164" t="s">
        <v>253</v>
      </c>
      <c r="F11" s="164" t="s">
        <v>156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3">
        <f t="shared" si="3"/>
        <v>3320.1122720909671</v>
      </c>
      <c r="AA11" s="243">
        <f t="shared" si="4"/>
        <v>2062.6941234220735</v>
      </c>
      <c r="AB11" s="243">
        <f t="shared" si="0"/>
        <v>3196.6148044881866</v>
      </c>
      <c r="AC11" s="243">
        <f t="shared" si="1"/>
        <v>852.43061453018311</v>
      </c>
      <c r="AD11" s="243">
        <f t="shared" si="5"/>
        <v>10.186232570734074</v>
      </c>
      <c r="AE11" s="244">
        <f t="shared" si="6"/>
        <v>3.4492199507340731</v>
      </c>
    </row>
    <row r="12" spans="1:31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452</v>
      </c>
      <c r="E12" s="164" t="s">
        <v>253</v>
      </c>
      <c r="F12" s="164" t="s">
        <v>156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3">
        <f>((0.981-0.093*(L12^0.5)-0.0058*(M12^0.5))^2)*H12</f>
        <v>4641.5533127051503</v>
      </c>
      <c r="AA12" s="243">
        <f t="shared" si="4"/>
        <v>1043.9304776639178</v>
      </c>
      <c r="AB12" s="243">
        <f t="shared" si="0"/>
        <v>2150.8319981434634</v>
      </c>
      <c r="AC12" s="243">
        <f t="shared" si="1"/>
        <v>573.55519950492351</v>
      </c>
      <c r="AD12" s="243">
        <f t="shared" si="5"/>
        <v>6.2805294588538416</v>
      </c>
      <c r="AE12" s="244">
        <f t="shared" si="6"/>
        <v>2.2513193388538424</v>
      </c>
    </row>
    <row r="13" spans="1:31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452</v>
      </c>
      <c r="E13" s="164" t="s">
        <v>254</v>
      </c>
      <c r="F13" s="164" t="s">
        <v>155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3">
        <f t="shared" ref="Z13:Z20" si="18">((0.981-0.093*(L13^0.5)-0.0058*(M13^0.5))^2)*H13</f>
        <v>8409.6960558152441</v>
      </c>
      <c r="AA13" s="243">
        <f t="shared" si="4"/>
        <v>1891.4224245846251</v>
      </c>
      <c r="AB13" s="243">
        <f t="shared" si="0"/>
        <v>3896.9375450233711</v>
      </c>
      <c r="AC13" s="243">
        <f t="shared" si="1"/>
        <v>1039.1833453395657</v>
      </c>
      <c r="AD13" s="243">
        <f t="shared" si="5"/>
        <v>11.379238858245937</v>
      </c>
      <c r="AE13" s="244">
        <f t="shared" si="6"/>
        <v>4.0790033182459382</v>
      </c>
    </row>
    <row r="14" spans="1:31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452</v>
      </c>
      <c r="E14" s="164" t="s">
        <v>254</v>
      </c>
      <c r="F14" s="164" t="s">
        <v>154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3">
        <f t="shared" si="18"/>
        <v>9707.3346163564711</v>
      </c>
      <c r="AA14" s="243">
        <f t="shared" si="4"/>
        <v>2183.2739559745378</v>
      </c>
      <c r="AB14" s="243">
        <f t="shared" si="0"/>
        <v>4498.2454154720817</v>
      </c>
      <c r="AC14" s="243">
        <f t="shared" si="1"/>
        <v>1199.5321107925554</v>
      </c>
      <c r="AD14" s="243">
        <f t="shared" si="5"/>
        <v>13.135085803731959</v>
      </c>
      <c r="AE14" s="244">
        <f t="shared" si="6"/>
        <v>4.7084044237319596</v>
      </c>
    </row>
    <row r="15" spans="1:31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452</v>
      </c>
      <c r="E15" s="164" t="s">
        <v>254</v>
      </c>
      <c r="F15" s="164" t="s">
        <v>155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3">
        <f t="shared" si="18"/>
        <v>4716.4170758132977</v>
      </c>
      <c r="AA15" s="243">
        <f t="shared" si="4"/>
        <v>1060.7680660133358</v>
      </c>
      <c r="AB15" s="243">
        <f t="shared" si="0"/>
        <v>2185.5228368231965</v>
      </c>
      <c r="AC15" s="243">
        <f t="shared" si="1"/>
        <v>582.80608981951912</v>
      </c>
      <c r="AD15" s="243">
        <f t="shared" si="5"/>
        <v>6.3818283210934181</v>
      </c>
      <c r="AE15" s="244">
        <f t="shared" si="6"/>
        <v>2.2876309410934175</v>
      </c>
    </row>
    <row r="16" spans="1:31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452</v>
      </c>
      <c r="E16" s="164" t="s">
        <v>254</v>
      </c>
      <c r="F16" s="164" t="s">
        <v>154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3">
        <f t="shared" si="18"/>
        <v>6538.1019781115556</v>
      </c>
      <c r="AA16" s="243">
        <f t="shared" si="4"/>
        <v>1470.4827158491742</v>
      </c>
      <c r="AB16" s="243">
        <f t="shared" si="0"/>
        <v>3029.66657803004</v>
      </c>
      <c r="AC16" s="243">
        <f t="shared" si="1"/>
        <v>807.91108747467729</v>
      </c>
      <c r="AD16" s="243">
        <f t="shared" si="5"/>
        <v>8.8467673022564863</v>
      </c>
      <c r="AE16" s="244">
        <f t="shared" si="6"/>
        <v>3.1712132622564866</v>
      </c>
    </row>
    <row r="17" spans="1:31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452</v>
      </c>
      <c r="E17" s="164" t="s">
        <v>255</v>
      </c>
      <c r="F17" s="164" t="s">
        <v>153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3">
        <f t="shared" si="18"/>
        <v>10830.291062978684</v>
      </c>
      <c r="AA17" s="243">
        <f t="shared" si="4"/>
        <v>2435.8377812158078</v>
      </c>
      <c r="AB17" s="243">
        <f t="shared" si="0"/>
        <v>5018.6079956680815</v>
      </c>
      <c r="AC17" s="243">
        <f t="shared" si="1"/>
        <v>1338.2954655114884</v>
      </c>
      <c r="AD17" s="243">
        <f t="shared" si="5"/>
        <v>14.654568737325629</v>
      </c>
      <c r="AE17" s="244">
        <f t="shared" si="6"/>
        <v>5.2530784573256319</v>
      </c>
    </row>
    <row r="18" spans="1:31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452</v>
      </c>
      <c r="E18" s="164" t="s">
        <v>255</v>
      </c>
      <c r="F18" s="164" t="s">
        <v>152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3">
        <f t="shared" si="18"/>
        <v>11953.247509600898</v>
      </c>
      <c r="AA18" s="243">
        <f t="shared" si="4"/>
        <v>2688.4016064570783</v>
      </c>
      <c r="AB18" s="243">
        <f t="shared" si="0"/>
        <v>5538.9705758640803</v>
      </c>
      <c r="AC18" s="243">
        <f t="shared" si="1"/>
        <v>1477.0588202304216</v>
      </c>
      <c r="AD18" s="243">
        <f t="shared" si="5"/>
        <v>16.174051670919301</v>
      </c>
      <c r="AE18" s="244">
        <f t="shared" si="6"/>
        <v>5.7977524909193026</v>
      </c>
    </row>
    <row r="19" spans="1:31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452</v>
      </c>
      <c r="E19" s="164" t="s">
        <v>255</v>
      </c>
      <c r="F19" s="164" t="s">
        <v>153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3">
        <f t="shared" si="18"/>
        <v>8734.1056959505531</v>
      </c>
      <c r="AA19" s="243">
        <f t="shared" si="4"/>
        <v>1964.3853074321034</v>
      </c>
      <c r="AB19" s="243">
        <f t="shared" si="0"/>
        <v>4047.2645126355496</v>
      </c>
      <c r="AC19" s="243">
        <f t="shared" si="1"/>
        <v>1079.2705367028132</v>
      </c>
      <c r="AD19" s="243">
        <f t="shared" si="5"/>
        <v>11.818200594617444</v>
      </c>
      <c r="AE19" s="244">
        <f t="shared" si="6"/>
        <v>4.2363535946174444</v>
      </c>
    </row>
    <row r="20" spans="1:31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452</v>
      </c>
      <c r="E20" s="164" t="s">
        <v>255</v>
      </c>
      <c r="F20" s="164" t="s">
        <v>152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3">
        <f t="shared" si="18"/>
        <v>9882.0167302754817</v>
      </c>
      <c r="AA20" s="243">
        <f t="shared" si="4"/>
        <v>2222.5616621231798</v>
      </c>
      <c r="AB20" s="243">
        <f t="shared" si="0"/>
        <v>4579.1907057247927</v>
      </c>
      <c r="AC20" s="243">
        <f t="shared" si="1"/>
        <v>1221.1175215266114</v>
      </c>
      <c r="AD20" s="243">
        <f t="shared" si="5"/>
        <v>13.371449815624306</v>
      </c>
      <c r="AE20" s="244">
        <f t="shared" si="6"/>
        <v>4.7931314956243067</v>
      </c>
    </row>
    <row r="21" spans="1:31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452</v>
      </c>
      <c r="E21" s="164" t="s">
        <v>256</v>
      </c>
      <c r="F21" s="164" t="s">
        <v>151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3">
        <f>((0.942-0.1*(L21^0.5)-0.0008*(M21^0.5))^2)*H21</f>
        <v>19635.157364915027</v>
      </c>
      <c r="AA21" s="243">
        <f t="shared" si="4"/>
        <v>3263.7337596489265</v>
      </c>
      <c r="AB21" s="243">
        <f t="shared" si="0"/>
        <v>7646.6328628423507</v>
      </c>
      <c r="AC21" s="243">
        <f t="shared" si="1"/>
        <v>2039.1020967579605</v>
      </c>
      <c r="AD21" s="243">
        <f t="shared" si="5"/>
        <v>21.582447865415396</v>
      </c>
      <c r="AE21" s="244">
        <f t="shared" si="6"/>
        <v>7.9134608454153987</v>
      </c>
    </row>
    <row r="22" spans="1:31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452</v>
      </c>
      <c r="E22" s="164" t="s">
        <v>256</v>
      </c>
      <c r="F22" s="164" t="s">
        <v>150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3">
        <f t="shared" ref="Z22:Z28" si="19">((0.942-0.1*(L22^0.5)-0.0008*(M22^0.5))^2)*H22</f>
        <v>23151.437526936261</v>
      </c>
      <c r="AA22" s="243">
        <f t="shared" si="4"/>
        <v>3848.2058909331236</v>
      </c>
      <c r="AB22" s="243">
        <f t="shared" si="0"/>
        <v>9015.9981774242624</v>
      </c>
      <c r="AC22" s="243">
        <f t="shared" si="1"/>
        <v>2404.2661806464703</v>
      </c>
      <c r="AD22" s="243">
        <f t="shared" si="5"/>
        <v>25.447450415006429</v>
      </c>
      <c r="AE22" s="244">
        <f t="shared" si="6"/>
        <v>9.3306099350064322</v>
      </c>
    </row>
    <row r="23" spans="1:31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452</v>
      </c>
      <c r="E23" s="164" t="s">
        <v>256</v>
      </c>
      <c r="F23" s="164" t="s">
        <v>151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3">
        <f t="shared" si="19"/>
        <v>16896.815291836545</v>
      </c>
      <c r="AA23" s="243">
        <f t="shared" si="4"/>
        <v>2808.5696220116747</v>
      </c>
      <c r="AB23" s="243">
        <f t="shared" si="0"/>
        <v>6580.224476265289</v>
      </c>
      <c r="AC23" s="243">
        <f t="shared" si="1"/>
        <v>1754.7265270040771</v>
      </c>
      <c r="AD23" s="243">
        <f t="shared" si="5"/>
        <v>18.5725343754684</v>
      </c>
      <c r="AE23" s="244">
        <f t="shared" si="6"/>
        <v>6.8098403154684028</v>
      </c>
    </row>
    <row r="24" spans="1:31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452</v>
      </c>
      <c r="E24" s="164" t="s">
        <v>256</v>
      </c>
      <c r="F24" s="164" t="s">
        <v>150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3">
        <f t="shared" si="19"/>
        <v>17705.870904337004</v>
      </c>
      <c r="AA24" s="243">
        <f t="shared" si="4"/>
        <v>2943.0499354044991</v>
      </c>
      <c r="AB24" s="243">
        <f t="shared" si="0"/>
        <v>6895.2996813903292</v>
      </c>
      <c r="AC24" s="243">
        <f t="shared" si="1"/>
        <v>1838.7465817040879</v>
      </c>
      <c r="AD24" s="243">
        <f t="shared" si="5"/>
        <v>19.461826997498196</v>
      </c>
      <c r="AE24" s="244">
        <f t="shared" si="6"/>
        <v>7.1359100174981993</v>
      </c>
    </row>
    <row r="25" spans="1:31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452</v>
      </c>
      <c r="E25" s="164" t="s">
        <v>257</v>
      </c>
      <c r="F25" s="164" t="s">
        <v>149</v>
      </c>
      <c r="G25" s="164" t="str">
        <f t="shared" si="2"/>
        <v>Tractor (120-139 hp) 2WD 130</v>
      </c>
      <c r="H25" s="29">
        <v>99699.389999999985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4272.8309999999992</v>
      </c>
      <c r="R25" s="7">
        <f t="shared" si="10"/>
        <v>7.1213849999999983</v>
      </c>
      <c r="S25" s="2">
        <f t="shared" si="11"/>
        <v>19939.877999999997</v>
      </c>
      <c r="T25" s="2">
        <f t="shared" si="12"/>
        <v>5697.1079999999993</v>
      </c>
      <c r="U25" s="2">
        <f t="shared" si="13"/>
        <v>59819.633999999991</v>
      </c>
      <c r="V25" s="6">
        <f t="shared" si="14"/>
        <v>5383.7670599999992</v>
      </c>
      <c r="W25" s="6">
        <f t="shared" si="15"/>
        <v>1435.6712159999997</v>
      </c>
      <c r="X25" s="6">
        <f t="shared" si="16"/>
        <v>12516.546275999997</v>
      </c>
      <c r="Y25" s="5">
        <f t="shared" si="17"/>
        <v>20.860910459999996</v>
      </c>
      <c r="Z25" s="243">
        <f t="shared" si="19"/>
        <v>29966.175186074754</v>
      </c>
      <c r="AA25" s="243">
        <f t="shared" si="4"/>
        <v>4980.9439152803743</v>
      </c>
      <c r="AB25" s="243">
        <f t="shared" si="0"/>
        <v>11669.900866746726</v>
      </c>
      <c r="AC25" s="243">
        <f t="shared" si="1"/>
        <v>3111.9735644657935</v>
      </c>
      <c r="AD25" s="243">
        <f t="shared" si="5"/>
        <v>32.938030577488149</v>
      </c>
      <c r="AE25" s="244">
        <f t="shared" si="6"/>
        <v>12.077120117488153</v>
      </c>
    </row>
    <row r="26" spans="1:31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452</v>
      </c>
      <c r="E26" s="164" t="s">
        <v>257</v>
      </c>
      <c r="F26" s="164" t="s">
        <v>148</v>
      </c>
      <c r="G26" s="164" t="str">
        <f t="shared" si="2"/>
        <v>Tractor (120-139 hp) MFWD 130</v>
      </c>
      <c r="H26" s="29">
        <v>118024.19999999998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5058.1799999999994</v>
      </c>
      <c r="R26" s="7">
        <f t="shared" si="10"/>
        <v>8.430299999999999</v>
      </c>
      <c r="S26" s="2">
        <f t="shared" si="11"/>
        <v>23604.839999999997</v>
      </c>
      <c r="T26" s="2">
        <f t="shared" si="12"/>
        <v>6744.2399999999989</v>
      </c>
      <c r="U26" s="2">
        <f t="shared" si="13"/>
        <v>70814.51999999999</v>
      </c>
      <c r="V26" s="6">
        <f t="shared" si="14"/>
        <v>6373.3067999999985</v>
      </c>
      <c r="W26" s="6">
        <f t="shared" si="15"/>
        <v>1699.5484799999997</v>
      </c>
      <c r="X26" s="6">
        <f t="shared" si="16"/>
        <v>14817.095279999996</v>
      </c>
      <c r="Y26" s="5">
        <f t="shared" si="17"/>
        <v>24.695158799999994</v>
      </c>
      <c r="Z26" s="243">
        <f t="shared" si="19"/>
        <v>35473.976855789428</v>
      </c>
      <c r="AA26" s="243">
        <f t="shared" si="4"/>
        <v>5896.4445103007538</v>
      </c>
      <c r="AB26" s="243">
        <f t="shared" si="0"/>
        <v>13814.835917021046</v>
      </c>
      <c r="AC26" s="243">
        <f t="shared" si="1"/>
        <v>3683.9562445389461</v>
      </c>
      <c r="AD26" s="243">
        <f t="shared" si="5"/>
        <v>38.992061119767911</v>
      </c>
      <c r="AE26" s="244">
        <f t="shared" si="6"/>
        <v>14.296902319767916</v>
      </c>
    </row>
    <row r="27" spans="1:31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452</v>
      </c>
      <c r="E27" s="164" t="s">
        <v>258</v>
      </c>
      <c r="F27" s="164" t="s">
        <v>147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3">
        <f t="shared" si="19"/>
        <v>39519.254918291728</v>
      </c>
      <c r="AA27" s="243">
        <f t="shared" si="4"/>
        <v>6568.846077264875</v>
      </c>
      <c r="AB27" s="243">
        <f t="shared" si="0"/>
        <v>15390.211942646252</v>
      </c>
      <c r="AC27" s="243">
        <f t="shared" si="1"/>
        <v>4104.0565180390013</v>
      </c>
      <c r="AD27" s="243">
        <f t="shared" si="5"/>
        <v>43.438524229916879</v>
      </c>
      <c r="AE27" s="244">
        <f t="shared" si="6"/>
        <v>15.92725082991689</v>
      </c>
    </row>
    <row r="28" spans="1:31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452</v>
      </c>
      <c r="E28" s="164" t="s">
        <v>258</v>
      </c>
      <c r="F28" s="164" t="s">
        <v>146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3">
        <f t="shared" si="19"/>
        <v>44498.058687525343</v>
      </c>
      <c r="AA28" s="243">
        <f t="shared" si="4"/>
        <v>7396.4172366053326</v>
      </c>
      <c r="AB28" s="243">
        <f t="shared" si="0"/>
        <v>17329.13628187728</v>
      </c>
      <c r="AC28" s="243">
        <f t="shared" si="1"/>
        <v>4621.1030085006078</v>
      </c>
      <c r="AD28" s="243">
        <f t="shared" si="5"/>
        <v>48.911094211638698</v>
      </c>
      <c r="AE28" s="244">
        <f t="shared" si="6"/>
        <v>17.9338336116387</v>
      </c>
    </row>
    <row r="29" spans="1:31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452</v>
      </c>
      <c r="E29" s="164" t="s">
        <v>259</v>
      </c>
      <c r="F29" s="164" t="s">
        <v>145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3">
        <f>((0.976-0.119*(L29^0.5)-0.0019*(M29^0.5))^2)*H29</f>
        <v>37865.596787051727</v>
      </c>
      <c r="AA29" s="243">
        <f t="shared" si="4"/>
        <v>8831.5145152105888</v>
      </c>
      <c r="AB29" s="243">
        <f t="shared" si="0"/>
        <v>17943.515710834654</v>
      </c>
      <c r="AC29" s="243">
        <f t="shared" si="1"/>
        <v>4784.9375228892413</v>
      </c>
      <c r="AD29" s="243">
        <f t="shared" si="5"/>
        <v>52.599946248224143</v>
      </c>
      <c r="AE29" s="244">
        <f t="shared" si="6"/>
        <v>18.806571048224143</v>
      </c>
    </row>
    <row r="30" spans="1:31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452</v>
      </c>
      <c r="E30" s="164" t="s">
        <v>259</v>
      </c>
      <c r="F30" s="164" t="s">
        <v>144</v>
      </c>
      <c r="G30" s="164" t="str">
        <f t="shared" si="2"/>
        <v>Tractor (160-179 hp) MFWD 170</v>
      </c>
      <c r="H30" s="222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3">
        <f t="shared" ref="Z30:Z40" si="20">((0.976-0.119*(L30^0.5)-0.0019*(M30^0.5))^2)*H30</f>
        <v>37865.596787051727</v>
      </c>
      <c r="AA30" s="243">
        <f t="shared" si="4"/>
        <v>8831.5145152105888</v>
      </c>
      <c r="AB30" s="243">
        <f t="shared" si="0"/>
        <v>17943.515710834654</v>
      </c>
      <c r="AC30" s="243">
        <f t="shared" si="1"/>
        <v>4784.9375228892413</v>
      </c>
      <c r="AD30" s="243">
        <f t="shared" si="5"/>
        <v>52.599946248224143</v>
      </c>
      <c r="AE30" s="244">
        <f t="shared" si="6"/>
        <v>18.806571048224143</v>
      </c>
    </row>
    <row r="31" spans="1:31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452</v>
      </c>
      <c r="E31" s="164" t="s">
        <v>260</v>
      </c>
      <c r="F31" s="164" t="s">
        <v>143</v>
      </c>
      <c r="G31" s="164" t="str">
        <f t="shared" si="2"/>
        <v>Tractor (180-199 hp) MFWD 190</v>
      </c>
      <c r="H31" s="29">
        <v>172895.09999999998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7409.7899999999991</v>
      </c>
      <c r="R31" s="7">
        <f t="shared" si="10"/>
        <v>12.349649999999999</v>
      </c>
      <c r="S31" s="2">
        <f t="shared" si="11"/>
        <v>34579.019999999997</v>
      </c>
      <c r="T31" s="2">
        <f t="shared" si="12"/>
        <v>9879.7199999999993</v>
      </c>
      <c r="U31" s="2">
        <f t="shared" si="13"/>
        <v>103737.05999999998</v>
      </c>
      <c r="V31" s="6">
        <f>U31*intir</f>
        <v>9336.3353999999981</v>
      </c>
      <c r="W31" s="6">
        <f t="shared" si="15"/>
        <v>2489.6894399999996</v>
      </c>
      <c r="X31" s="6">
        <f t="shared" si="16"/>
        <v>21705.744839999996</v>
      </c>
      <c r="Y31" s="5">
        <f t="shared" si="17"/>
        <v>36.176241399999995</v>
      </c>
      <c r="Z31" s="243">
        <f t="shared" si="20"/>
        <v>40535.60681690793</v>
      </c>
      <c r="AA31" s="243">
        <f t="shared" si="4"/>
        <v>9454.2495130780026</v>
      </c>
      <c r="AB31" s="243">
        <f t="shared" si="0"/>
        <v>19208.763613521711</v>
      </c>
      <c r="AC31" s="243">
        <f t="shared" si="1"/>
        <v>5122.3369636057896</v>
      </c>
      <c r="AD31" s="243">
        <f t="shared" si="5"/>
        <v>56.30891681700917</v>
      </c>
      <c r="AE31" s="244">
        <f t="shared" si="6"/>
        <v>20.132675417009175</v>
      </c>
    </row>
    <row r="32" spans="1:31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452</v>
      </c>
      <c r="E32" s="164" t="s">
        <v>261</v>
      </c>
      <c r="F32" s="164" t="s">
        <v>142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3">
        <f t="shared" si="20"/>
        <v>54856.569704318521</v>
      </c>
      <c r="AA32" s="243">
        <f t="shared" si="4"/>
        <v>12794.373592548674</v>
      </c>
      <c r="AB32" s="243">
        <f t="shared" si="0"/>
        <v>25995.093273388666</v>
      </c>
      <c r="AC32" s="243">
        <f t="shared" si="1"/>
        <v>6932.0248729036448</v>
      </c>
      <c r="AD32" s="243">
        <f t="shared" si="5"/>
        <v>76.20248623140165</v>
      </c>
      <c r="AE32" s="244">
        <f t="shared" si="6"/>
        <v>27.245417031401658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452</v>
      </c>
      <c r="E33" s="164" t="s">
        <v>261</v>
      </c>
      <c r="F33" s="164" t="s">
        <v>141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3">
        <f t="shared" si="20"/>
        <v>67235.707115470053</v>
      </c>
      <c r="AA33" s="243">
        <f t="shared" si="4"/>
        <v>15681.599491752137</v>
      </c>
      <c r="AB33" s="243">
        <f t="shared" si="0"/>
        <v>31861.242640392305</v>
      </c>
      <c r="AC33" s="243">
        <f t="shared" si="1"/>
        <v>8496.3313707712823</v>
      </c>
      <c r="AD33" s="243">
        <f t="shared" si="5"/>
        <v>93.398622504859532</v>
      </c>
      <c r="AE33" s="244">
        <f t="shared" si="6"/>
        <v>33.393719104859542</v>
      </c>
    </row>
    <row r="34" spans="1:31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452</v>
      </c>
      <c r="E34" s="164" t="s">
        <v>262</v>
      </c>
      <c r="F34" s="164" t="s">
        <v>140</v>
      </c>
      <c r="G34" s="164" t="str">
        <f t="shared" si="2"/>
        <v>Tractor (250-349 hp) 4WD 300</v>
      </c>
      <c r="H34" s="222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3">
        <f t="shared" si="20"/>
        <v>67235.707115470053</v>
      </c>
      <c r="AA34" s="243">
        <f t="shared" si="4"/>
        <v>15681.599491752137</v>
      </c>
      <c r="AB34" s="243">
        <f t="shared" si="0"/>
        <v>31861.242640392305</v>
      </c>
      <c r="AC34" s="243">
        <f t="shared" si="1"/>
        <v>8496.3313707712823</v>
      </c>
      <c r="AD34" s="243">
        <f t="shared" si="5"/>
        <v>93.398622504859532</v>
      </c>
      <c r="AE34" s="244">
        <f t="shared" si="6"/>
        <v>33.393719104859542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452</v>
      </c>
      <c r="E35" s="164" t="s">
        <v>262</v>
      </c>
      <c r="F35" s="164" t="s">
        <v>139</v>
      </c>
      <c r="G35" s="164" t="str">
        <f t="shared" si="2"/>
        <v>Tractor (250-349 hp) MFWD 300</v>
      </c>
      <c r="H35" s="222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3">
        <f t="shared" si="20"/>
        <v>68206.619853599579</v>
      </c>
      <c r="AA35" s="243">
        <f t="shared" si="4"/>
        <v>15908.048581885743</v>
      </c>
      <c r="AB35" s="243">
        <f t="shared" si="0"/>
        <v>32321.332786823961</v>
      </c>
      <c r="AC35" s="243">
        <f t="shared" si="1"/>
        <v>8619.0220764863898</v>
      </c>
      <c r="AD35" s="243">
        <f t="shared" si="5"/>
        <v>94.747339075326835</v>
      </c>
      <c r="AE35" s="244">
        <f t="shared" si="6"/>
        <v>33.875938875326845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452</v>
      </c>
      <c r="E36" s="164" t="s">
        <v>262</v>
      </c>
      <c r="F36" s="164" t="s">
        <v>138</v>
      </c>
      <c r="G36" s="164" t="str">
        <f t="shared" si="2"/>
        <v>Tractor (250-349 hp) Track 300</v>
      </c>
      <c r="H36" s="222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3">
        <f t="shared" si="20"/>
        <v>65779.33800827575</v>
      </c>
      <c r="AA36" s="243">
        <f t="shared" si="4"/>
        <v>15341.925856551732</v>
      </c>
      <c r="AB36" s="243">
        <f t="shared" si="0"/>
        <v>31171.107420744818</v>
      </c>
      <c r="AC36" s="243">
        <f t="shared" si="1"/>
        <v>8312.2953121986193</v>
      </c>
      <c r="AD36" s="243">
        <f t="shared" si="5"/>
        <v>91.375547649158619</v>
      </c>
      <c r="AE36" s="244">
        <f t="shared" si="6"/>
        <v>32.670389449158627</v>
      </c>
    </row>
    <row r="37" spans="1:31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452</v>
      </c>
      <c r="E37" s="164" t="s">
        <v>263</v>
      </c>
      <c r="F37" s="164" t="s">
        <v>137</v>
      </c>
      <c r="G37" s="164" t="str">
        <f t="shared" si="2"/>
        <v>Tractor (350-449 hp) 4WD 400</v>
      </c>
      <c r="H37" s="222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3">
        <f t="shared" si="20"/>
        <v>75973.921758635828</v>
      </c>
      <c r="AA37" s="243">
        <f t="shared" si="4"/>
        <v>17719.64130295458</v>
      </c>
      <c r="AB37" s="243">
        <f t="shared" si="0"/>
        <v>36002.053958277218</v>
      </c>
      <c r="AC37" s="243">
        <f t="shared" si="1"/>
        <v>9600.5477222072604</v>
      </c>
      <c r="AD37" s="243">
        <f t="shared" si="5"/>
        <v>105.53707163906509</v>
      </c>
      <c r="AE37" s="244">
        <f t="shared" si="6"/>
        <v>37.733697039065106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452</v>
      </c>
      <c r="E38" s="164" t="s">
        <v>263</v>
      </c>
      <c r="F38" s="164" t="s">
        <v>136</v>
      </c>
      <c r="G38" s="164" t="str">
        <f t="shared" si="2"/>
        <v>Tractor (350-449 hp) Track 400</v>
      </c>
      <c r="H38" s="222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3">
        <f t="shared" si="20"/>
        <v>88353.059169787346</v>
      </c>
      <c r="AA38" s="243">
        <f t="shared" si="4"/>
        <v>20606.867202158046</v>
      </c>
      <c r="AB38" s="243">
        <f t="shared" si="0"/>
        <v>41868.203325280854</v>
      </c>
      <c r="AC38" s="243">
        <f t="shared" si="1"/>
        <v>11164.854220074894</v>
      </c>
      <c r="AD38" s="243">
        <f t="shared" si="5"/>
        <v>122.733207912523</v>
      </c>
      <c r="AE38" s="244">
        <f t="shared" si="6"/>
        <v>43.881999112523019</v>
      </c>
    </row>
    <row r="39" spans="1:31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452</v>
      </c>
      <c r="E39" s="164" t="s">
        <v>264</v>
      </c>
      <c r="F39" s="164" t="s">
        <v>135</v>
      </c>
      <c r="G39" s="164" t="str">
        <f t="shared" si="2"/>
        <v>Tractor (450-550 hp) 4WD 500</v>
      </c>
      <c r="H39" s="222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3">
        <f t="shared" si="20"/>
        <v>96848.545628420747</v>
      </c>
      <c r="AA39" s="243">
        <f t="shared" si="4"/>
        <v>22588.296740827085</v>
      </c>
      <c r="AB39" s="243">
        <f t="shared" si="0"/>
        <v>45893.992106557867</v>
      </c>
      <c r="AC39" s="243">
        <f t="shared" si="1"/>
        <v>12238.397895082098</v>
      </c>
      <c r="AD39" s="243">
        <f t="shared" si="5"/>
        <v>134.53447790411175</v>
      </c>
      <c r="AE39" s="244">
        <f t="shared" si="6"/>
        <v>48.101422104111762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452</v>
      </c>
      <c r="E40" s="164" t="s">
        <v>264</v>
      </c>
      <c r="F40" s="164" t="s">
        <v>134</v>
      </c>
      <c r="G40" s="164" t="str">
        <f t="shared" si="2"/>
        <v>Tractor (450-550 hp) Track 500</v>
      </c>
      <c r="H40" s="222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3">
        <f t="shared" si="20"/>
        <v>87624.874616190209</v>
      </c>
      <c r="AA40" s="243">
        <f t="shared" si="4"/>
        <v>20437.030384557842</v>
      </c>
      <c r="AB40" s="243">
        <f t="shared" si="0"/>
        <v>41523.135715457116</v>
      </c>
      <c r="AC40" s="243">
        <f t="shared" si="1"/>
        <v>11072.836190788565</v>
      </c>
      <c r="AD40" s="243">
        <f t="shared" si="5"/>
        <v>121.72167048467256</v>
      </c>
      <c r="AE40" s="244">
        <f t="shared" si="6"/>
        <v>43.520334284672558</v>
      </c>
    </row>
    <row r="41" spans="1:31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452</v>
      </c>
      <c r="E41" s="164" t="s">
        <v>213</v>
      </c>
      <c r="F41" s="164" t="s">
        <v>133</v>
      </c>
      <c r="G41" s="164" t="str">
        <f t="shared" si="2"/>
        <v>Utility Vehicle 500 CC</v>
      </c>
      <c r="H41" s="222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3">
        <f>((0.786-0.063*(L41^0.5)-0.0033*(M41^0.5))^2)*H41</f>
        <v>1706.720041613072</v>
      </c>
      <c r="AA41" s="243">
        <f t="shared" si="4"/>
        <v>358.76642559906622</v>
      </c>
      <c r="AB41" s="243">
        <f t="shared" si="0"/>
        <v>759.25530374517643</v>
      </c>
      <c r="AC41" s="243">
        <f t="shared" si="1"/>
        <v>202.46808099871373</v>
      </c>
      <c r="AD41" s="243">
        <f t="shared" si="5"/>
        <v>6.6024490517147818</v>
      </c>
      <c r="AE41" s="244">
        <f t="shared" si="6"/>
        <v>2.4268253267147832</v>
      </c>
    </row>
    <row r="42" spans="1:31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452</v>
      </c>
      <c r="E42" s="164" t="s">
        <v>213</v>
      </c>
      <c r="F42" s="164" t="s">
        <v>132</v>
      </c>
      <c r="G42" s="164" t="str">
        <f t="shared" si="2"/>
        <v>Utility Vehicle 600 CC</v>
      </c>
      <c r="H42" s="222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3">
        <f t="shared" ref="Z42:Z43" si="21">((0.786-0.063*(L42^0.5)-0.0033*(M42^0.5))^2)*H42</f>
        <v>3019.5816120846662</v>
      </c>
      <c r="AA42" s="243">
        <f t="shared" si="4"/>
        <v>634.74059913680946</v>
      </c>
      <c r="AB42" s="243">
        <f t="shared" si="0"/>
        <v>1343.2978450876199</v>
      </c>
      <c r="AC42" s="243">
        <f t="shared" si="1"/>
        <v>358.21275869003199</v>
      </c>
      <c r="AD42" s="243">
        <f t="shared" si="5"/>
        <v>11.681256014572307</v>
      </c>
      <c r="AE42" s="244">
        <f t="shared" si="6"/>
        <v>4.2936140395723079</v>
      </c>
    </row>
    <row r="43" spans="1:31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452</v>
      </c>
      <c r="E43" s="164" t="s">
        <v>213</v>
      </c>
      <c r="F43" s="164" t="s">
        <v>131</v>
      </c>
      <c r="G43" s="164" t="str">
        <f t="shared" si="2"/>
        <v>Utility Vehicle 800 CC</v>
      </c>
      <c r="H43" s="222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3">
        <f t="shared" si="21"/>
        <v>3754.7840915487591</v>
      </c>
      <c r="AA43" s="243">
        <f t="shared" si="4"/>
        <v>789.28613631794565</v>
      </c>
      <c r="AB43" s="243">
        <f t="shared" si="0"/>
        <v>1670.3616682393881</v>
      </c>
      <c r="AC43" s="243">
        <f t="shared" si="1"/>
        <v>445.42977819717021</v>
      </c>
      <c r="AD43" s="243">
        <f t="shared" si="5"/>
        <v>14.525387913772519</v>
      </c>
      <c r="AE43" s="244">
        <f t="shared" si="6"/>
        <v>5.3390157187725205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2" bestFit="1" customWidth="1"/>
    <col min="9" max="9" width="6.42578125" style="28" bestFit="1" customWidth="1"/>
    <col min="10" max="11" width="5.42578125" style="1" bestFit="1" customWidth="1"/>
    <col min="12" max="12" width="3" style="1" bestFit="1" customWidth="1"/>
    <col min="13" max="13" width="7.42578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42578125" style="1" bestFit="1" customWidth="1"/>
    <col min="19" max="20" width="5.28515625" style="1" bestFit="1" customWidth="1"/>
    <col min="21" max="22" width="4.42578125" style="1" bestFit="1" customWidth="1"/>
    <col min="23" max="23" width="9.28515625" style="1" bestFit="1" customWidth="1"/>
    <col min="24" max="24" width="8.42578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">
      <c r="A1" s="278" t="s">
        <v>457</v>
      </c>
      <c r="B1" s="278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6" t="s">
        <v>128</v>
      </c>
      <c r="T2" s="276"/>
      <c r="U2" s="276"/>
      <c r="V2" s="276"/>
      <c r="W2" s="276"/>
      <c r="X2" s="276"/>
      <c r="Y2" s="277" t="s">
        <v>127</v>
      </c>
      <c r="Z2" s="277"/>
    </row>
    <row r="3" spans="1:36" s="15" customFormat="1" ht="10.35" customHeight="1" x14ac:dyDescent="0.15">
      <c r="A3" s="26" t="s">
        <v>451</v>
      </c>
      <c r="B3" s="26" t="s">
        <v>125</v>
      </c>
      <c r="C3" s="166" t="s">
        <v>126</v>
      </c>
      <c r="D3" s="166" t="s">
        <v>453</v>
      </c>
      <c r="E3" s="167" t="s">
        <v>124</v>
      </c>
      <c r="F3" s="167" t="s">
        <v>123</v>
      </c>
      <c r="G3" s="167" t="s">
        <v>454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9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94" t="s">
        <v>98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452</v>
      </c>
      <c r="E4" s="185" t="s">
        <v>214</v>
      </c>
      <c r="F4" s="185" t="s">
        <v>225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452</v>
      </c>
      <c r="E5" s="185" t="s">
        <v>214</v>
      </c>
      <c r="F5" s="185" t="s">
        <v>226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452</v>
      </c>
      <c r="E6" s="185" t="s">
        <v>214</v>
      </c>
      <c r="F6" s="185" t="s">
        <v>227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452</v>
      </c>
      <c r="E7" s="185" t="s">
        <v>214</v>
      </c>
      <c r="F7" s="185" t="s">
        <v>228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452</v>
      </c>
      <c r="E8" s="185" t="s">
        <v>214</v>
      </c>
      <c r="F8" s="185" t="s">
        <v>229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452</v>
      </c>
      <c r="E9" s="185" t="s">
        <v>214</v>
      </c>
      <c r="F9" s="185" t="s">
        <v>230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452</v>
      </c>
      <c r="E10" s="185" t="s">
        <v>214</v>
      </c>
      <c r="F10" s="185" t="s">
        <v>231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452</v>
      </c>
      <c r="E11" s="185" t="s">
        <v>214</v>
      </c>
      <c r="F11" s="185" t="s">
        <v>232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452</v>
      </c>
      <c r="E12" s="185" t="s">
        <v>214</v>
      </c>
      <c r="F12" s="185" t="s">
        <v>233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452</v>
      </c>
      <c r="E13" s="185" t="s">
        <v>215</v>
      </c>
      <c r="F13" s="185" t="s">
        <v>234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452</v>
      </c>
      <c r="E14" s="185" t="s">
        <v>215</v>
      </c>
      <c r="F14" s="185" t="s">
        <v>235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452</v>
      </c>
      <c r="E15" s="185" t="s">
        <v>215</v>
      </c>
      <c r="F15" s="185" t="s">
        <v>236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452</v>
      </c>
      <c r="E16" s="185" t="s">
        <v>215</v>
      </c>
      <c r="F16" s="185" t="s">
        <v>237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452</v>
      </c>
      <c r="E17" s="185" t="s">
        <v>215</v>
      </c>
      <c r="F17" s="185" t="s">
        <v>238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2" customFormat="1" x14ac:dyDescent="0.2">
      <c r="A18" s="222">
        <v>107</v>
      </c>
      <c r="B18" s="222" t="str">
        <f t="shared" si="13"/>
        <v xml:space="preserve">0.15, Backhoe 2WD Cab </v>
      </c>
      <c r="C18" s="164">
        <v>0.15</v>
      </c>
      <c r="D18" s="164" t="s">
        <v>452</v>
      </c>
      <c r="E18" s="185" t="s">
        <v>467</v>
      </c>
      <c r="F18" s="185" t="s">
        <v>466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6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452</v>
      </c>
      <c r="E19" s="185" t="s">
        <v>216</v>
      </c>
      <c r="F19" s="185" t="s">
        <v>239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452</v>
      </c>
      <c r="E20" s="185" t="s">
        <v>217</v>
      </c>
      <c r="F20" s="185" t="s">
        <v>240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452</v>
      </c>
      <c r="E21" s="186" t="s">
        <v>218</v>
      </c>
      <c r="F21" s="186" t="s">
        <v>241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452</v>
      </c>
      <c r="E22" s="185" t="s">
        <v>218</v>
      </c>
      <c r="F22" s="185" t="s">
        <v>242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452</v>
      </c>
      <c r="E23" s="185" t="s">
        <v>219</v>
      </c>
      <c r="F23" s="185" t="s">
        <v>243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452</v>
      </c>
      <c r="E24" s="185" t="s">
        <v>220</v>
      </c>
      <c r="F24" s="185" t="s">
        <v>244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452</v>
      </c>
      <c r="E25" s="185" t="s">
        <v>220</v>
      </c>
      <c r="F25" s="185" t="s">
        <v>245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452</v>
      </c>
      <c r="E26" s="185" t="s">
        <v>221</v>
      </c>
      <c r="F26" s="185" t="s">
        <v>246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452</v>
      </c>
      <c r="E27" s="185" t="s">
        <v>221</v>
      </c>
      <c r="F27" s="185" t="s">
        <v>247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452</v>
      </c>
      <c r="E28" s="185" t="s">
        <v>222</v>
      </c>
      <c r="F28" s="185" t="s">
        <v>248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452</v>
      </c>
      <c r="E29" s="185" t="s">
        <v>223</v>
      </c>
      <c r="F29" s="185" t="s">
        <v>249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452</v>
      </c>
      <c r="E30" s="185" t="s">
        <v>224</v>
      </c>
      <c r="F30" s="185" t="s">
        <v>250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452</v>
      </c>
      <c r="E31" s="185" t="s">
        <v>213</v>
      </c>
      <c r="F31" s="185" t="s">
        <v>251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452</v>
      </c>
      <c r="E32" s="185" t="s">
        <v>213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2">
      <c r="D33" s="164" t="s">
        <v>452</v>
      </c>
      <c r="G33" s="164" t="str">
        <f t="shared" si="14"/>
        <v/>
      </c>
    </row>
    <row r="34" spans="4:7" x14ac:dyDescent="0.2">
      <c r="D34" s="164" t="s">
        <v>452</v>
      </c>
      <c r="G34" s="164" t="str">
        <f t="shared" si="14"/>
        <v/>
      </c>
    </row>
    <row r="35" spans="4:7" x14ac:dyDescent="0.2">
      <c r="D35" s="164" t="s">
        <v>452</v>
      </c>
      <c r="G35" s="164" t="str">
        <f t="shared" si="14"/>
        <v/>
      </c>
    </row>
    <row r="36" spans="4:7" x14ac:dyDescent="0.2">
      <c r="D36" s="164" t="s">
        <v>452</v>
      </c>
      <c r="G36" s="164" t="str">
        <f t="shared" si="14"/>
        <v/>
      </c>
    </row>
    <row r="37" spans="4:7" x14ac:dyDescent="0.2">
      <c r="D37" s="164" t="s">
        <v>452</v>
      </c>
      <c r="G37" s="164" t="str">
        <f t="shared" si="14"/>
        <v/>
      </c>
    </row>
    <row r="38" spans="4:7" x14ac:dyDescent="0.2">
      <c r="D38" s="164" t="s">
        <v>452</v>
      </c>
      <c r="G38" s="164" t="str">
        <f t="shared" si="14"/>
        <v/>
      </c>
    </row>
    <row r="39" spans="4:7" x14ac:dyDescent="0.2">
      <c r="D39" s="164" t="s">
        <v>452</v>
      </c>
      <c r="G39" s="164" t="str">
        <f t="shared" si="14"/>
        <v/>
      </c>
    </row>
    <row r="40" spans="4:7" x14ac:dyDescent="0.2">
      <c r="D40" s="164" t="s">
        <v>452</v>
      </c>
      <c r="G40" s="164" t="str">
        <f t="shared" si="14"/>
        <v/>
      </c>
    </row>
    <row r="41" spans="4:7" x14ac:dyDescent="0.2">
      <c r="D41" s="164" t="s">
        <v>452</v>
      </c>
      <c r="G41" s="164" t="str">
        <f t="shared" si="14"/>
        <v/>
      </c>
    </row>
    <row r="42" spans="4:7" x14ac:dyDescent="0.25">
      <c r="D42" s="164" t="s">
        <v>452</v>
      </c>
      <c r="G42" s="164" t="str">
        <f t="shared" si="14"/>
        <v/>
      </c>
    </row>
    <row r="43" spans="4:7" x14ac:dyDescent="0.25">
      <c r="D43" s="164" t="s">
        <v>452</v>
      </c>
      <c r="G43" s="164" t="str">
        <f t="shared" si="14"/>
        <v/>
      </c>
    </row>
    <row r="44" spans="4:7" x14ac:dyDescent="0.25">
      <c r="D44" s="164" t="s">
        <v>452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Emily Clance</cp:lastModifiedBy>
  <cp:lastPrinted>2014-01-13T20:59:28Z</cp:lastPrinted>
  <dcterms:created xsi:type="dcterms:W3CDTF">2010-11-24T19:49:39Z</dcterms:created>
  <dcterms:modified xsi:type="dcterms:W3CDTF">2017-01-27T19:53:41Z</dcterms:modified>
</cp:coreProperties>
</file>