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1775" windowHeight="1234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7" l="1"/>
  <c r="F9" i="6"/>
  <c r="D29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Y18" i="2"/>
  <c r="Z18" i="2"/>
  <c r="S18" i="2"/>
  <c r="G18" i="2"/>
  <c r="B18" i="2"/>
  <c r="AB18" i="2"/>
  <c r="AD18" i="2"/>
  <c r="AE18" i="2"/>
  <c r="AF18" i="2"/>
  <c r="AG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28" i="3"/>
  <c r="AD9" i="3"/>
  <c r="AD10" i="3"/>
  <c r="AD11" i="3"/>
  <c r="AD40" i="3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F25" i="6"/>
  <c r="G25" i="6"/>
  <c r="F36" i="6"/>
  <c r="G36" i="6"/>
  <c r="B56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9" i="6"/>
  <c r="B60" i="6"/>
  <c r="B61" i="6"/>
  <c r="B62" i="6"/>
  <c r="E57" i="6"/>
  <c r="B55" i="6"/>
  <c r="B53" i="6"/>
  <c r="G45" i="6"/>
  <c r="G44" i="6"/>
  <c r="F40" i="6"/>
  <c r="G40" i="6"/>
  <c r="F39" i="6"/>
  <c r="G39" i="6"/>
  <c r="F46" i="7"/>
  <c r="E46" i="7"/>
  <c r="E17" i="6"/>
  <c r="F17" i="6"/>
  <c r="G17" i="6"/>
  <c r="C57" i="6"/>
  <c r="G57" i="6"/>
  <c r="D57" i="6"/>
  <c r="F57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F14" i="7"/>
  <c r="E14" i="6"/>
  <c r="E13" i="6"/>
  <c r="E12" i="6"/>
  <c r="E10" i="6"/>
  <c r="F27" i="6"/>
  <c r="G27" i="6"/>
  <c r="F26" i="6"/>
  <c r="G26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25" i="7"/>
  <c r="F32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5" i="4"/>
  <c r="I5" i="4"/>
  <c r="H7" i="4"/>
  <c r="I7" i="4"/>
  <c r="H5" i="5"/>
  <c r="I5" i="5"/>
  <c r="H4" i="5"/>
  <c r="I4" i="5"/>
  <c r="R4" i="5"/>
  <c r="G77" i="6"/>
  <c r="E3" i="4"/>
  <c r="H8" i="4"/>
  <c r="I8" i="4"/>
  <c r="AC27" i="2"/>
  <c r="AD27" i="2"/>
  <c r="AB19" i="2"/>
  <c r="AB10" i="2"/>
  <c r="AC20" i="2"/>
  <c r="AD20" i="2"/>
  <c r="AC16" i="2"/>
  <c r="AD16" i="2"/>
  <c r="AB12" i="2"/>
  <c r="AC13" i="2"/>
  <c r="AC26" i="2"/>
  <c r="AD26" i="2"/>
  <c r="AD19" i="2"/>
  <c r="AE19" i="2"/>
  <c r="AF19" i="2"/>
  <c r="AG19" i="2"/>
  <c r="AD10" i="2"/>
  <c r="AE10" i="2"/>
  <c r="AC30" i="2"/>
  <c r="AD30" i="2"/>
  <c r="AE27" i="2"/>
  <c r="AE20" i="2"/>
  <c r="AF20" i="2"/>
  <c r="AG20" i="2"/>
  <c r="AC5" i="2"/>
  <c r="AC25" i="2"/>
  <c r="AD25" i="2"/>
  <c r="AC22" i="2"/>
  <c r="AD22" i="2"/>
  <c r="P6" i="4"/>
  <c r="P7" i="4"/>
  <c r="Q7" i="4"/>
  <c r="P5" i="5"/>
  <c r="Q5" i="5"/>
  <c r="R5" i="5"/>
  <c r="P8" i="4"/>
  <c r="P3" i="4"/>
  <c r="P5" i="4"/>
  <c r="Q5" i="4"/>
  <c r="P4" i="4"/>
  <c r="Q4" i="4"/>
  <c r="H3" i="4"/>
  <c r="H6" i="4"/>
  <c r="I6" i="4"/>
  <c r="AB11" i="2"/>
  <c r="AC28" i="2"/>
  <c r="AB4" i="2"/>
  <c r="AD4" i="2"/>
  <c r="AE4" i="2"/>
  <c r="AD11" i="2"/>
  <c r="AE11" i="2"/>
  <c r="AE12" i="2"/>
  <c r="AD12" i="2"/>
  <c r="AF12" i="2"/>
  <c r="AG12" i="2"/>
  <c r="AC17" i="2"/>
  <c r="AC9" i="2"/>
  <c r="AC31" i="2"/>
  <c r="AC23" i="2"/>
  <c r="AC14" i="2"/>
  <c r="AE8" i="2"/>
  <c r="AF8" i="2"/>
  <c r="AG8" i="2"/>
  <c r="AC6" i="2"/>
  <c r="AE20" i="3"/>
  <c r="AC32" i="2"/>
  <c r="AC24" i="2"/>
  <c r="AE17" i="3"/>
  <c r="AC15" i="2"/>
  <c r="AC7" i="2"/>
  <c r="AC29" i="2"/>
  <c r="AC21" i="2"/>
  <c r="AE34" i="3"/>
  <c r="AE8" i="3"/>
  <c r="AE40" i="3"/>
  <c r="AE29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27" i="2"/>
  <c r="AG27" i="2"/>
  <c r="AE16" i="2"/>
  <c r="AF16" i="2"/>
  <c r="AG16" i="2"/>
  <c r="AE22" i="2"/>
  <c r="AF22" i="2"/>
  <c r="AG22" i="2"/>
  <c r="AF10" i="2"/>
  <c r="AG10" i="2"/>
  <c r="AE11" i="3"/>
  <c r="AE42" i="3"/>
  <c r="AE24" i="3"/>
  <c r="AF4" i="2"/>
  <c r="AG4" i="2"/>
  <c r="AE25" i="2"/>
  <c r="AF25" i="2"/>
  <c r="AG25" i="2"/>
  <c r="AE26" i="2"/>
  <c r="AF26" i="2"/>
  <c r="AG26" i="2"/>
  <c r="AE13" i="2"/>
  <c r="AD13" i="2"/>
  <c r="AE15" i="3"/>
  <c r="AF11" i="2"/>
  <c r="AG11" i="2"/>
  <c r="AE30" i="3"/>
  <c r="AE18" i="3"/>
  <c r="AE14" i="3"/>
  <c r="AE5" i="2"/>
  <c r="AD5" i="2"/>
  <c r="AF5" i="2"/>
  <c r="AG5" i="2"/>
  <c r="AE30" i="2"/>
  <c r="AF30" i="2"/>
  <c r="AG30" i="2"/>
  <c r="G78" i="6"/>
  <c r="G79" i="6"/>
  <c r="R11" i="5"/>
  <c r="E23" i="6"/>
  <c r="F23" i="6"/>
  <c r="G23" i="6"/>
  <c r="S5" i="4"/>
  <c r="T5" i="4"/>
  <c r="S4" i="4"/>
  <c r="T4" i="4"/>
  <c r="AE43" i="3"/>
  <c r="AE32" i="3"/>
  <c r="K2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F14" i="2"/>
  <c r="AG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S3" i="4"/>
  <c r="AE31" i="3"/>
  <c r="G15" i="4"/>
  <c r="D24" i="6"/>
  <c r="F24" i="6"/>
  <c r="Q6" i="4"/>
  <c r="R6" i="4"/>
  <c r="G70" i="6"/>
  <c r="Q10" i="4"/>
  <c r="R10" i="4"/>
  <c r="T10" i="4"/>
  <c r="U10" i="4"/>
  <c r="O5" i="4"/>
  <c r="Q9" i="4"/>
  <c r="R9" i="4"/>
  <c r="O7" i="4"/>
  <c r="R7" i="4"/>
  <c r="G71" i="6"/>
  <c r="U9" i="4"/>
  <c r="R5" i="4"/>
  <c r="G69" i="6"/>
  <c r="R13" i="4"/>
  <c r="R11" i="4"/>
  <c r="R12" i="4"/>
  <c r="R4" i="4"/>
  <c r="G68" i="6"/>
  <c r="R8" i="4"/>
  <c r="G72" i="6"/>
  <c r="R14" i="4"/>
  <c r="I24" i="4"/>
  <c r="M24" i="4"/>
  <c r="I3" i="4"/>
  <c r="Q3" i="4"/>
  <c r="AF13" i="2"/>
  <c r="AG13" i="2"/>
  <c r="AF6" i="2"/>
  <c r="AG6" i="2"/>
  <c r="AE10" i="3"/>
  <c r="AE38" i="3"/>
  <c r="AF31" i="2"/>
  <c r="AG31" i="2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7" i="6"/>
  <c r="T3" i="4"/>
  <c r="J5" i="5"/>
  <c r="K5" i="5"/>
  <c r="J4" i="5"/>
  <c r="K4" i="5"/>
  <c r="U4" i="5"/>
  <c r="J4" i="4"/>
  <c r="AE25" i="3"/>
  <c r="S5" i="5"/>
  <c r="T5" i="5"/>
  <c r="U5" i="5"/>
  <c r="S6" i="4"/>
  <c r="T6" i="4"/>
  <c r="S8" i="4"/>
  <c r="T8" i="4"/>
  <c r="S7" i="4"/>
  <c r="T7" i="4"/>
  <c r="H77" i="6"/>
  <c r="J3" i="4"/>
  <c r="K3" i="4"/>
  <c r="M3" i="4"/>
  <c r="J6" i="4"/>
  <c r="K6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8" i="6"/>
  <c r="F28" i="6"/>
  <c r="G28" i="6"/>
  <c r="G73" i="6"/>
  <c r="U3" i="4"/>
  <c r="H67" i="6"/>
  <c r="C67" i="6"/>
  <c r="H78" i="6"/>
  <c r="H79" i="6"/>
  <c r="U11" i="5"/>
  <c r="E35" i="6"/>
  <c r="F35" i="6"/>
  <c r="G35" i="6"/>
  <c r="M8" i="4"/>
  <c r="U8" i="4"/>
  <c r="H72" i="6"/>
  <c r="F77" i="6"/>
  <c r="B77" i="6"/>
  <c r="C77" i="6"/>
  <c r="D77" i="6"/>
  <c r="U4" i="4"/>
  <c r="H68" i="6"/>
  <c r="U6" i="4"/>
  <c r="H70" i="6"/>
  <c r="U5" i="4"/>
  <c r="H69" i="6"/>
  <c r="U7" i="4"/>
  <c r="H71" i="6"/>
  <c r="G20" i="6"/>
  <c r="G30" i="6"/>
  <c r="F30" i="6"/>
  <c r="D67" i="6"/>
  <c r="E67" i="6"/>
  <c r="F67" i="6"/>
  <c r="B67" i="6"/>
  <c r="E77" i="6"/>
  <c r="B78" i="6"/>
  <c r="F78" i="6"/>
  <c r="F79" i="6"/>
  <c r="D78" i="6"/>
  <c r="C78" i="6"/>
  <c r="C72" i="6"/>
  <c r="B72" i="6"/>
  <c r="F72" i="6"/>
  <c r="D72" i="6"/>
  <c r="B71" i="6"/>
  <c r="C71" i="6"/>
  <c r="D71" i="6"/>
  <c r="F71" i="6"/>
  <c r="B70" i="6"/>
  <c r="C70" i="6"/>
  <c r="D70" i="6"/>
  <c r="F70" i="6"/>
  <c r="D69" i="6"/>
  <c r="B69" i="6"/>
  <c r="C69" i="6"/>
  <c r="F69" i="6"/>
  <c r="U15" i="4"/>
  <c r="E34" i="6"/>
  <c r="F34" i="6"/>
  <c r="G34" i="6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8" i="6"/>
  <c r="F58" i="6"/>
  <c r="C58" i="6"/>
  <c r="D59" i="6"/>
  <c r="F59" i="6"/>
  <c r="C60" i="6"/>
  <c r="E60" i="6"/>
  <c r="G60" i="6"/>
  <c r="D61" i="6"/>
  <c r="F61" i="6"/>
  <c r="C62" i="6"/>
  <c r="E62" i="6"/>
  <c r="G62" i="6"/>
  <c r="E58" i="6"/>
  <c r="G58" i="6"/>
  <c r="D37" i="6"/>
  <c r="F37" i="6"/>
  <c r="G37" i="6"/>
  <c r="D38" i="6"/>
  <c r="F38" i="6"/>
  <c r="G38" i="6"/>
  <c r="E72" i="6"/>
  <c r="E70" i="6"/>
  <c r="E78" i="6"/>
  <c r="E79" i="6"/>
  <c r="E71" i="6"/>
  <c r="E69" i="6"/>
  <c r="E68" i="6"/>
  <c r="F73" i="6"/>
  <c r="G41" i="6"/>
  <c r="G43" i="6"/>
  <c r="F41" i="6"/>
  <c r="F43" i="6"/>
  <c r="E73" i="6"/>
</calcChain>
</file>

<file path=xl/sharedStrings.xml><?xml version="1.0" encoding="utf-8"?>
<sst xmlns="http://schemas.openxmlformats.org/spreadsheetml/2006/main" count="2020" uniqueCount="533">
  <si>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</si>
  <si>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</si>
  <si>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</si>
  <si>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</si>
  <si>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</si>
  <si>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</si>
  <si>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</si>
  <si>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</si>
  <si>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</si>
  <si>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</si>
  <si>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</si>
  <si>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</si>
  <si>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</si>
  <si>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</si>
  <si>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</si>
  <si>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</si>
  <si>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</si>
  <si>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</si>
  <si>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</si>
  <si>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</si>
  <si>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</si>
  <si>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</si>
  <si>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</si>
  <si>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</si>
  <si>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</si>
  <si>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</si>
  <si>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</si>
  <si>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</si>
  <si>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</si>
  <si>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</si>
  <si>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</si>
  <si>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</si>
  <si>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</si>
  <si>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</si>
  <si>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</si>
  <si>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</si>
  <si>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</si>
  <si>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</si>
  <si>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</si>
  <si>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</si>
  <si>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</si>
  <si>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</si>
  <si>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</si>
  <si>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</si>
  <si>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</si>
  <si>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</si>
  <si>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</si>
  <si>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</si>
  <si>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</si>
  <si>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</si>
  <si>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</si>
  <si>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</si>
  <si>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</si>
  <si>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</si>
  <si>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</si>
  <si>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</si>
  <si>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</si>
  <si>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</si>
  <si>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</si>
  <si>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</si>
  <si>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</si>
  <si>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</si>
  <si>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</si>
  <si>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</si>
  <si>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</si>
  <si>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</si>
  <si>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</si>
  <si>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</si>
  <si>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</si>
  <si>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</si>
  <si>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</si>
  <si>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</si>
  <si>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</si>
  <si>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</si>
  <si>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</si>
  <si>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</si>
  <si>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</si>
  <si>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</si>
  <si>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</si>
  <si>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</si>
  <si>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</si>
  <si>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</si>
  <si>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</si>
  <si>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</si>
  <si>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</si>
  <si>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</si>
  <si>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</si>
  <si>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</si>
  <si>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</si>
  <si>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</si>
  <si>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</si>
  <si>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</si>
  <si>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</si>
  <si>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</si>
  <si>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</si>
  <si>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</si>
  <si>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</si>
  <si>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</si>
  <si>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</si>
  <si>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</si>
  <si>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</si>
  <si>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</si>
  <si>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</si>
  <si>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</si>
  <si>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</si>
  <si>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</si>
  <si>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</si>
  <si>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</si>
  <si>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</si>
  <si>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</si>
  <si>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</si>
  <si>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</si>
  <si>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</si>
  <si>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</si>
  <si>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</si>
  <si>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</si>
  <si>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</si>
  <si>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</si>
  <si>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</si>
  <si>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</si>
  <si>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</si>
  <si>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</si>
  <si>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</si>
  <si>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</si>
  <si>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</si>
  <si>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</si>
  <si>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</si>
  <si>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</si>
  <si>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</si>
  <si>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</si>
  <si>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</si>
  <si>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</si>
  <si>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</si>
  <si>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</si>
  <si>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</si>
  <si>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</si>
  <si>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</si>
  <si>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</si>
  <si>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</si>
  <si>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</si>
  <si>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</si>
  <si>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</si>
  <si>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</si>
  <si>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</si>
  <si>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</si>
  <si>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</si>
  <si>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</si>
  <si>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</si>
  <si>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</si>
  <si>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</si>
  <si>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</si>
  <si>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</si>
  <si>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</si>
  <si>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</si>
  <si>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</si>
  <si>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</si>
  <si>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</si>
  <si>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</si>
  <si>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</si>
  <si>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</si>
  <si>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</si>
  <si>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</si>
  <si>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</si>
  <si>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</si>
  <si>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</si>
  <si>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</si>
  <si>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</si>
  <si>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</si>
  <si>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</si>
  <si>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</si>
  <si>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</si>
  <si>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</si>
  <si>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</si>
  <si>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</si>
  <si>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</si>
  <si>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</si>
  <si>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</si>
  <si>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</si>
  <si>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</si>
  <si>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</si>
  <si>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</si>
  <si>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</si>
  <si>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</si>
  <si>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</si>
  <si>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</si>
  <si>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</si>
  <si>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</si>
  <si>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</si>
  <si>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</si>
  <si>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</si>
  <si>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</si>
  <si>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</si>
  <si>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</si>
  <si>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</si>
  <si>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</si>
  <si>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</si>
  <si>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</si>
  <si>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</si>
  <si>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</si>
  <si>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</si>
  <si>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</si>
  <si>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</si>
  <si>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</si>
  <si>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</si>
  <si>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</si>
  <si>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</si>
  <si>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</si>
  <si>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</si>
  <si>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</si>
  <si>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</si>
  <si>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</si>
  <si>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</si>
  <si>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</si>
  <si>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</si>
  <si>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</si>
  <si>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</si>
  <si>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</si>
  <si>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</si>
  <si>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</si>
  <si>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</si>
  <si>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</si>
  <si>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</si>
  <si>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</si>
  <si>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</si>
  <si>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</si>
  <si>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</si>
  <si>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</si>
  <si>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</si>
  <si>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</si>
  <si>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</si>
  <si>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</si>
  <si>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</si>
  <si>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</si>
  <si>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</si>
  <si>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</si>
  <si>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</si>
  <si>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</si>
  <si>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</si>
  <si>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</si>
  <si>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</si>
  <si>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</si>
  <si>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</si>
  <si>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</si>
  <si>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</si>
  <si>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</si>
  <si>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</si>
  <si>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</si>
  <si>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</si>
  <si>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</si>
  <si>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</si>
  <si>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</si>
  <si>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</si>
  <si>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</si>
  <si>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</si>
  <si>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</si>
  <si>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</si>
  <si>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</si>
  <si>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</si>
  <si>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</si>
  <si>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</si>
  <si>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</si>
  <si>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</si>
  <si>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</si>
  <si>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</si>
  <si>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</si>
  <si>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</si>
  <si>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</si>
  <si>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</si>
  <si>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</si>
  <si>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</si>
  <si>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</si>
  <si>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</si>
  <si>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</si>
  <si>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</si>
  <si>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</si>
  <si>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</si>
  <si>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</si>
  <si>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</si>
  <si>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</si>
  <si>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</si>
  <si>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</si>
  <si>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</si>
  <si>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</si>
  <si>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</si>
  <si>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</si>
  <si>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</si>
  <si>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</si>
  <si>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</si>
  <si>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</si>
  <si>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</si>
  <si>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</si>
  <si>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</si>
  <si>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</si>
  <si>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</si>
  <si>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</si>
  <si>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</si>
  <si>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</si>
  <si>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</si>
  <si>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</si>
  <si>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</si>
  <si>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</si>
  <si>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</si>
  <si>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</si>
  <si>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</si>
  <si>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</si>
  <si>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</si>
  <si>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</si>
  <si>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</si>
  <si>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</si>
  <si>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</si>
  <si>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</si>
  <si>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</si>
  <si>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</si>
  <si>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</si>
  <si>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</si>
  <si>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</si>
  <si>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</si>
  <si>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</si>
  <si>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</si>
  <si>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</si>
  <si>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</si>
  <si>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</si>
  <si>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</si>
  <si>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</si>
  <si>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</si>
  <si>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</si>
  <si>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</si>
  <si>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</si>
  <si>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</si>
  <si>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</si>
  <si>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</si>
  <si>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</si>
  <si>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</si>
  <si>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</si>
  <si>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</si>
  <si>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</si>
  <si>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</si>
  <si>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</si>
  <si>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</si>
  <si>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</si>
  <si>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</si>
  <si>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</si>
  <si>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</si>
  <si>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</si>
  <si>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</si>
  <si>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</si>
  <si>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</si>
  <si>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</si>
  <si>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</si>
  <si>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</si>
  <si>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</si>
  <si>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</si>
  <si>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</si>
  <si>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</si>
  <si>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</si>
  <si>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</si>
  <si>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</si>
  <si>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</si>
  <si>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</si>
  <si>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</si>
  <si>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</si>
  <si>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</si>
  <si>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</si>
  <si>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</si>
  <si>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</si>
  <si>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</si>
  <si>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</si>
  <si>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</si>
  <si>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</si>
  <si>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</si>
  <si>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</si>
  <si>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</si>
  <si>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</si>
  <si>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</si>
  <si>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</si>
  <si>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</si>
  <si>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</si>
  <si>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</si>
  <si>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</si>
  <si>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</si>
  <si>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</si>
  <si>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</si>
  <si>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</si>
  <si>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</si>
  <si>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</si>
  <si>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</si>
  <si>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</si>
  <si>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</si>
  <si>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</si>
  <si>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</si>
  <si>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</si>
  <si>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</si>
  <si>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</si>
  <si>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</si>
  <si>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</si>
  <si>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</si>
  <si>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</si>
  <si>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</si>
  <si>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</si>
  <si>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</si>
  <si>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</si>
  <si>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</si>
  <si>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</si>
  <si>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</si>
  <si>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</si>
  <si>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</si>
  <si>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</si>
  <si>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</si>
  <si>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</si>
  <si>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</si>
  <si>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</si>
  <si>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</si>
  <si>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</si>
  <si>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</si>
  <si>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</si>
  <si>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</si>
  <si>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</si>
  <si>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</si>
  <si>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</si>
  <si>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</si>
  <si>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</si>
  <si>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</si>
  <si>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</si>
  <si>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</si>
  <si>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</si>
  <si>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</si>
  <si>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</si>
  <si>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</si>
  <si>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</si>
  <si>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</si>
  <si>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</si>
  <si>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</si>
  <si>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</si>
  <si>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</si>
  <si>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</si>
  <si>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</si>
  <si>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</si>
  <si>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</si>
  <si>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</si>
  <si>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</si>
  <si>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</si>
  <si>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</si>
  <si>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</si>
  <si>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</si>
  <si>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</si>
  <si>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</si>
  <si>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</si>
  <si>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</si>
  <si>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</si>
  <si>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</si>
  <si>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</si>
  <si>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</si>
  <si>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</si>
  <si>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</si>
  <si>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</si>
  <si>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</si>
  <si>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</si>
  <si>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</si>
  <si>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</si>
  <si>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</si>
  <si>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</si>
  <si>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</si>
  <si>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</si>
  <si>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</si>
  <si>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</si>
  <si>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</si>
  <si>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</si>
  <si>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</si>
  <si>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</si>
  <si>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</si>
  <si>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</si>
  <si>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</si>
  <si>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</si>
  <si>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</si>
  <si>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</si>
  <si>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</si>
  <si>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</si>
  <si>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</si>
  <si>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</si>
  <si>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</si>
  <si>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</si>
  <si>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</si>
  <si>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</si>
  <si>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</si>
  <si>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</si>
  <si>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</si>
  <si>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</si>
  <si>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</si>
  <si>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</si>
  <si>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</si>
  <si>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</si>
  <si>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</si>
  <si>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</si>
  <si>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</si>
  <si>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</si>
  <si>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</si>
  <si>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</si>
  <si>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</si>
  <si>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</si>
  <si>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</si>
  <si>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</si>
  <si>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Irrigated Grain Sorghum</t>
  </si>
  <si>
    <t>Weed Control *</t>
  </si>
  <si>
    <t>1.6, Heavy Disk 27'</t>
  </si>
  <si>
    <t>1.03, Disk &amp; Incorporate 32'</t>
  </si>
  <si>
    <t>0.03, Bed-Disk  (Hipper)  6R-36</t>
  </si>
  <si>
    <t>1.16, Fert Appl (Liquid)  6R-36</t>
  </si>
  <si>
    <t>3.47, Spray (Broadcast) 60'</t>
  </si>
  <si>
    <t>2.6, Plant - Rigid  6R-36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</si>
  <si>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</si>
  <si>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</si>
  <si>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</si>
  <si>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</si>
  <si>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</si>
  <si>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</si>
  <si>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</si>
  <si>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</si>
  <si>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</si>
  <si>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</si>
  <si>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</si>
  <si>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</si>
  <si>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</si>
  <si>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** Planting may also be done with a grain drill. Substitution of a planter and bed operation with field cultivation and 20' grain drill would lower variable costs by $3.84/ ac and fixed cost by $1.07/ac.</t>
  </si>
  <si>
    <t>gallons</t>
  </si>
  <si>
    <t>applications</t>
  </si>
  <si>
    <t>Your Yield</t>
  </si>
  <si>
    <t>Your Farm</t>
  </si>
  <si>
    <t>Treated Seed</t>
  </si>
  <si>
    <t>Sivanto 200 SL</t>
  </si>
  <si>
    <t>oz</t>
  </si>
  <si>
    <t>South Georgia, 2017</t>
  </si>
  <si>
    <t>*** Average of diesel and electric irrigation application costs.  Electric is estimated at $7/appl and diesel is estimated at $9.50/appl when diesel costs $1.90/gal.</t>
  </si>
  <si>
    <t>Developed by Amanda Smith and Adam Rabinowitz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</si>
</sst>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70" zoomScaleNormal="70" zoomScalePageLayoutView="70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42578125" bestFit="1" customWidth="1"/>
    <col min="7" max="7" width="9.7109375" customWidth="1"/>
    <col min="8" max="8" width="9.42578125" bestFit="1" customWidth="1"/>
  </cols>
  <sheetData>
    <row r="1" spans="1:9" x14ac:dyDescent="0.2">
      <c r="B1" s="254" t="s">
        <v>501</v>
      </c>
      <c r="C1" s="254"/>
      <c r="D1" s="254"/>
      <c r="E1" s="254"/>
      <c r="F1" s="254"/>
      <c r="G1" s="254"/>
      <c r="H1" s="254"/>
      <c r="I1" s="57"/>
    </row>
    <row r="2" spans="1:9" x14ac:dyDescent="0.2">
      <c r="B2" s="254" t="s">
        <v>530</v>
      </c>
      <c r="C2" s="254"/>
      <c r="D2" s="254"/>
      <c r="E2" s="254"/>
      <c r="F2" s="254"/>
      <c r="G2" s="254"/>
      <c r="H2" s="25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4" t="s">
        <v>371</v>
      </c>
      <c r="C4" s="254"/>
      <c r="D4" s="254"/>
      <c r="E4" s="254"/>
      <c r="F4" s="254"/>
      <c r="G4" s="254"/>
      <c r="H4" s="254"/>
      <c r="I4" s="57"/>
    </row>
    <row r="6" spans="1:9" x14ac:dyDescent="0.2">
      <c r="B6" s="77" t="s">
        <v>372</v>
      </c>
      <c r="C6" s="57">
        <v>100</v>
      </c>
      <c r="D6" t="s">
        <v>493</v>
      </c>
      <c r="F6" t="s">
        <v>525</v>
      </c>
    </row>
    <row r="7" spans="1:9" x14ac:dyDescent="0.2">
      <c r="G7" s="250"/>
    </row>
    <row r="8" spans="1:9" x14ac:dyDescent="0.2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1" t="s">
        <v>526</v>
      </c>
      <c r="I8" s="77"/>
    </row>
    <row r="9" spans="1:9" x14ac:dyDescent="0.2">
      <c r="B9" t="s">
        <v>527</v>
      </c>
      <c r="C9" t="s">
        <v>384</v>
      </c>
      <c r="D9">
        <v>90</v>
      </c>
      <c r="E9" s="41">
        <v>0.23</v>
      </c>
      <c r="F9" s="41">
        <f>E9*D9</f>
        <v>20.7</v>
      </c>
      <c r="G9" s="78">
        <f>F9/yield</f>
        <v>0.20699999999999999</v>
      </c>
    </row>
    <row r="10" spans="1:9" x14ac:dyDescent="0.2">
      <c r="B10" t="s">
        <v>363</v>
      </c>
      <c r="C10" t="s">
        <v>385</v>
      </c>
      <c r="D10">
        <f>'Fert, Weed, Insct, Dis'!$C$6</f>
        <v>0.5</v>
      </c>
      <c r="E10" s="78">
        <f>'Fert, Weed, Insct, Dis'!$D$6</f>
        <v>42</v>
      </c>
      <c r="F10" s="41">
        <f>E10*D10</f>
        <v>21</v>
      </c>
      <c r="G10" s="78">
        <f>F10/yield</f>
        <v>0.21</v>
      </c>
      <c r="H10" s="250"/>
    </row>
    <row r="11" spans="1:9" x14ac:dyDescent="0.2">
      <c r="A11" s="156" t="s">
        <v>441</v>
      </c>
      <c r="B11" t="s">
        <v>376</v>
      </c>
      <c r="F11" s="41"/>
      <c r="G11" s="78"/>
    </row>
    <row r="12" spans="1:9" x14ac:dyDescent="0.2">
      <c r="B12" s="107" t="s">
        <v>377</v>
      </c>
      <c r="C12" t="s">
        <v>369</v>
      </c>
      <c r="D12">
        <f>'Fert, Weed, Insct, Dis'!$C$3</f>
        <v>125</v>
      </c>
      <c r="E12" s="78">
        <f>'Fert, Weed, Insct, Dis'!$D$3</f>
        <v>0.42</v>
      </c>
      <c r="F12" s="41">
        <f t="shared" ref="F12:F17" si="0">E12*D12</f>
        <v>52.5</v>
      </c>
      <c r="G12" s="78">
        <f t="shared" ref="G12:G17" si="1">F12/yield</f>
        <v>0.52500000000000002</v>
      </c>
    </row>
    <row r="13" spans="1:9" x14ac:dyDescent="0.2">
      <c r="B13" s="107" t="s">
        <v>378</v>
      </c>
      <c r="C13" t="s">
        <v>369</v>
      </c>
      <c r="D13">
        <f>'Fert, Weed, Insct, Dis'!$C$4</f>
        <v>60</v>
      </c>
      <c r="E13" s="78">
        <f>'Fert, Weed, Insct, Dis'!$D$4</f>
        <v>0.39</v>
      </c>
      <c r="F13" s="41">
        <f t="shared" si="0"/>
        <v>23.400000000000002</v>
      </c>
      <c r="G13" s="78">
        <f t="shared" si="1"/>
        <v>0.23400000000000001</v>
      </c>
      <c r="H13" s="250"/>
    </row>
    <row r="14" spans="1:9" x14ac:dyDescent="0.2">
      <c r="B14" s="107" t="s">
        <v>379</v>
      </c>
      <c r="C14" t="s">
        <v>369</v>
      </c>
      <c r="D14">
        <f>'Fert, Weed, Insct, Dis'!$C$5</f>
        <v>90</v>
      </c>
      <c r="E14" s="78">
        <f>'Fert, Weed, Insct, Dis'!$D$5</f>
        <v>0.28000000000000003</v>
      </c>
      <c r="F14" s="41">
        <f t="shared" si="0"/>
        <v>25.200000000000003</v>
      </c>
      <c r="G14" s="78">
        <f t="shared" si="1"/>
        <v>0.252</v>
      </c>
    </row>
    <row r="15" spans="1:9" x14ac:dyDescent="0.2">
      <c r="A15" s="156" t="s">
        <v>442</v>
      </c>
      <c r="B15" t="s">
        <v>502</v>
      </c>
      <c r="C15" t="s">
        <v>386</v>
      </c>
      <c r="D15">
        <v>1</v>
      </c>
      <c r="E15" s="78">
        <f>'Fert, Weed, Insct, Dis'!$E$21</f>
        <v>15.600000000000001</v>
      </c>
      <c r="F15" s="41">
        <f t="shared" si="0"/>
        <v>15.600000000000001</v>
      </c>
      <c r="G15" s="78">
        <f t="shared" si="1"/>
        <v>0.15600000000000003</v>
      </c>
      <c r="H15" s="250"/>
    </row>
    <row r="16" spans="1:9" x14ac:dyDescent="0.2">
      <c r="A16" s="156" t="s">
        <v>443</v>
      </c>
      <c r="B16" t="s">
        <v>380</v>
      </c>
      <c r="C16" t="s">
        <v>386</v>
      </c>
      <c r="D16">
        <v>1</v>
      </c>
      <c r="E16" s="78">
        <f>'Fert, Weed, Insct, Dis'!$E$32</f>
        <v>11.48</v>
      </c>
      <c r="F16" s="41">
        <f t="shared" si="0"/>
        <v>11.48</v>
      </c>
      <c r="G16" s="78">
        <f t="shared" si="1"/>
        <v>0.1148</v>
      </c>
    </row>
    <row r="17" spans="1:8" x14ac:dyDescent="0.2">
      <c r="A17" s="156" t="s">
        <v>444</v>
      </c>
      <c r="B17" s="43" t="s">
        <v>431</v>
      </c>
      <c r="C17" t="s">
        <v>386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50"/>
    </row>
    <row r="18" spans="1:8" x14ac:dyDescent="0.2">
      <c r="A18" s="156" t="s">
        <v>446</v>
      </c>
      <c r="B18" t="s">
        <v>517</v>
      </c>
      <c r="F18" s="41"/>
      <c r="G18" s="78"/>
    </row>
    <row r="19" spans="1:8" x14ac:dyDescent="0.2">
      <c r="B19" s="107" t="s">
        <v>381</v>
      </c>
      <c r="C19" t="s">
        <v>523</v>
      </c>
      <c r="D19" s="207">
        <f>PreHarvest!O15+PreHarvest!I24</f>
        <v>5.1367433959427222</v>
      </c>
      <c r="E19" s="41">
        <v>1.9</v>
      </c>
      <c r="F19" s="41">
        <f>E19*D19</f>
        <v>9.7598124522911718</v>
      </c>
      <c r="G19" s="78">
        <f>F19/yield</f>
        <v>9.7598124522911722E-2</v>
      </c>
    </row>
    <row r="20" spans="1:8" x14ac:dyDescent="0.2">
      <c r="B20" s="107" t="s">
        <v>382</v>
      </c>
      <c r="C20" t="s">
        <v>386</v>
      </c>
      <c r="D20">
        <v>1</v>
      </c>
      <c r="E20" s="41">
        <f>PreHarvest!$R$15+PreHarvest!$K$24</f>
        <v>12.025078230781947</v>
      </c>
      <c r="F20" s="41">
        <f>E20*D20</f>
        <v>12.025078230781947</v>
      </c>
      <c r="G20" s="78">
        <f>F20/yield</f>
        <v>0.12025078230781946</v>
      </c>
      <c r="H20" s="250"/>
    </row>
    <row r="21" spans="1:8" x14ac:dyDescent="0.2">
      <c r="A21" s="156" t="s">
        <v>445</v>
      </c>
      <c r="B21" t="s">
        <v>383</v>
      </c>
      <c r="F21" s="41"/>
      <c r="G21" s="78"/>
    </row>
    <row r="22" spans="1:8" x14ac:dyDescent="0.2">
      <c r="B22" s="107" t="s">
        <v>381</v>
      </c>
      <c r="C22" t="s">
        <v>523</v>
      </c>
      <c r="D22" s="207">
        <f>Harvest!O11</f>
        <v>2.5316526644257697</v>
      </c>
      <c r="E22" s="41">
        <v>1.9</v>
      </c>
      <c r="F22" s="41">
        <f t="shared" ref="F22:F29" si="2">E22*D22</f>
        <v>4.8101400624089621</v>
      </c>
      <c r="G22" s="78">
        <f t="shared" ref="G22:G29" si="3">F22/yield</f>
        <v>4.8101400624089623E-2</v>
      </c>
    </row>
    <row r="23" spans="1:8" x14ac:dyDescent="0.2">
      <c r="B23" s="107" t="s">
        <v>382</v>
      </c>
      <c r="C23" t="s">
        <v>386</v>
      </c>
      <c r="D23">
        <v>1</v>
      </c>
      <c r="E23" s="41">
        <f>Harvest!$R$11</f>
        <v>6.7289622019047606</v>
      </c>
      <c r="F23" s="41">
        <f t="shared" si="2"/>
        <v>6.7289622019047606</v>
      </c>
      <c r="G23" s="78">
        <f t="shared" si="3"/>
        <v>6.7289622019047604E-2</v>
      </c>
      <c r="H23" s="250"/>
    </row>
    <row r="24" spans="1:8" x14ac:dyDescent="0.2">
      <c r="B24" t="s">
        <v>387</v>
      </c>
      <c r="C24" t="s">
        <v>392</v>
      </c>
      <c r="D24" s="207">
        <f>1.25*((PreHarvest!G15+PreHarvest!G24)+Harvest!G11)</f>
        <v>1.084459430533347</v>
      </c>
      <c r="E24" s="41">
        <v>12.5</v>
      </c>
      <c r="F24" s="41">
        <f t="shared" si="2"/>
        <v>13.555742881666838</v>
      </c>
      <c r="G24" s="78">
        <f t="shared" si="3"/>
        <v>0.13555742881666838</v>
      </c>
    </row>
    <row r="25" spans="1:8" x14ac:dyDescent="0.2">
      <c r="B25" s="43" t="s">
        <v>518</v>
      </c>
      <c r="C25" t="s">
        <v>524</v>
      </c>
      <c r="D25">
        <v>4</v>
      </c>
      <c r="E25" s="41">
        <v>8.25</v>
      </c>
      <c r="F25" s="41">
        <f t="shared" ref="F25" si="4">E25*D25</f>
        <v>33</v>
      </c>
      <c r="G25" s="78">
        <f t="shared" si="3"/>
        <v>0.33</v>
      </c>
      <c r="H25" s="250"/>
    </row>
    <row r="26" spans="1:8" x14ac:dyDescent="0.2">
      <c r="B26" t="s">
        <v>388</v>
      </c>
      <c r="C26" t="s">
        <v>386</v>
      </c>
      <c r="D26">
        <v>1</v>
      </c>
      <c r="E26" s="41">
        <v>20</v>
      </c>
      <c r="F26" s="41">
        <f t="shared" si="2"/>
        <v>20</v>
      </c>
      <c r="G26" s="78">
        <f t="shared" si="3"/>
        <v>0.2</v>
      </c>
    </row>
    <row r="27" spans="1:8" x14ac:dyDescent="0.2">
      <c r="B27" t="s">
        <v>389</v>
      </c>
      <c r="C27" t="s">
        <v>386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">
      <c r="B28" t="s">
        <v>390</v>
      </c>
      <c r="C28" t="s">
        <v>391</v>
      </c>
      <c r="D28" s="78">
        <f>SUM(F9:F27)*0.5</f>
        <v>134.87986791452681</v>
      </c>
      <c r="E28" s="106">
        <v>6.5000000000000002E-2</v>
      </c>
      <c r="F28" s="41">
        <f t="shared" si="2"/>
        <v>8.7671914144442429</v>
      </c>
      <c r="G28" s="78">
        <f t="shared" si="3"/>
        <v>8.7671914144442434E-2</v>
      </c>
    </row>
    <row r="29" spans="1:8" s="225" customFormat="1" x14ac:dyDescent="0.2">
      <c r="B29" s="225" t="s">
        <v>516</v>
      </c>
      <c r="C29" s="240" t="str">
        <f t="shared" ref="C29" si="5">$D$6</f>
        <v>bushel</v>
      </c>
      <c r="D29" s="237">
        <f>yield*1.1</f>
        <v>110.00000000000001</v>
      </c>
      <c r="E29" s="226">
        <v>0.28000000000000003</v>
      </c>
      <c r="F29" s="226">
        <f t="shared" si="2"/>
        <v>30.800000000000008</v>
      </c>
      <c r="G29" s="227">
        <f t="shared" si="3"/>
        <v>0.30800000000000005</v>
      </c>
      <c r="H29" s="250"/>
    </row>
    <row r="30" spans="1:8" x14ac:dyDescent="0.2">
      <c r="B30" s="255" t="s">
        <v>393</v>
      </c>
      <c r="C30" s="255"/>
      <c r="D30" s="255"/>
      <c r="E30" s="255"/>
      <c r="F30" s="108">
        <f>SUM(F9:F29)</f>
        <v>309.32692724349789</v>
      </c>
      <c r="G30" s="108">
        <f>SUM(G9:G29)</f>
        <v>3.0932692724349797</v>
      </c>
    </row>
    <row r="31" spans="1:8" x14ac:dyDescent="0.2">
      <c r="H31" s="250"/>
    </row>
    <row r="32" spans="1:8" x14ac:dyDescent="0.2">
      <c r="B32" s="110" t="s">
        <v>398</v>
      </c>
      <c r="C32" s="110"/>
      <c r="D32" s="110"/>
      <c r="E32" s="110"/>
      <c r="F32" s="110"/>
      <c r="G32" s="110"/>
      <c r="H32" s="250"/>
    </row>
    <row r="33" spans="1:8" x14ac:dyDescent="0.2">
      <c r="B33" s="263" t="s">
        <v>399</v>
      </c>
      <c r="C33" s="263"/>
      <c r="D33" s="263"/>
      <c r="E33" s="263"/>
      <c r="F33" s="263"/>
      <c r="G33" s="263"/>
      <c r="H33" s="263"/>
    </row>
    <row r="34" spans="1:8" x14ac:dyDescent="0.2">
      <c r="B34" s="107" t="s">
        <v>400</v>
      </c>
      <c r="C34" t="s">
        <v>386</v>
      </c>
      <c r="D34">
        <v>1</v>
      </c>
      <c r="E34" s="41">
        <f>PreHarvest!$U$15+PreHarvest!$M$24</f>
        <v>32.492112445212364</v>
      </c>
      <c r="F34" s="41">
        <f>E34*D34</f>
        <v>32.492112445212364</v>
      </c>
      <c r="G34" s="41">
        <f t="shared" ref="G34:G40" si="6">F34/yield</f>
        <v>0.32492112445212362</v>
      </c>
    </row>
    <row r="35" spans="1:8" x14ac:dyDescent="0.2">
      <c r="B35" s="107" t="s">
        <v>401</v>
      </c>
      <c r="C35" t="s">
        <v>386</v>
      </c>
      <c r="D35">
        <v>1</v>
      </c>
      <c r="E35" s="41">
        <f>Harvest!$U$11</f>
        <v>34.682627283144761</v>
      </c>
      <c r="F35" s="41">
        <f t="shared" ref="F35:F40" si="7">E35*D35</f>
        <v>34.682627283144761</v>
      </c>
      <c r="G35" s="41">
        <f t="shared" si="6"/>
        <v>0.34682627283144762</v>
      </c>
      <c r="H35" s="250"/>
    </row>
    <row r="36" spans="1:8" x14ac:dyDescent="0.2">
      <c r="A36" s="43"/>
      <c r="B36" s="107" t="s">
        <v>432</v>
      </c>
      <c r="C36" t="s">
        <v>386</v>
      </c>
      <c r="D36">
        <v>1</v>
      </c>
      <c r="E36" s="41">
        <v>125</v>
      </c>
      <c r="F36" s="41">
        <f>E36*D36</f>
        <v>125</v>
      </c>
      <c r="G36" s="41">
        <f t="shared" si="6"/>
        <v>1.25</v>
      </c>
    </row>
    <row r="37" spans="1:8" x14ac:dyDescent="0.2">
      <c r="B37" t="s">
        <v>402</v>
      </c>
      <c r="C37" t="s">
        <v>403</v>
      </c>
      <c r="D37" s="41">
        <f>tvc</f>
        <v>309.32692724349789</v>
      </c>
      <c r="E37" s="111">
        <v>0.05</v>
      </c>
      <c r="F37" s="41">
        <f t="shared" si="7"/>
        <v>15.466346362174896</v>
      </c>
      <c r="G37" s="41">
        <f t="shared" si="6"/>
        <v>0.15466346362174896</v>
      </c>
      <c r="H37" s="250"/>
    </row>
    <row r="38" spans="1:8" x14ac:dyDescent="0.2">
      <c r="B38" t="s">
        <v>404</v>
      </c>
      <c r="C38" t="s">
        <v>403</v>
      </c>
      <c r="D38" s="41">
        <f>tvc</f>
        <v>309.32692724349789</v>
      </c>
      <c r="E38" s="111">
        <v>0.05</v>
      </c>
      <c r="F38" s="41">
        <f>E38*D38</f>
        <v>15.466346362174896</v>
      </c>
      <c r="G38" s="41">
        <f t="shared" si="6"/>
        <v>0.15466346362174896</v>
      </c>
    </row>
    <row r="39" spans="1:8" x14ac:dyDescent="0.2">
      <c r="B39" s="112" t="s">
        <v>405</v>
      </c>
      <c r="C39" t="s">
        <v>386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">
      <c r="B40" s="56" t="s">
        <v>406</v>
      </c>
      <c r="C40" s="56" t="s">
        <v>386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">
      <c r="B41" s="255" t="s">
        <v>407</v>
      </c>
      <c r="C41" s="255"/>
      <c r="D41" s="255"/>
      <c r="E41" s="255"/>
      <c r="F41" s="108">
        <f>SUM(F34:F40)</f>
        <v>223.10743245270692</v>
      </c>
      <c r="G41" s="108">
        <f>SUM(G34:G40)</f>
        <v>2.2310743245270688</v>
      </c>
      <c r="H41" s="250"/>
    </row>
    <row r="43" spans="1:8" ht="15.95" thickBot="1" x14ac:dyDescent="0.25">
      <c r="B43" s="114" t="s">
        <v>408</v>
      </c>
      <c r="C43" s="114"/>
      <c r="D43" s="114"/>
      <c r="E43" s="114"/>
      <c r="F43" s="115">
        <f>F30+F41</f>
        <v>532.43435969620487</v>
      </c>
      <c r="G43" s="115">
        <f>G30+G41</f>
        <v>5.3243435969620485</v>
      </c>
      <c r="H43" s="250"/>
    </row>
    <row r="44" spans="1:8" x14ac:dyDescent="0.2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8" ht="15.95" thickBot="1" x14ac:dyDescent="0.25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8" x14ac:dyDescent="0.2">
      <c r="B46" s="151"/>
      <c r="C46" s="151"/>
      <c r="D46" s="151"/>
      <c r="E46" s="152"/>
      <c r="F46" s="153"/>
      <c r="G46" s="154"/>
      <c r="H46" s="151"/>
    </row>
    <row r="47" spans="1:8" s="225" customFormat="1" ht="27.75" customHeight="1" x14ac:dyDescent="0.2">
      <c r="B47" s="258" t="s">
        <v>521</v>
      </c>
      <c r="C47" s="258"/>
      <c r="D47" s="258"/>
      <c r="E47" s="258"/>
      <c r="F47" s="258"/>
      <c r="G47" s="258"/>
      <c r="H47" s="258"/>
    </row>
    <row r="48" spans="1:8" s="225" customFormat="1" ht="33" customHeight="1" x14ac:dyDescent="0.2">
      <c r="B48" s="258" t="s">
        <v>522</v>
      </c>
      <c r="C48" s="258"/>
      <c r="D48" s="258"/>
      <c r="E48" s="258"/>
      <c r="F48" s="258"/>
      <c r="G48" s="258"/>
      <c r="H48" s="258"/>
    </row>
    <row r="49" spans="2:8" ht="29.1" customHeight="1" x14ac:dyDescent="0.2">
      <c r="B49" s="258" t="s">
        <v>531</v>
      </c>
      <c r="C49" s="258"/>
      <c r="D49" s="258"/>
      <c r="E49" s="258"/>
      <c r="F49" s="258"/>
      <c r="G49" s="258"/>
      <c r="H49" s="258"/>
    </row>
    <row r="50" spans="2:8" ht="43.35" customHeight="1" x14ac:dyDescent="0.2">
      <c r="B50" s="213"/>
      <c r="C50" s="213"/>
      <c r="D50" s="213"/>
      <c r="E50" s="213"/>
      <c r="F50" s="213"/>
      <c r="G50" s="213"/>
      <c r="H50" s="213"/>
    </row>
    <row r="51" spans="2:8" ht="14.45" customHeight="1" x14ac:dyDescent="0.25">
      <c r="B51" s="261" t="s">
        <v>532</v>
      </c>
      <c r="C51" s="261"/>
      <c r="D51" s="261"/>
      <c r="E51" s="261"/>
      <c r="F51" s="261"/>
      <c r="G51" s="261"/>
      <c r="H51" s="261"/>
    </row>
    <row r="52" spans="2:8" x14ac:dyDescent="0.25">
      <c r="B52" s="262"/>
      <c r="C52" s="262"/>
      <c r="D52" s="262"/>
      <c r="E52" s="262"/>
      <c r="F52" s="262"/>
      <c r="G52" s="262"/>
      <c r="H52" s="262"/>
    </row>
    <row r="53" spans="2:8" x14ac:dyDescent="0.25">
      <c r="B53" s="260" t="str">
        <f>CONCATENATE("Sensitivity Analysis of ",B1)</f>
        <v>Sensitivity Analysis of Irrigated Grain Sorghum</v>
      </c>
      <c r="C53" s="260"/>
      <c r="D53" s="260"/>
      <c r="E53" s="260"/>
      <c r="F53" s="260"/>
      <c r="G53" s="260"/>
      <c r="H53" s="124"/>
    </row>
    <row r="54" spans="2:8" x14ac:dyDescent="0.25">
      <c r="B54" s="264" t="s">
        <v>412</v>
      </c>
      <c r="C54" s="264"/>
      <c r="D54" s="264"/>
      <c r="E54" s="264"/>
      <c r="F54" s="264"/>
      <c r="G54" s="264"/>
      <c r="H54" s="125"/>
    </row>
    <row r="55" spans="2:8" x14ac:dyDescent="0.25">
      <c r="B55" s="265" t="str">
        <f>CONCATENATE("Varying Prices and Yields ","(",(D6),")")</f>
        <v>Varying Prices and Yields (bushel)</v>
      </c>
      <c r="C55" s="265"/>
      <c r="D55" s="265"/>
      <c r="E55" s="265"/>
      <c r="F55" s="265"/>
      <c r="G55" s="265"/>
      <c r="H55" s="125"/>
    </row>
    <row r="56" spans="2:8" x14ac:dyDescent="0.25">
      <c r="B56" s="256" t="str">
        <f>CONCATENATE("Price \ ",$D$6,"/Acre")</f>
        <v>Price \ bushel/Acre</v>
      </c>
      <c r="C56" s="126" t="s">
        <v>413</v>
      </c>
      <c r="D56" s="126" t="s">
        <v>414</v>
      </c>
      <c r="E56" s="127" t="s">
        <v>415</v>
      </c>
      <c r="F56" s="126" t="s">
        <v>416</v>
      </c>
      <c r="G56" s="126" t="s">
        <v>417</v>
      </c>
      <c r="H56" s="128"/>
    </row>
    <row r="57" spans="2:8" x14ac:dyDescent="0.25">
      <c r="B57" s="257"/>
      <c r="C57" s="129">
        <f>E57*0.75</f>
        <v>75</v>
      </c>
      <c r="D57" s="129">
        <f>E57*0.9</f>
        <v>90</v>
      </c>
      <c r="E57" s="129">
        <f>yield</f>
        <v>100</v>
      </c>
      <c r="F57" s="129">
        <f>E57*1.1</f>
        <v>110.00000000000001</v>
      </c>
      <c r="G57" s="129">
        <f>E57*1.25</f>
        <v>125</v>
      </c>
    </row>
    <row r="58" spans="2:8" x14ac:dyDescent="0.25">
      <c r="B58" s="130">
        <v>3.5</v>
      </c>
      <c r="C58" s="131">
        <f t="shared" ref="C58:G62" si="8">$B58*C$57-tvc</f>
        <v>-46.826927243497892</v>
      </c>
      <c r="D58" s="131">
        <f t="shared" si="8"/>
        <v>5.6730727565021084</v>
      </c>
      <c r="E58" s="131">
        <f t="shared" si="8"/>
        <v>40.673072756502108</v>
      </c>
      <c r="F58" s="131">
        <f t="shared" si="8"/>
        <v>75.673072756502165</v>
      </c>
      <c r="G58" s="131">
        <f t="shared" si="8"/>
        <v>128.17307275650211</v>
      </c>
    </row>
    <row r="59" spans="2:8" x14ac:dyDescent="0.25">
      <c r="B59" s="132">
        <f>B58+0.5</f>
        <v>4</v>
      </c>
      <c r="C59" s="133">
        <f t="shared" si="8"/>
        <v>-9.3269272434978916</v>
      </c>
      <c r="D59" s="133">
        <f t="shared" si="8"/>
        <v>50.673072756502108</v>
      </c>
      <c r="E59" s="133">
        <f t="shared" si="8"/>
        <v>90.673072756502108</v>
      </c>
      <c r="F59" s="133">
        <f t="shared" si="8"/>
        <v>130.67307275650217</v>
      </c>
      <c r="G59" s="133">
        <f t="shared" si="8"/>
        <v>190.67307275650211</v>
      </c>
    </row>
    <row r="60" spans="2:8" x14ac:dyDescent="0.25">
      <c r="B60" s="132">
        <f t="shared" ref="B60:B62" si="9">B59+0.5</f>
        <v>4.5</v>
      </c>
      <c r="C60" s="133">
        <f t="shared" si="8"/>
        <v>28.173072756502108</v>
      </c>
      <c r="D60" s="133">
        <f t="shared" si="8"/>
        <v>95.673072756502108</v>
      </c>
      <c r="E60" s="133">
        <f t="shared" si="8"/>
        <v>140.67307275650211</v>
      </c>
      <c r="F60" s="133">
        <f t="shared" si="8"/>
        <v>185.67307275650217</v>
      </c>
      <c r="G60" s="133">
        <f t="shared" si="8"/>
        <v>253.17307275650211</v>
      </c>
    </row>
    <row r="61" spans="2:8" x14ac:dyDescent="0.25">
      <c r="B61" s="132">
        <f t="shared" si="9"/>
        <v>5</v>
      </c>
      <c r="C61" s="133">
        <f t="shared" si="8"/>
        <v>65.673072756502108</v>
      </c>
      <c r="D61" s="133">
        <f t="shared" si="8"/>
        <v>140.67307275650211</v>
      </c>
      <c r="E61" s="133">
        <f t="shared" si="8"/>
        <v>190.67307275650211</v>
      </c>
      <c r="F61" s="133">
        <f t="shared" si="8"/>
        <v>240.67307275650222</v>
      </c>
      <c r="G61" s="133">
        <f t="shared" si="8"/>
        <v>315.67307275650211</v>
      </c>
    </row>
    <row r="62" spans="2:8" x14ac:dyDescent="0.25">
      <c r="B62" s="134">
        <f t="shared" si="9"/>
        <v>5.5</v>
      </c>
      <c r="C62" s="135">
        <f t="shared" si="8"/>
        <v>103.17307275650211</v>
      </c>
      <c r="D62" s="135">
        <f t="shared" si="8"/>
        <v>185.67307275650211</v>
      </c>
      <c r="E62" s="135">
        <f t="shared" si="8"/>
        <v>240.67307275650211</v>
      </c>
      <c r="F62" s="135">
        <f t="shared" si="8"/>
        <v>295.67307275650222</v>
      </c>
      <c r="G62" s="135">
        <f t="shared" si="8"/>
        <v>378.17307275650211</v>
      </c>
    </row>
    <row r="64" spans="2:8" x14ac:dyDescent="0.25">
      <c r="B64" s="259" t="s">
        <v>418</v>
      </c>
      <c r="C64" s="259"/>
      <c r="D64" s="259"/>
      <c r="E64" s="259"/>
      <c r="F64" s="259"/>
      <c r="G64" s="259"/>
      <c r="H64" s="259"/>
    </row>
    <row r="65" spans="2:8" x14ac:dyDescent="0.25">
      <c r="B65" s="260" t="s">
        <v>419</v>
      </c>
      <c r="C65" s="260"/>
      <c r="D65" s="260"/>
      <c r="E65" s="260"/>
      <c r="F65" s="260"/>
      <c r="G65" s="260"/>
      <c r="H65" s="260"/>
    </row>
    <row r="66" spans="2:8" ht="45" x14ac:dyDescent="0.25">
      <c r="B66" s="136" t="s">
        <v>420</v>
      </c>
      <c r="C66" s="137" t="s">
        <v>421</v>
      </c>
      <c r="D66" s="137" t="s">
        <v>422</v>
      </c>
      <c r="E66" s="137" t="s">
        <v>519</v>
      </c>
      <c r="F66" s="137" t="s">
        <v>423</v>
      </c>
      <c r="G66" s="137" t="s">
        <v>424</v>
      </c>
      <c r="H66" s="137" t="s">
        <v>425</v>
      </c>
    </row>
    <row r="67" spans="2:8" ht="30" x14ac:dyDescent="0.25">
      <c r="B67" s="162" t="str">
        <f>IF(H67&gt;0,(CONCATENATE(PreHarvest!$C3," with ",PreHarvest!$M3))," ")</f>
        <v>Heavy Disk 27' with Tractor (180-199 hp) MFWD 190</v>
      </c>
      <c r="C67" s="206">
        <f>IF(H67&gt;0,(1/PreHarvest!$E3)," ")</f>
        <v>13.213636363636363</v>
      </c>
      <c r="D67" s="138">
        <f>IF(H67&gt;0,(PreHarvest!$F3)," ")</f>
        <v>2</v>
      </c>
      <c r="E67" s="139">
        <f>IF(H67&gt;0,(D67*1/C67*1.25)," ")</f>
        <v>0.18919848641210874</v>
      </c>
      <c r="F67" s="139">
        <f>IF(H67&gt;0, (PreHarvest!$O3)," ")</f>
        <v>1.4802586859305127</v>
      </c>
      <c r="G67" s="228">
        <f>PreHarvest!$R3</f>
        <v>3.7452962962962966</v>
      </c>
      <c r="H67" s="228">
        <f>PreHarvest!$U3</f>
        <v>10.882420721247563</v>
      </c>
    </row>
    <row r="68" spans="2:8" ht="30" x14ac:dyDescent="0.25">
      <c r="B68" s="232" t="str">
        <f>IF(H68&gt;0,(CONCATENATE(PreHarvest!$C4," with ",PreHarvest!$M4))," ")</f>
        <v>Disk &amp; Incorporate 32' with Tractor (180-199 hp) MFWD 190</v>
      </c>
      <c r="C68" s="236">
        <f>IF(H68&gt;0,(1/PreHarvest!$E4)," ")</f>
        <v>15.272727272727272</v>
      </c>
      <c r="D68" s="140">
        <f>IF(H68&gt;0,(PreHarvest!$F4)," ")</f>
        <v>1</v>
      </c>
      <c r="E68" s="229">
        <f t="shared" ref="E68" si="10">IF(H68&gt;0,(D68*1/C68*1.25)," ")</f>
        <v>8.1845238095238096E-2</v>
      </c>
      <c r="F68" s="229">
        <f>IF(H68&gt;0, (PreHarvest!$O4)," ")</f>
        <v>0.64034404761904762</v>
      </c>
      <c r="G68" s="230">
        <f>PreHarvest!$R4</f>
        <v>1.9637070357142856</v>
      </c>
      <c r="H68" s="230">
        <f>PreHarvest!$U4</f>
        <v>5.1428452376190474</v>
      </c>
    </row>
    <row r="69" spans="2:8" ht="30" x14ac:dyDescent="0.25">
      <c r="B69" s="232" t="str">
        <f>IF(H69&gt;0,(CONCATENATE(PreHarvest!$C5," with ",PreHarvest!$M5))," ")</f>
        <v>Bed-Disk  (Hipper)  6R-36 with Tractor (180-199 hp) MFWD 190</v>
      </c>
      <c r="C69" s="236">
        <f>IF(H69&gt;0,(1/PreHarvest!$E5)," ")</f>
        <v>9.6</v>
      </c>
      <c r="D69" s="140">
        <f>IF(H69&gt;0,(PreHarvest!$F5)," ")</f>
        <v>1</v>
      </c>
      <c r="E69" s="229">
        <f t="shared" ref="E69:E72" si="11">IF(H69&gt;0,(D69*1/C69*1.25)," ")</f>
        <v>0.13020833333333334</v>
      </c>
      <c r="F69" s="229">
        <f>IF(H69&gt;0, (PreHarvest!$O5)," ")</f>
        <v>1.0187291666666667</v>
      </c>
      <c r="G69" s="230">
        <f>PreHarvest!$R5</f>
        <v>1.6503945312499999</v>
      </c>
      <c r="H69" s="230">
        <f>PreHarvest!$U5</f>
        <v>5.079569973307291</v>
      </c>
    </row>
    <row r="70" spans="2:8" s="225" customFormat="1" ht="30" x14ac:dyDescent="0.25">
      <c r="B70" s="232" t="str">
        <f>IF(H70&gt;0,(CONCATENATE(PreHarvest!$C6," with ",PreHarvest!$M6))," ")</f>
        <v>Plant - Rigid  6R-36 with Tractor (120-139 hp) 2WD 130</v>
      </c>
      <c r="C70" s="236">
        <f>IF(H70&gt;0,(1/PreHarvest!$E6)," ")</f>
        <v>9.545454545454545</v>
      </c>
      <c r="D70" s="140">
        <f>IF(H70&gt;0,(PreHarvest!$F6)," ")</f>
        <v>1</v>
      </c>
      <c r="E70" s="229">
        <f t="shared" si="11"/>
        <v>0.13095238095238096</v>
      </c>
      <c r="F70" s="229">
        <f>IF(H70&gt;0, (PreHarvest!$O6)," ")</f>
        <v>0.70100380952380947</v>
      </c>
      <c r="G70" s="230">
        <f>PreHarvest!$R6</f>
        <v>1.7831986071428569</v>
      </c>
      <c r="H70" s="230">
        <f>PreHarvest!$U6</f>
        <v>4.9769721948571419</v>
      </c>
    </row>
    <row r="71" spans="2:8" s="225" customFormat="1" ht="30" x14ac:dyDescent="0.25">
      <c r="B71" s="232" t="str">
        <f>IF(H71&gt;0,(CONCATENATE(PreHarvest!$C7," with ",PreHarvest!$M7))," ")</f>
        <v>Fert Appl (Liquid)  6R-36 with Tractor (120-139 hp) 2WD 130</v>
      </c>
      <c r="C71" s="236">
        <f>IF(H71&gt;0,(1/PreHarvest!$E7)," ")</f>
        <v>9.1636363636363622</v>
      </c>
      <c r="D71" s="140">
        <f>IF(H71&gt;0,(PreHarvest!$F7)," ")</f>
        <v>1</v>
      </c>
      <c r="E71" s="229">
        <f t="shared" si="11"/>
        <v>0.13640873015873017</v>
      </c>
      <c r="F71" s="229">
        <f>IF(H71&gt;0, (PreHarvest!$O7)," ")</f>
        <v>0.73021230158730166</v>
      </c>
      <c r="G71" s="230">
        <f>PreHarvest!$R7</f>
        <v>1.8692672123015874</v>
      </c>
      <c r="H71" s="230">
        <f>PreHarvest!$U7</f>
        <v>3.967108494642857</v>
      </c>
    </row>
    <row r="72" spans="2:8" s="225" customFormat="1" ht="30" x14ac:dyDescent="0.25">
      <c r="B72" s="232" t="str">
        <f>IF(H72&gt;0,(CONCATENATE(PreHarvest!$C8," with ",PreHarvest!$M8))," ")</f>
        <v>Spray (Broadcast) 60' with Tractor (120-139 hp) 2WD 130</v>
      </c>
      <c r="C72" s="236">
        <f>IF(H72&gt;0,(1/PreHarvest!$E8)," ")</f>
        <v>35.454545454545453</v>
      </c>
      <c r="D72" s="140">
        <f>IF(H72&gt;0,(PreHarvest!$F8)," ")</f>
        <v>3</v>
      </c>
      <c r="E72" s="229">
        <f t="shared" si="11"/>
        <v>0.10576923076923078</v>
      </c>
      <c r="F72" s="229">
        <f>IF(H72&gt;0, (PreHarvest!$O8)," ")</f>
        <v>0.56619538461538466</v>
      </c>
      <c r="G72" s="230">
        <f>PreHarvest!$R8</f>
        <v>1.013214548076923</v>
      </c>
      <c r="H72" s="230">
        <f>PreHarvest!$U8</f>
        <v>2.4431958235384612</v>
      </c>
    </row>
    <row r="73" spans="2:8" x14ac:dyDescent="0.25">
      <c r="B73" s="158" t="s">
        <v>426</v>
      </c>
      <c r="C73" s="159"/>
      <c r="D73" s="159"/>
      <c r="E73" s="160">
        <f>SUM(E67:E72)</f>
        <v>0.77438239972102219</v>
      </c>
      <c r="F73" s="160">
        <f>SUM(F67:F72)</f>
        <v>5.1367433959427222</v>
      </c>
      <c r="G73" s="161">
        <f>SUM(G67:G72)</f>
        <v>12.025078230781947</v>
      </c>
      <c r="H73" s="161">
        <f>SUM(H67:H72)</f>
        <v>32.492112445212364</v>
      </c>
    </row>
    <row r="75" spans="2:8" x14ac:dyDescent="0.25">
      <c r="B75" s="57" t="s">
        <v>427</v>
      </c>
    </row>
    <row r="76" spans="2:8" ht="45" x14ac:dyDescent="0.25">
      <c r="B76" s="136" t="s">
        <v>420</v>
      </c>
      <c r="C76" s="137" t="s">
        <v>421</v>
      </c>
      <c r="D76" s="137" t="s">
        <v>422</v>
      </c>
      <c r="E76" s="137" t="s">
        <v>519</v>
      </c>
      <c r="F76" s="137" t="s">
        <v>423</v>
      </c>
      <c r="G76" s="137" t="s">
        <v>424</v>
      </c>
      <c r="H76" s="137" t="s">
        <v>425</v>
      </c>
    </row>
    <row r="77" spans="2:8" s="225" customFormat="1" ht="30" x14ac:dyDescent="0.25">
      <c r="B77" s="232" t="str">
        <f>IF(H77&gt;0,(CONCATENATE(Harvest!$C4," with ",Harvest!$M4))," ")</f>
        <v>Header Wheat/Sorghum 18' Rigid with Combine (200-249 hp) 240 hp</v>
      </c>
      <c r="C77" s="205">
        <f>IF(H77&gt;0,(1/Harvest!$E4)," ")</f>
        <v>6.4909090909090921</v>
      </c>
      <c r="D77" s="157">
        <f>IF(H77&gt;0,(Harvest!$F4)," ")</f>
        <v>1</v>
      </c>
      <c r="E77" s="204">
        <f t="shared" ref="E77:E78" si="12">IF(H77&gt;0,(1/C77*D77*1.25)," ")</f>
        <v>0.19257703081232491</v>
      </c>
      <c r="F77" s="204">
        <f>IF(H77&gt;0,(Harvest!$O4)," ")</f>
        <v>1.90266106442577</v>
      </c>
      <c r="G77" s="231">
        <f>Harvest!$R4</f>
        <v>5.418154761904761</v>
      </c>
      <c r="H77" s="231">
        <f>Harvest!$U4</f>
        <v>31.153534761904758</v>
      </c>
    </row>
    <row r="78" spans="2:8" s="225" customFormat="1" ht="30" x14ac:dyDescent="0.25">
      <c r="B78" s="232" t="str">
        <f>IF(H78&gt;0,(CONCATENATE(Harvest!$C5," with ",Harvest!$M5))," ")</f>
        <v>Grain Cart Corn  500 bu with Tractor (120-139 hp) 2WD 130</v>
      </c>
      <c r="C78" s="205">
        <f>IF(H78&gt;0,(1/Harvest!$E5)," ")</f>
        <v>10.638297872340425</v>
      </c>
      <c r="D78" s="157">
        <f>IF(H78&gt;0,(Harvest!$F5)," ")</f>
        <v>1</v>
      </c>
      <c r="E78" s="204">
        <f t="shared" si="12"/>
        <v>0.11749999999999999</v>
      </c>
      <c r="F78" s="204">
        <f>IF(H78&gt;0,(Harvest!$O5)," ")</f>
        <v>0.62899159999999998</v>
      </c>
      <c r="G78" s="231">
        <f>Harvest!$R5</f>
        <v>1.3108074399999996</v>
      </c>
      <c r="H78" s="231">
        <f>Harvest!$U5</f>
        <v>3.5290925212399999</v>
      </c>
    </row>
    <row r="79" spans="2:8" ht="14.45" customHeight="1" x14ac:dyDescent="0.25">
      <c r="B79" s="158" t="s">
        <v>428</v>
      </c>
      <c r="C79" s="159"/>
      <c r="D79" s="159"/>
      <c r="E79" s="160">
        <f>SUM(E77:E78)</f>
        <v>0.31007703081232491</v>
      </c>
      <c r="F79" s="160">
        <f>SUM(F77:F78)</f>
        <v>2.5316526644257697</v>
      </c>
      <c r="G79" s="161">
        <f>SUM(G77:G78)</f>
        <v>6.7289622019047606</v>
      </c>
      <c r="H79" s="161">
        <f>SUM(H77:H78)</f>
        <v>34.682627283144761</v>
      </c>
    </row>
    <row r="80" spans="2:8" s="208" customFormat="1" x14ac:dyDescent="0.25">
      <c r="B80" s="209"/>
      <c r="C80" s="210"/>
      <c r="D80" s="210"/>
      <c r="E80" s="211"/>
      <c r="F80" s="211"/>
      <c r="G80" s="212"/>
      <c r="H80" s="212"/>
    </row>
    <row r="81" spans="2:8" ht="29.1" customHeight="1" x14ac:dyDescent="0.25">
      <c r="B81" s="266" t="s">
        <v>520</v>
      </c>
      <c r="C81" s="266"/>
      <c r="D81" s="266"/>
      <c r="E81" s="266"/>
      <c r="F81" s="266"/>
      <c r="G81" s="266"/>
      <c r="H81" s="266"/>
    </row>
    <row r="82" spans="2:8" ht="43.35" customHeight="1" x14ac:dyDescent="0.25">
      <c r="B82" s="214"/>
      <c r="C82" s="214"/>
      <c r="D82" s="214"/>
      <c r="E82" s="214"/>
      <c r="F82" s="214"/>
      <c r="G82" s="214"/>
      <c r="H82" s="214"/>
    </row>
    <row r="83" spans="2:8" ht="14.45" customHeight="1" x14ac:dyDescent="0.25">
      <c r="B83" s="261" t="s">
        <v>532</v>
      </c>
      <c r="C83" s="261"/>
      <c r="D83" s="261"/>
      <c r="E83" s="261"/>
      <c r="F83" s="261"/>
      <c r="G83" s="261"/>
      <c r="H83" s="261"/>
    </row>
    <row r="84" spans="2:8" x14ac:dyDescent="0.25">
      <c r="B84" s="262"/>
      <c r="C84" s="262"/>
      <c r="D84" s="262"/>
      <c r="E84" s="262"/>
      <c r="F84" s="262"/>
      <c r="G84" s="262"/>
      <c r="H84" s="262"/>
    </row>
    <row r="85" spans="2:8" x14ac:dyDescent="0.25">
      <c r="B85" s="150"/>
      <c r="C85" s="150"/>
      <c r="D85" s="150"/>
      <c r="E85" s="150"/>
      <c r="F85" s="150"/>
      <c r="G85" s="150"/>
      <c r="H85" s="150"/>
    </row>
  </sheetData>
  <mergeCells count="18">
    <mergeCell ref="B64:H64"/>
    <mergeCell ref="B65:H65"/>
    <mergeCell ref="B83:H84"/>
    <mergeCell ref="B33:H33"/>
    <mergeCell ref="B41:E41"/>
    <mergeCell ref="B53:G53"/>
    <mergeCell ref="B54:G54"/>
    <mergeCell ref="B55:G55"/>
    <mergeCell ref="B51:H52"/>
    <mergeCell ref="B81:H81"/>
    <mergeCell ref="B49:H49"/>
    <mergeCell ref="B1:H1"/>
    <mergeCell ref="B4:H4"/>
    <mergeCell ref="B30:E30"/>
    <mergeCell ref="B2:H2"/>
    <mergeCell ref="B56:B57"/>
    <mergeCell ref="B48:H48"/>
    <mergeCell ref="B47:H47"/>
  </mergeCells>
  <phoneticPr fontId="30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1/2017&amp;R&amp;G</oddFooter>
  </headerFooter>
  <rowBreaks count="1" manualBreakCount="1">
    <brk id="52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6" sqref="D26"/>
    </sheetView>
  </sheetViews>
  <sheetFormatPr defaultColWidth="8.85546875"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x14ac:dyDescent="0.2">
      <c r="A1" s="267" t="s">
        <v>359</v>
      </c>
      <c r="B1" s="267"/>
      <c r="C1" s="267"/>
      <c r="D1" s="267"/>
      <c r="E1" s="267"/>
      <c r="F1" s="267"/>
    </row>
    <row r="2" spans="1:8" x14ac:dyDescent="0.2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">
      <c r="A3" s="99" t="s">
        <v>360</v>
      </c>
      <c r="B3" s="99" t="s">
        <v>494</v>
      </c>
      <c r="C3" s="99">
        <v>125</v>
      </c>
      <c r="D3" s="100">
        <v>0.42</v>
      </c>
      <c r="E3" s="101">
        <f>D3*C3</f>
        <v>52.5</v>
      </c>
      <c r="F3" s="102">
        <f t="shared" ref="F3:F9" si="0">E3/yield</f>
        <v>0.52500000000000002</v>
      </c>
    </row>
    <row r="4" spans="1:8" x14ac:dyDescent="0.2">
      <c r="A4" s="103" t="s">
        <v>361</v>
      </c>
      <c r="B4" s="103" t="s">
        <v>494</v>
      </c>
      <c r="C4" s="103">
        <v>60</v>
      </c>
      <c r="D4" s="101">
        <v>0.39</v>
      </c>
      <c r="E4" s="101">
        <f t="shared" ref="E4:E9" si="1">D4*C4</f>
        <v>23.400000000000002</v>
      </c>
      <c r="F4" s="102">
        <f t="shared" si="0"/>
        <v>0.23400000000000001</v>
      </c>
    </row>
    <row r="5" spans="1:8" x14ac:dyDescent="0.2">
      <c r="A5" s="103" t="s">
        <v>362</v>
      </c>
      <c r="B5" s="103" t="s">
        <v>494</v>
      </c>
      <c r="C5" s="103">
        <v>90</v>
      </c>
      <c r="D5" s="101">
        <v>0.28000000000000003</v>
      </c>
      <c r="E5" s="101">
        <f t="shared" si="1"/>
        <v>25.200000000000003</v>
      </c>
      <c r="F5" s="102">
        <f t="shared" si="0"/>
        <v>0.252</v>
      </c>
    </row>
    <row r="6" spans="1:8" x14ac:dyDescent="0.2">
      <c r="A6" s="103" t="s">
        <v>363</v>
      </c>
      <c r="B6" s="103" t="s">
        <v>385</v>
      </c>
      <c r="C6" s="103">
        <v>0.5</v>
      </c>
      <c r="D6" s="101">
        <v>42</v>
      </c>
      <c r="E6" s="101">
        <f t="shared" si="1"/>
        <v>21</v>
      </c>
      <c r="F6" s="102">
        <f t="shared" si="0"/>
        <v>0.21</v>
      </c>
    </row>
    <row r="7" spans="1:8" x14ac:dyDescent="0.2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370</v>
      </c>
      <c r="B10" s="267"/>
      <c r="C10" s="267"/>
      <c r="D10" s="267"/>
      <c r="E10" s="79">
        <f>SUM(E3:E9)</f>
        <v>122.10000000000001</v>
      </c>
      <c r="F10" s="79">
        <f>SUM(F3:F9)</f>
        <v>1.2210000000000001</v>
      </c>
      <c r="H10" s="156" t="s">
        <v>447</v>
      </c>
    </row>
    <row r="12" spans="1:8" x14ac:dyDescent="0.2">
      <c r="A12" s="268" t="s">
        <v>394</v>
      </c>
      <c r="B12" s="268"/>
      <c r="C12" s="268"/>
      <c r="D12" s="268"/>
      <c r="E12" s="268"/>
      <c r="F12" s="268"/>
    </row>
    <row r="13" spans="1:8" x14ac:dyDescent="0.2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">
      <c r="A14" s="95" t="s">
        <v>495</v>
      </c>
      <c r="B14" s="91" t="s">
        <v>498</v>
      </c>
      <c r="C14" s="91">
        <v>1</v>
      </c>
      <c r="D14" s="92">
        <v>7.4</v>
      </c>
      <c r="E14" s="93">
        <f>C14*D14</f>
        <v>7.4</v>
      </c>
      <c r="F14" s="94">
        <f t="shared" ref="F14:F20" si="2">E14/yield</f>
        <v>7.400000000000001E-2</v>
      </c>
    </row>
    <row r="15" spans="1:8" x14ac:dyDescent="0.2">
      <c r="A15" s="95" t="s">
        <v>496</v>
      </c>
      <c r="B15" s="95" t="s">
        <v>499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6.4000000000000001E-2</v>
      </c>
    </row>
    <row r="16" spans="1:8" x14ac:dyDescent="0.2">
      <c r="A16" s="248" t="s">
        <v>497</v>
      </c>
      <c r="B16" s="95" t="s">
        <v>500</v>
      </c>
      <c r="C16" s="95">
        <v>1</v>
      </c>
      <c r="D16" s="93">
        <v>1.8</v>
      </c>
      <c r="E16" s="93">
        <f t="shared" si="3"/>
        <v>1.8</v>
      </c>
      <c r="F16" s="94">
        <f t="shared" si="2"/>
        <v>1.8000000000000002E-2</v>
      </c>
    </row>
    <row r="17" spans="1:8" x14ac:dyDescent="0.2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395</v>
      </c>
      <c r="B21" s="268"/>
      <c r="C21" s="268"/>
      <c r="D21" s="268"/>
      <c r="E21" s="80">
        <f>SUM(E14:E20)</f>
        <v>15.600000000000001</v>
      </c>
      <c r="F21" s="80">
        <f>SUM(F14:F20)</f>
        <v>0.15600000000000003</v>
      </c>
      <c r="H21" s="156" t="s">
        <v>447</v>
      </c>
    </row>
    <row r="23" spans="1:8" x14ac:dyDescent="0.2">
      <c r="A23" s="270" t="s">
        <v>396</v>
      </c>
      <c r="B23" s="270"/>
      <c r="C23" s="270"/>
      <c r="D23" s="270"/>
      <c r="E23" s="270"/>
      <c r="F23" s="270"/>
    </row>
    <row r="24" spans="1:8" x14ac:dyDescent="0.2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">
      <c r="A25" s="83" t="s">
        <v>528</v>
      </c>
      <c r="B25" s="83" t="s">
        <v>529</v>
      </c>
      <c r="C25" s="83">
        <v>4</v>
      </c>
      <c r="D25" s="84">
        <v>2.87</v>
      </c>
      <c r="E25" s="85">
        <f>D25*C25</f>
        <v>11.48</v>
      </c>
      <c r="F25" s="86">
        <f t="shared" ref="F25:F31" si="4">E25/yield</f>
        <v>0.1148</v>
      </c>
    </row>
    <row r="26" spans="1:8" x14ac:dyDescent="0.2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0" t="s">
        <v>397</v>
      </c>
      <c r="B32" s="270"/>
      <c r="C32" s="270"/>
      <c r="D32" s="270"/>
      <c r="E32" s="81">
        <f>SUM(E25:E31)</f>
        <v>11.48</v>
      </c>
      <c r="F32" s="81">
        <f>SUM(F25:F31)</f>
        <v>0.1148</v>
      </c>
      <c r="H32" s="156" t="s">
        <v>447</v>
      </c>
    </row>
    <row r="34" spans="1:8" x14ac:dyDescent="0.2">
      <c r="A34" s="269" t="s">
        <v>429</v>
      </c>
      <c r="B34" s="269"/>
      <c r="C34" s="269"/>
      <c r="D34" s="269"/>
      <c r="E34" s="269"/>
      <c r="F34" s="269"/>
    </row>
    <row r="35" spans="1:8" x14ac:dyDescent="0.2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430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447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0" t="s">
        <v>185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2" t="s">
        <v>172</v>
      </c>
      <c r="B2" s="42" t="s">
        <v>184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456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433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503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74" t="s">
        <v>509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3"/>
      <c r="B4" s="177" t="s">
        <v>504</v>
      </c>
      <c r="C4" s="234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17.641511999999999</v>
      </c>
      <c r="I4" s="59">
        <f t="shared" ref="I4:I14" si="10">H4*G4</f>
        <v>1.1550989999999999</v>
      </c>
      <c r="J4" s="59">
        <f t="shared" si="4"/>
        <v>42.369031319999998</v>
      </c>
      <c r="K4" s="60">
        <f t="shared" ref="K4:K14" si="11">J4*G4</f>
        <v>2.7741627649999998</v>
      </c>
      <c r="L4" s="174" t="s">
        <v>509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12.349649999999999</v>
      </c>
      <c r="Q4" s="59">
        <f t="shared" ref="Q4:Q14" si="13">P4*G4</f>
        <v>0.80860803571428563</v>
      </c>
      <c r="R4" s="59">
        <f t="shared" ref="R4:R14" si="14">I4+Q4</f>
        <v>1.9637070357142856</v>
      </c>
      <c r="S4" s="59">
        <f t="shared" si="8"/>
        <v>36.176241399999995</v>
      </c>
      <c r="T4" s="59">
        <f t="shared" ref="T4:T14" si="15">S4*G4</f>
        <v>2.3686824726190476</v>
      </c>
      <c r="U4" s="59">
        <f t="shared" ref="U4:U14" si="16">T4+K4</f>
        <v>5.1428452376190474</v>
      </c>
    </row>
    <row r="5" spans="1:21" x14ac:dyDescent="0.25">
      <c r="A5" s="273"/>
      <c r="B5" s="177" t="s">
        <v>505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509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3"/>
      <c r="B6" s="177" t="s">
        <v>508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510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3"/>
      <c r="B7" s="177" t="s">
        <v>506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510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3"/>
      <c r="B8" s="177" t="s">
        <v>507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510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5"/>
      <c r="M15" s="175"/>
      <c r="N15" s="61"/>
      <c r="O15" s="62">
        <f>SUM(O3:O14)</f>
        <v>5.1367433959427222</v>
      </c>
      <c r="P15" s="61"/>
      <c r="Q15" s="63"/>
      <c r="R15" s="63">
        <f>SUM(R3:R14)</f>
        <v>12.025078230781947</v>
      </c>
      <c r="S15" s="61"/>
      <c r="T15" s="63"/>
      <c r="U15" s="63">
        <f>SUM(U3:U14)</f>
        <v>32.492112445212364</v>
      </c>
    </row>
    <row r="16" spans="1:21" x14ac:dyDescent="0.2">
      <c r="B16" s="156" t="s">
        <v>447</v>
      </c>
      <c r="C16" s="156"/>
    </row>
    <row r="17" spans="1:14" x14ac:dyDescent="0.2">
      <c r="A17" s="51"/>
      <c r="B17" s="260" t="s">
        <v>178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457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447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0" t="s">
        <v>196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2" x14ac:dyDescent="0.2">
      <c r="A2" s="55"/>
      <c r="B2" s="42" t="s">
        <v>195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457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433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513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515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5.418154761904761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31.153534761904758</v>
      </c>
    </row>
    <row r="5" spans="1:21" x14ac:dyDescent="0.25">
      <c r="A5" s="275"/>
      <c r="B5" s="174" t="s">
        <v>514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510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5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6.7289622019047606</v>
      </c>
      <c r="S11" s="72"/>
      <c r="T11" s="75"/>
      <c r="U11" s="75">
        <f>SUM(U3:U10)</f>
        <v>34.682627283144761</v>
      </c>
    </row>
    <row r="12" spans="1:21" x14ac:dyDescent="0.2">
      <c r="B12" s="156" t="s">
        <v>447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8" t="s">
        <v>460</v>
      </c>
      <c r="B1" s="279"/>
      <c r="C1" s="280" t="s">
        <v>130</v>
      </c>
      <c r="D1" s="281"/>
      <c r="E1" s="281"/>
      <c r="F1" s="219">
        <v>0.09</v>
      </c>
    </row>
    <row r="2" spans="1:35" ht="15.95" thickBot="1" x14ac:dyDescent="0.25">
      <c r="C2" s="282" t="s">
        <v>129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454</v>
      </c>
      <c r="E4" s="167" t="s">
        <v>124</v>
      </c>
      <c r="F4" s="167" t="s">
        <v>123</v>
      </c>
      <c r="G4" s="167" t="s">
        <v>455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453</v>
      </c>
      <c r="E5" s="164" t="s">
        <v>471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6">
        <v>66</v>
      </c>
      <c r="B6" s="1" t="str">
        <f t="shared" si="0"/>
        <v>0.02, Bed-Disk  (Hipper)  6R-30</v>
      </c>
      <c r="C6" s="168">
        <v>0.02</v>
      </c>
      <c r="D6" s="164" t="s">
        <v>453</v>
      </c>
      <c r="E6" s="164" t="s">
        <v>471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6">
        <v>67</v>
      </c>
      <c r="B7" s="1" t="str">
        <f t="shared" si="0"/>
        <v>0.03, Bed-Disk  (Hipper)  6R-36</v>
      </c>
      <c r="C7" s="168">
        <v>0.03</v>
      </c>
      <c r="D7" s="164" t="s">
        <v>453</v>
      </c>
      <c r="E7" s="164" t="s">
        <v>471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6">
        <v>68</v>
      </c>
      <c r="B8" s="1" t="str">
        <f t="shared" si="0"/>
        <v>0.04, Bed-Disk  (Hipper)  8R-30</v>
      </c>
      <c r="C8" s="168">
        <v>0.04</v>
      </c>
      <c r="D8" s="164" t="s">
        <v>453</v>
      </c>
      <c r="E8" s="164" t="s">
        <v>471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6">
        <v>70</v>
      </c>
      <c r="B9" s="1" t="str">
        <f t="shared" si="0"/>
        <v>0.05, Bed-Disk  (Hipper) 10R-30</v>
      </c>
      <c r="C9" s="168">
        <v>0.05</v>
      </c>
      <c r="D9" s="164" t="s">
        <v>453</v>
      </c>
      <c r="E9" s="164" t="s">
        <v>471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453</v>
      </c>
      <c r="E10" s="164" t="s">
        <v>471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453</v>
      </c>
      <c r="E11" s="164" t="s">
        <v>471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453</v>
      </c>
      <c r="E12" s="164" t="s">
        <v>471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453</v>
      </c>
      <c r="E13" s="164" t="s">
        <v>471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453</v>
      </c>
      <c r="E14" s="164" t="s">
        <v>472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453</v>
      </c>
      <c r="E15" s="164" t="s">
        <v>473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453</v>
      </c>
      <c r="E16" s="164" t="s">
        <v>469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453</v>
      </c>
      <c r="E17" s="164" t="s">
        <v>469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453</v>
      </c>
      <c r="E18" s="164" t="s">
        <v>469</v>
      </c>
      <c r="F18" s="164" t="s">
        <v>470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6">
        <v>594</v>
      </c>
      <c r="B19" s="1" t="str">
        <f t="shared" si="0"/>
        <v>0.15, Bed-Middle Buster 4R-36</v>
      </c>
      <c r="C19" s="168">
        <v>0.15</v>
      </c>
      <c r="D19" s="164" t="s">
        <v>453</v>
      </c>
      <c r="E19" s="164" t="s">
        <v>474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6">
        <v>119</v>
      </c>
      <c r="B20" s="1" t="str">
        <f t="shared" si="0"/>
        <v>0.16, Bed-Middle Buster 6R-36</v>
      </c>
      <c r="C20" s="168">
        <v>0.16</v>
      </c>
      <c r="D20" s="164" t="s">
        <v>453</v>
      </c>
      <c r="E20" s="164" t="s">
        <v>474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6">
        <v>120</v>
      </c>
      <c r="B21" s="1" t="str">
        <f t="shared" si="0"/>
        <v>0.17, Bed-Middle Buster 8R-30</v>
      </c>
      <c r="C21" s="168">
        <v>0.17</v>
      </c>
      <c r="D21" s="164" t="s">
        <v>453</v>
      </c>
      <c r="E21" s="164" t="s">
        <v>474</v>
      </c>
      <c r="F21" s="164" t="s">
        <v>25</v>
      </c>
      <c r="G21" s="164" t="str">
        <f t="shared" si="1"/>
        <v>Bed-Middle Buster 8R-30</v>
      </c>
      <c r="H21" s="252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  <c r="AI21" s="223"/>
    </row>
    <row r="22" spans="1:35" x14ac:dyDescent="0.2">
      <c r="A22" s="246">
        <v>121</v>
      </c>
      <c r="B22" s="1" t="str">
        <f t="shared" si="0"/>
        <v>0.18, Bed-Middle Buster 8R-36</v>
      </c>
      <c r="C22" s="168">
        <v>0.18</v>
      </c>
      <c r="D22" s="164" t="s">
        <v>453</v>
      </c>
      <c r="E22" s="164" t="s">
        <v>474</v>
      </c>
      <c r="F22" s="164" t="s">
        <v>197</v>
      </c>
      <c r="G22" s="164" t="str">
        <f t="shared" si="1"/>
        <v>Bed-Middle Buster 8R-36</v>
      </c>
      <c r="H22" s="25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453</v>
      </c>
      <c r="E23" s="164" t="s">
        <v>474</v>
      </c>
      <c r="F23" s="164" t="s">
        <v>201</v>
      </c>
      <c r="G23" s="164" t="str">
        <f t="shared" si="1"/>
        <v>Bed-Middle Buster 8R-36 2x1</v>
      </c>
      <c r="H23" s="25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6">
        <v>122</v>
      </c>
      <c r="B24" s="1" t="str">
        <f t="shared" si="0"/>
        <v>0.2, Bed-Middle Buster 10R-30</v>
      </c>
      <c r="C24" s="168">
        <v>0.2</v>
      </c>
      <c r="D24" s="164" t="s">
        <v>453</v>
      </c>
      <c r="E24" s="164" t="s">
        <v>475</v>
      </c>
      <c r="F24" s="164" t="s">
        <v>24</v>
      </c>
      <c r="G24" s="164" t="str">
        <f t="shared" si="1"/>
        <v>Bed-Middle Buster 10R-30</v>
      </c>
      <c r="H24" s="25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453</v>
      </c>
      <c r="E25" s="164" t="s">
        <v>475</v>
      </c>
      <c r="F25" s="164" t="s">
        <v>202</v>
      </c>
      <c r="G25" s="164" t="str">
        <f t="shared" si="1"/>
        <v>Bed-Middle Buster 10R-36</v>
      </c>
      <c r="H25" s="25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453</v>
      </c>
      <c r="E26" s="164" t="s">
        <v>475</v>
      </c>
      <c r="F26" s="164" t="s">
        <v>198</v>
      </c>
      <c r="G26" s="164" t="str">
        <f t="shared" si="1"/>
        <v>Bed-Middle Buster 12R-36</v>
      </c>
      <c r="H26" s="25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453</v>
      </c>
      <c r="E27" s="164" t="s">
        <v>476</v>
      </c>
      <c r="F27" s="164" t="s">
        <v>197</v>
      </c>
      <c r="G27" s="164" t="str">
        <f t="shared" si="1"/>
        <v>Bed-Paratill   Fold 8R-36</v>
      </c>
      <c r="H27" s="252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453</v>
      </c>
      <c r="E28" s="164" t="s">
        <v>476</v>
      </c>
      <c r="F28" s="164" t="s">
        <v>24</v>
      </c>
      <c r="G28" s="164" t="str">
        <f t="shared" si="1"/>
        <v>Bed-Paratill   Fold10R-30</v>
      </c>
      <c r="H28" s="24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453</v>
      </c>
      <c r="E29" s="164" t="s">
        <v>476</v>
      </c>
      <c r="F29" s="164" t="s">
        <v>201</v>
      </c>
      <c r="G29" s="164" t="str">
        <f t="shared" si="1"/>
        <v>Bed-Paratill   Fold 8R-36 2x1</v>
      </c>
      <c r="H29" s="252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453</v>
      </c>
      <c r="E30" s="164" t="s">
        <v>476</v>
      </c>
      <c r="F30" s="164" t="s">
        <v>198</v>
      </c>
      <c r="G30" s="164" t="str">
        <f t="shared" si="1"/>
        <v>Bed-Paratill   Fold12R-36</v>
      </c>
      <c r="H30" s="252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453</v>
      </c>
      <c r="E31" s="164" t="s">
        <v>477</v>
      </c>
      <c r="F31" s="164" t="s">
        <v>48</v>
      </c>
      <c r="G31" s="164" t="str">
        <f t="shared" si="1"/>
        <v>Bed-Paratill   Rigid 4R-30</v>
      </c>
      <c r="H31" s="252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453</v>
      </c>
      <c r="E32" s="164" t="s">
        <v>477</v>
      </c>
      <c r="F32" s="164" t="s">
        <v>199</v>
      </c>
      <c r="G32" s="164" t="str">
        <f t="shared" si="1"/>
        <v>Bed-Paratill   Rigid 4R-36</v>
      </c>
      <c r="H32" s="252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453</v>
      </c>
      <c r="E33" s="164" t="s">
        <v>477</v>
      </c>
      <c r="F33" s="164" t="s">
        <v>53</v>
      </c>
      <c r="G33" s="164" t="str">
        <f t="shared" si="1"/>
        <v>Bed-Paratill   Rigid 6R-30</v>
      </c>
      <c r="H33" s="252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453</v>
      </c>
      <c r="E34" s="164" t="s">
        <v>477</v>
      </c>
      <c r="F34" s="164" t="s">
        <v>200</v>
      </c>
      <c r="G34" s="164" t="str">
        <f t="shared" si="1"/>
        <v>Bed-Paratill   Rigid 6R-36</v>
      </c>
      <c r="H34" s="252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453</v>
      </c>
      <c r="E35" s="164" t="s">
        <v>477</v>
      </c>
      <c r="F35" s="164" t="s">
        <v>25</v>
      </c>
      <c r="G35" s="164" t="str">
        <f t="shared" si="1"/>
        <v>Bed-Paratill   Rigid 8R-30</v>
      </c>
      <c r="H35" s="252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453</v>
      </c>
      <c r="E36" s="164" t="s">
        <v>477</v>
      </c>
      <c r="F36" s="164" t="s">
        <v>197</v>
      </c>
      <c r="G36" s="164" t="str">
        <f t="shared" si="1"/>
        <v>Bed-Paratill   Rigid 8R-36</v>
      </c>
      <c r="H36" s="252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453</v>
      </c>
      <c r="E37" s="164" t="s">
        <v>477</v>
      </c>
      <c r="F37" s="164" t="s">
        <v>24</v>
      </c>
      <c r="G37" s="164" t="str">
        <f t="shared" si="1"/>
        <v>Bed-Paratill   Rigid10R-30</v>
      </c>
      <c r="H37" s="25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453</v>
      </c>
      <c r="E38" s="164" t="s">
        <v>478</v>
      </c>
      <c r="F38" s="164" t="s">
        <v>0</v>
      </c>
      <c r="G38" s="164" t="str">
        <f t="shared" si="1"/>
        <v>Bed-Paratill  w/rol4R-30</v>
      </c>
      <c r="H38" s="252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453</v>
      </c>
      <c r="E39" s="164" t="s">
        <v>486</v>
      </c>
      <c r="F39" s="164" t="s">
        <v>73</v>
      </c>
      <c r="G39" s="164" t="str">
        <f t="shared" si="1"/>
        <v>Bed-Paratill  w/roll 4R-36</v>
      </c>
      <c r="H39" s="252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453</v>
      </c>
      <c r="E40" s="164" t="s">
        <v>486</v>
      </c>
      <c r="F40" s="164" t="s">
        <v>204</v>
      </c>
      <c r="G40" s="164" t="str">
        <f t="shared" si="1"/>
        <v>Bed-Paratill  w/roll 6R-36</v>
      </c>
      <c r="H40" s="252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453</v>
      </c>
      <c r="E41" s="164" t="s">
        <v>479</v>
      </c>
      <c r="F41" s="164" t="s">
        <v>197</v>
      </c>
      <c r="G41" s="164" t="str">
        <f t="shared" si="1"/>
        <v>Bed-Rip/Disk Fold. 8R-36</v>
      </c>
      <c r="H41" s="252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453</v>
      </c>
      <c r="E42" s="164" t="s">
        <v>479</v>
      </c>
      <c r="F42" s="164" t="s">
        <v>6</v>
      </c>
      <c r="G42" s="164" t="str">
        <f t="shared" si="1"/>
        <v>Bed-Rip/Disk Fold.12R-30</v>
      </c>
      <c r="H42" s="252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453</v>
      </c>
      <c r="E43" s="164" t="s">
        <v>479</v>
      </c>
      <c r="F43" s="164" t="s">
        <v>198</v>
      </c>
      <c r="G43" s="164" t="str">
        <f t="shared" si="1"/>
        <v>Bed-Rip/Disk Fold.12R-36</v>
      </c>
      <c r="H43" s="252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5">
      <c r="A44" s="246">
        <v>607</v>
      </c>
      <c r="B44" s="1" t="str">
        <f t="shared" si="0"/>
        <v>0.4, Bed-Rip/Disk Rigid 4R-30</v>
      </c>
      <c r="C44" s="168">
        <v>0.4</v>
      </c>
      <c r="D44" s="164" t="s">
        <v>453</v>
      </c>
      <c r="E44" s="164" t="s">
        <v>480</v>
      </c>
      <c r="F44" s="164" t="s">
        <v>48</v>
      </c>
      <c r="G44" s="164" t="str">
        <f t="shared" si="1"/>
        <v>Bed-Rip/Disk Rigid 4R-30</v>
      </c>
      <c r="H44" s="252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5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453</v>
      </c>
      <c r="E45" s="164" t="s">
        <v>480</v>
      </c>
      <c r="F45" s="164" t="s">
        <v>199</v>
      </c>
      <c r="G45" s="164" t="str">
        <f t="shared" si="1"/>
        <v>Bed-Rip/Disk Rigid 4R-36</v>
      </c>
      <c r="H45" s="252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5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453</v>
      </c>
      <c r="E46" s="164" t="s">
        <v>480</v>
      </c>
      <c r="F46" s="164" t="s">
        <v>25</v>
      </c>
      <c r="G46" s="164" t="str">
        <f t="shared" si="1"/>
        <v>Bed-Rip/Disk Rigid 8R-30</v>
      </c>
      <c r="H46" s="252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5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453</v>
      </c>
      <c r="E47" s="164" t="s">
        <v>480</v>
      </c>
      <c r="F47" s="164" t="s">
        <v>200</v>
      </c>
      <c r="G47" s="164" t="str">
        <f t="shared" si="1"/>
        <v>Bed-Rip/Disk Rigid 6R-36</v>
      </c>
      <c r="H47" s="252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5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453</v>
      </c>
      <c r="E48" s="164" t="s">
        <v>480</v>
      </c>
      <c r="F48" s="164" t="s">
        <v>197</v>
      </c>
      <c r="G48" s="164" t="str">
        <f t="shared" si="1"/>
        <v>Bed-Rip/Disk Rigid 8R-36</v>
      </c>
      <c r="H48" s="252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5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453</v>
      </c>
      <c r="E49" s="164" t="s">
        <v>481</v>
      </c>
      <c r="F49" s="164" t="s">
        <v>47</v>
      </c>
      <c r="G49" s="164" t="str">
        <f t="shared" si="1"/>
        <v>Bed-Rip/Disk Rigid 6R-30</v>
      </c>
      <c r="H49" s="252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5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453</v>
      </c>
      <c r="E50" s="164" t="s">
        <v>482</v>
      </c>
      <c r="F50" s="164" t="s">
        <v>46</v>
      </c>
      <c r="G50" s="164" t="str">
        <f t="shared" si="1"/>
        <v>Bed-Rip/Disk/Cond. 6-Row</v>
      </c>
      <c r="H50" s="252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5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453</v>
      </c>
      <c r="E51" s="164" t="s">
        <v>482</v>
      </c>
      <c r="F51" s="164" t="s">
        <v>45</v>
      </c>
      <c r="G51" s="164" t="str">
        <f t="shared" si="1"/>
        <v>Bed-Rip/Disk/Cond. 8-Row</v>
      </c>
      <c r="H51" s="252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5">
      <c r="A52" s="246">
        <v>510</v>
      </c>
      <c r="B52" s="1" t="str">
        <f t="shared" si="0"/>
        <v>0.48, Bed-Roll-Fold. 8R-36</v>
      </c>
      <c r="C52" s="168">
        <v>0.48</v>
      </c>
      <c r="D52" s="164" t="s">
        <v>453</v>
      </c>
      <c r="E52" s="164" t="s">
        <v>483</v>
      </c>
      <c r="F52" s="164" t="s">
        <v>197</v>
      </c>
      <c r="G52" s="164" t="str">
        <f t="shared" si="1"/>
        <v>Bed-Roll-Fold. 8R-36</v>
      </c>
      <c r="H52" s="24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5">
      <c r="A53" s="246">
        <v>512</v>
      </c>
      <c r="B53" s="1" t="str">
        <f t="shared" si="0"/>
        <v>0.49, Bed-Roll-Fold. 12R-30</v>
      </c>
      <c r="C53" s="168">
        <v>0.49</v>
      </c>
      <c r="D53" s="164" t="s">
        <v>453</v>
      </c>
      <c r="E53" s="164" t="s">
        <v>484</v>
      </c>
      <c r="F53" s="164" t="s">
        <v>6</v>
      </c>
      <c r="G53" s="164" t="str">
        <f t="shared" si="1"/>
        <v>Bed-Roll-Fold. 12R-30</v>
      </c>
      <c r="H53" s="24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6">
        <v>513</v>
      </c>
      <c r="B54" s="1" t="str">
        <f t="shared" si="0"/>
        <v>0.5, Bed-Roll-Fold. 12R-36</v>
      </c>
      <c r="C54" s="168">
        <v>0.5</v>
      </c>
      <c r="D54" s="164" t="s">
        <v>453</v>
      </c>
      <c r="E54" s="164" t="s">
        <v>484</v>
      </c>
      <c r="F54" s="164" t="s">
        <v>198</v>
      </c>
      <c r="G54" s="164" t="str">
        <f t="shared" si="1"/>
        <v>Bed-Roll-Fold. 12R-36</v>
      </c>
      <c r="H54" s="249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6">
        <v>514</v>
      </c>
      <c r="B55" s="1" t="str">
        <f t="shared" si="0"/>
        <v>0.51, Bed-Roll-Fold. 16R-30</v>
      </c>
      <c r="C55" s="168">
        <v>0.51</v>
      </c>
      <c r="D55" s="164" t="s">
        <v>453</v>
      </c>
      <c r="E55" s="164" t="s">
        <v>484</v>
      </c>
      <c r="F55" s="164" t="s">
        <v>59</v>
      </c>
      <c r="G55" s="164" t="str">
        <f t="shared" si="1"/>
        <v>Bed-Roll-Fold. 16R-30</v>
      </c>
      <c r="H55" s="24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6">
        <v>511</v>
      </c>
      <c r="B56" s="1" t="str">
        <f t="shared" si="0"/>
        <v>0.52, Bed-Roll-Rigid  8R-36</v>
      </c>
      <c r="C56" s="168">
        <v>0.52</v>
      </c>
      <c r="D56" s="164" t="s">
        <v>453</v>
      </c>
      <c r="E56" s="164" t="s">
        <v>485</v>
      </c>
      <c r="F56" s="164" t="s">
        <v>197</v>
      </c>
      <c r="G56" s="164" t="str">
        <f t="shared" si="1"/>
        <v>Bed-Roll-Rigid  8R-36</v>
      </c>
      <c r="H56" s="24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6">
        <v>418</v>
      </c>
      <c r="B57" s="1" t="str">
        <f t="shared" si="0"/>
        <v>0.53, Blade-Box  6'-7'</v>
      </c>
      <c r="C57" s="168">
        <v>0.53</v>
      </c>
      <c r="D57" s="164" t="s">
        <v>453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6">
        <v>473</v>
      </c>
      <c r="B58" s="1" t="str">
        <f t="shared" si="0"/>
        <v>0.54, Blade-Box  8'-10'</v>
      </c>
      <c r="C58" s="168">
        <v>0.54</v>
      </c>
      <c r="D58" s="164" t="s">
        <v>453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453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453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453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453</v>
      </c>
      <c r="E62" s="164" t="s">
        <v>266</v>
      </c>
      <c r="F62" s="164" t="s">
        <v>95</v>
      </c>
      <c r="G62" s="164" t="str">
        <f t="shared" si="1"/>
        <v>Blade-Scraper 12'-16'</v>
      </c>
      <c r="H62" s="253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6">
        <v>5</v>
      </c>
      <c r="B63" s="1" t="str">
        <f t="shared" si="0"/>
        <v>0.59, Chisel Plow-Folding 16'</v>
      </c>
      <c r="C63" s="168">
        <v>0.59</v>
      </c>
      <c r="D63" s="164" t="s">
        <v>453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6">
        <v>408</v>
      </c>
      <c r="B64" s="1" t="str">
        <f t="shared" si="0"/>
        <v>0.6, Chisel Plow-Folding 24'</v>
      </c>
      <c r="C64" s="168">
        <v>0.6</v>
      </c>
      <c r="D64" s="164" t="s">
        <v>453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6">
        <v>7</v>
      </c>
      <c r="B65" s="1" t="str">
        <f t="shared" si="0"/>
        <v>0.61, Chisel Plow-Folding 32'</v>
      </c>
      <c r="C65" s="168">
        <v>0.61</v>
      </c>
      <c r="D65" s="164" t="s">
        <v>453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6">
        <v>230</v>
      </c>
      <c r="B66" s="1" t="str">
        <f t="shared" si="0"/>
        <v>0.62, Chisel Plow-Folding 42'</v>
      </c>
      <c r="C66" s="168">
        <v>0.62</v>
      </c>
      <c r="D66" s="164" t="s">
        <v>453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6">
        <v>651</v>
      </c>
      <c r="B67" s="1" t="str">
        <f t="shared" si="0"/>
        <v>0.63, Chisel Plow-Folding 50'</v>
      </c>
      <c r="C67" s="168">
        <v>0.63</v>
      </c>
      <c r="D67" s="164" t="s">
        <v>453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6">
        <v>702</v>
      </c>
      <c r="B68" s="1" t="str">
        <f t="shared" si="0"/>
        <v>0.64, Chisel Plow-Folding 61'</v>
      </c>
      <c r="C68" s="168">
        <v>0.64</v>
      </c>
      <c r="D68" s="164" t="s">
        <v>453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453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6">
        <v>4</v>
      </c>
      <c r="B70" s="1" t="str">
        <f t="shared" si="15"/>
        <v>0.66, Chisel Plow-Rigid 15'</v>
      </c>
      <c r="C70" s="168">
        <v>0.66</v>
      </c>
      <c r="D70" s="164" t="s">
        <v>453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6">
        <v>701</v>
      </c>
      <c r="B71" s="1" t="str">
        <f t="shared" si="15"/>
        <v>0.67, Chisel Plow-Rigid 20'</v>
      </c>
      <c r="C71" s="168">
        <v>0.67</v>
      </c>
      <c r="D71" s="164" t="s">
        <v>453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6">
        <v>6</v>
      </c>
      <c r="B72" s="1" t="str">
        <f t="shared" si="15"/>
        <v>0.68, Chisel Plow-Rigid 24'</v>
      </c>
      <c r="C72" s="168">
        <v>0.68</v>
      </c>
      <c r="D72" s="164" t="s">
        <v>453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6">
        <v>294</v>
      </c>
      <c r="B73" s="1" t="str">
        <f t="shared" si="15"/>
        <v>0.69, Chisel-Harrow 21 shank</v>
      </c>
      <c r="C73" s="168">
        <v>0.69</v>
      </c>
      <c r="D73" s="164" t="s">
        <v>453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6">
        <v>293</v>
      </c>
      <c r="B74" s="1" t="str">
        <f t="shared" si="15"/>
        <v>0.7, Chisel-Harrow 27 shank</v>
      </c>
      <c r="C74" s="168">
        <v>0.7</v>
      </c>
      <c r="D74" s="164" t="s">
        <v>453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453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453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453</v>
      </c>
      <c r="E77" s="164" t="s">
        <v>489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453</v>
      </c>
      <c r="E78" s="164" t="s">
        <v>491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6">
        <v>579</v>
      </c>
      <c r="B79" s="1" t="str">
        <f t="shared" si="15"/>
        <v>0.75, Cultivate  4R-30</v>
      </c>
      <c r="C79" s="168">
        <v>0.75</v>
      </c>
      <c r="D79" s="164" t="s">
        <v>453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6">
        <v>31</v>
      </c>
      <c r="B80" s="1" t="str">
        <f t="shared" si="15"/>
        <v>0.76, Cultivate  4R-36</v>
      </c>
      <c r="C80" s="168">
        <v>0.76</v>
      </c>
      <c r="D80" s="164" t="s">
        <v>453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6">
        <v>32</v>
      </c>
      <c r="B81" s="1" t="str">
        <f t="shared" si="15"/>
        <v>0.77, Cultivate  6R-30</v>
      </c>
      <c r="C81" s="168">
        <v>0.77</v>
      </c>
      <c r="D81" s="164" t="s">
        <v>453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6">
        <v>33</v>
      </c>
      <c r="B82" s="1" t="str">
        <f t="shared" si="15"/>
        <v>0.78, Cultivate  6R-36</v>
      </c>
      <c r="C82" s="168">
        <v>0.78</v>
      </c>
      <c r="D82" s="164" t="s">
        <v>453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6">
        <v>34</v>
      </c>
      <c r="B83" s="1" t="str">
        <f t="shared" si="15"/>
        <v>0.79, Cultivate  8R-30</v>
      </c>
      <c r="C83" s="168">
        <v>0.79</v>
      </c>
      <c r="D83" s="164" t="s">
        <v>453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6">
        <v>35</v>
      </c>
      <c r="B84" s="1" t="str">
        <f t="shared" si="15"/>
        <v>0.8, Cultivate  8R-36</v>
      </c>
      <c r="C84" s="168">
        <v>0.8</v>
      </c>
      <c r="D84" s="164" t="s">
        <v>453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6">
        <v>36</v>
      </c>
      <c r="B85" s="1" t="str">
        <f t="shared" si="15"/>
        <v>0.81, Cultivate 10R-30</v>
      </c>
      <c r="C85" s="168">
        <v>0.81</v>
      </c>
      <c r="D85" s="164" t="s">
        <v>453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6">
        <v>508</v>
      </c>
      <c r="B86" s="1" t="str">
        <f t="shared" si="15"/>
        <v>0.82, Cultivate 12R-30</v>
      </c>
      <c r="C86" s="168">
        <v>0.82</v>
      </c>
      <c r="D86" s="164" t="s">
        <v>453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6">
        <v>235</v>
      </c>
      <c r="B87" s="1" t="str">
        <f t="shared" si="15"/>
        <v>0.83, Cultivate  8R-36 2x1</v>
      </c>
      <c r="C87" s="168">
        <v>0.83</v>
      </c>
      <c r="D87" s="164" t="s">
        <v>453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6">
        <v>236</v>
      </c>
      <c r="B88" s="1" t="str">
        <f t="shared" si="15"/>
        <v>0.84, Cultivate 12R-36</v>
      </c>
      <c r="C88" s="168">
        <v>0.84</v>
      </c>
      <c r="D88" s="164" t="s">
        <v>453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6">
        <v>580</v>
      </c>
      <c r="B89" s="1" t="str">
        <f t="shared" si="15"/>
        <v>0.85, Cultivate 16R-30</v>
      </c>
      <c r="C89" s="168">
        <v>0.85</v>
      </c>
      <c r="D89" s="164" t="s">
        <v>453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453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453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453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453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453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453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453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453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453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453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453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453</v>
      </c>
      <c r="E101" s="164" t="s">
        <v>490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453</v>
      </c>
      <c r="E102" s="164" t="s">
        <v>492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453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453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453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453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453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6">
        <v>72</v>
      </c>
      <c r="B108" s="1" t="str">
        <f t="shared" si="15"/>
        <v>1.04, Disk Harrow 14'</v>
      </c>
      <c r="C108" s="168">
        <v>1.04</v>
      </c>
      <c r="D108" s="164" t="s">
        <v>453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6">
        <v>743</v>
      </c>
      <c r="B109" s="1" t="str">
        <f t="shared" si="15"/>
        <v>1.05, Disk Harrow 20'</v>
      </c>
      <c r="C109" s="168">
        <v>1.05</v>
      </c>
      <c r="D109" s="164" t="s">
        <v>453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6">
        <v>73</v>
      </c>
      <c r="B110" s="1" t="str">
        <f t="shared" si="15"/>
        <v>1.06, Disk Harrow 24'</v>
      </c>
      <c r="C110" s="168">
        <v>1.06</v>
      </c>
      <c r="D110" s="164" t="s">
        <v>453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6">
        <v>291</v>
      </c>
      <c r="B111" s="1" t="str">
        <f t="shared" si="15"/>
        <v>1.07, Disk Harrow 28'</v>
      </c>
      <c r="C111" s="168">
        <v>1.07</v>
      </c>
      <c r="D111" s="164" t="s">
        <v>453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6">
        <v>74</v>
      </c>
      <c r="B112" s="1" t="str">
        <f t="shared" si="15"/>
        <v>1.08, Disk Harrow 32'</v>
      </c>
      <c r="C112" s="168">
        <v>1.08</v>
      </c>
      <c r="D112" s="164" t="s">
        <v>453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453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453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453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453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453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453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453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453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453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453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453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453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453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453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453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453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453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453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453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453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453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453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453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453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453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6">
        <v>556</v>
      </c>
      <c r="B138" s="1" t="str">
        <f t="shared" si="30"/>
        <v>1.34, Grain Drill  8'</v>
      </c>
      <c r="C138" s="168">
        <v>1.34</v>
      </c>
      <c r="D138" s="164" t="s">
        <v>453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6">
        <v>558</v>
      </c>
      <c r="B139" s="1" t="str">
        <f t="shared" si="30"/>
        <v>1.35, Grain Drill 10'</v>
      </c>
      <c r="C139" s="168">
        <v>1.35</v>
      </c>
      <c r="D139" s="164" t="s">
        <v>453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6">
        <v>106</v>
      </c>
      <c r="B140" s="1" t="str">
        <f t="shared" si="30"/>
        <v>1.36, Grain Drill 12'</v>
      </c>
      <c r="C140" s="168">
        <v>1.36</v>
      </c>
      <c r="D140" s="164" t="s">
        <v>453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6">
        <v>208</v>
      </c>
      <c r="B141" s="1" t="str">
        <f t="shared" si="30"/>
        <v>1.37, Grain Drill 15'</v>
      </c>
      <c r="C141" s="168">
        <v>1.37</v>
      </c>
      <c r="D141" s="164" t="s">
        <v>453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6">
        <v>107</v>
      </c>
      <c r="B142" s="1" t="str">
        <f t="shared" si="30"/>
        <v>1.38, Grain Drill 20'</v>
      </c>
      <c r="C142" s="168">
        <v>1.38</v>
      </c>
      <c r="D142" s="164" t="s">
        <v>453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6">
        <v>209</v>
      </c>
      <c r="B143" s="1" t="str">
        <f t="shared" si="30"/>
        <v>1.39, Grain Drill 24'</v>
      </c>
      <c r="C143" s="168">
        <v>1.39</v>
      </c>
      <c r="D143" s="164" t="s">
        <v>453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6">
        <v>108</v>
      </c>
      <c r="B144" s="1" t="str">
        <f t="shared" si="30"/>
        <v>1.4, Grain Drill 30'</v>
      </c>
      <c r="C144" s="168">
        <v>1.4</v>
      </c>
      <c r="D144" s="164" t="s">
        <v>453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6">
        <v>560</v>
      </c>
      <c r="B145" s="1" t="str">
        <f t="shared" si="30"/>
        <v>1.41, Grain Drill 35'</v>
      </c>
      <c r="C145" s="168">
        <v>1.41</v>
      </c>
      <c r="D145" s="164" t="s">
        <v>453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453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453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453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453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453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453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453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453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453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3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453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453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453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453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453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453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6">
        <v>185</v>
      </c>
      <c r="B161" s="1" t="str">
        <f t="shared" si="30"/>
        <v>1.57, Harrow - Rigid 13'</v>
      </c>
      <c r="C161" s="168">
        <v>1.57</v>
      </c>
      <c r="D161" s="164" t="s">
        <v>453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6"/>
      <c r="B162" s="1" t="str">
        <f t="shared" si="30"/>
        <v>1.58, Heavy Disk 14'</v>
      </c>
      <c r="C162" s="168">
        <v>1.58</v>
      </c>
      <c r="D162" s="164" t="s">
        <v>453</v>
      </c>
      <c r="E162" s="164" t="s">
        <v>437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6"/>
      <c r="B163" s="1" t="str">
        <f t="shared" si="30"/>
        <v>1.59, Heavy Disk 21'</v>
      </c>
      <c r="C163" s="168">
        <v>1.59</v>
      </c>
      <c r="D163" s="164" t="s">
        <v>453</v>
      </c>
      <c r="E163" s="164" t="s">
        <v>437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6"/>
      <c r="B164" s="1" t="str">
        <f t="shared" si="30"/>
        <v>1.6, Heavy Disk 27'</v>
      </c>
      <c r="C164" s="168">
        <v>1.6</v>
      </c>
      <c r="D164" s="164" t="s">
        <v>453</v>
      </c>
      <c r="E164" s="164" t="s">
        <v>437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6">
        <v>113</v>
      </c>
      <c r="B165" s="1" t="str">
        <f t="shared" si="30"/>
        <v>1.61, Land Plane 50'x16'</v>
      </c>
      <c r="C165" s="168">
        <v>1.61</v>
      </c>
      <c r="D165" s="164" t="s">
        <v>453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453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453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453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6">
        <v>723</v>
      </c>
      <c r="B169" s="1" t="str">
        <f t="shared" si="30"/>
        <v>1.65, NT Grain Drill  6'</v>
      </c>
      <c r="C169" s="168">
        <v>1.65</v>
      </c>
      <c r="D169" s="164" t="s">
        <v>453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6">
        <v>554</v>
      </c>
      <c r="B170" s="1" t="str">
        <f t="shared" si="30"/>
        <v>1.66, NT Grain Drill 10'</v>
      </c>
      <c r="C170" s="168">
        <v>1.66</v>
      </c>
      <c r="D170" s="164" t="s">
        <v>453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6">
        <v>127</v>
      </c>
      <c r="B171" s="1" t="str">
        <f t="shared" si="30"/>
        <v>1.67, NT Grain Drill 12'</v>
      </c>
      <c r="C171" s="168">
        <v>1.67</v>
      </c>
      <c r="D171" s="164" t="s">
        <v>453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6">
        <v>328</v>
      </c>
      <c r="B172" s="1" t="str">
        <f t="shared" si="30"/>
        <v>1.68, NT Grain Drill 15'</v>
      </c>
      <c r="C172" s="168">
        <v>1.68</v>
      </c>
      <c r="D172" s="164" t="s">
        <v>453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6">
        <v>128</v>
      </c>
      <c r="B173" s="1" t="str">
        <f t="shared" si="30"/>
        <v>1.69, NT Grain Drill 20'</v>
      </c>
      <c r="C173" s="168">
        <v>1.69</v>
      </c>
      <c r="D173" s="164" t="s">
        <v>453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6">
        <v>329</v>
      </c>
      <c r="B174" s="1" t="str">
        <f t="shared" si="30"/>
        <v>1.7, NT Grain Drill 24'</v>
      </c>
      <c r="C174" s="168">
        <v>1.7</v>
      </c>
      <c r="D174" s="164" t="s">
        <v>453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6">
        <v>129</v>
      </c>
      <c r="B175" s="1" t="str">
        <f t="shared" si="30"/>
        <v>1.71, NT Grain Drill 30'</v>
      </c>
      <c r="C175" s="168">
        <v>1.71</v>
      </c>
      <c r="D175" s="164" t="s">
        <v>453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453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453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453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453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453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453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453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453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453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453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453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453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453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453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453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453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453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453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453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453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453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453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453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453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453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453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453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453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453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453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453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453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453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453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453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453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453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453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453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453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453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453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453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453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453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453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453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453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453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453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453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453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453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453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453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453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453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453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453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453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453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453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453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453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453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453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453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3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453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3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453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3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453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3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453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3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453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453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453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453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453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453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453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453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453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453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453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453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453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453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453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453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453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6">
        <v>147</v>
      </c>
      <c r="B264" s="1" t="str">
        <f t="shared" si="60"/>
        <v>2.6, Plant - Rigid  6R-36</v>
      </c>
      <c r="C264" s="168">
        <v>2.6</v>
      </c>
      <c r="D264" s="164" t="s">
        <v>453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453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453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453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453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453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453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453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453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453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453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453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453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453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453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453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453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453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453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453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453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453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453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453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453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453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453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453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453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453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453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453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453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453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453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453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453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453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453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6"/>
      <c r="B303" s="1" t="str">
        <f t="shared" si="60"/>
        <v>2.99, Plow 4 Bottom Switch</v>
      </c>
      <c r="C303" s="168">
        <v>2.99</v>
      </c>
      <c r="D303" s="164" t="s">
        <v>453</v>
      </c>
      <c r="E303" s="164" t="s">
        <v>438</v>
      </c>
      <c r="F303" s="164" t="s">
        <v>439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6"/>
      <c r="B304" s="1" t="str">
        <f t="shared" si="60"/>
        <v>3, Plow 5 Bottom Switch</v>
      </c>
      <c r="C304" s="168">
        <v>3</v>
      </c>
      <c r="D304" s="164" t="s">
        <v>453</v>
      </c>
      <c r="E304" s="164" t="s">
        <v>438</v>
      </c>
      <c r="F304" s="164" t="s">
        <v>440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453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453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453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453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6">
        <v>718</v>
      </c>
      <c r="B309" s="1" t="str">
        <f t="shared" si="60"/>
        <v>3.05, Roller/Stubble 20'</v>
      </c>
      <c r="C309" s="168">
        <v>3.05</v>
      </c>
      <c r="D309" s="164" t="s">
        <v>453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6">
        <v>719</v>
      </c>
      <c r="B310" s="1" t="str">
        <f t="shared" si="60"/>
        <v>3.06, Roller/Stubble 32'</v>
      </c>
      <c r="C310" s="168">
        <v>3.06</v>
      </c>
      <c r="D310" s="164" t="s">
        <v>453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6">
        <v>485</v>
      </c>
      <c r="B311" s="1" t="str">
        <f t="shared" si="60"/>
        <v>3.07, Rotary Cutter  7'</v>
      </c>
      <c r="C311" s="168">
        <v>3.07</v>
      </c>
      <c r="D311" s="164" t="s">
        <v>453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6">
        <v>199</v>
      </c>
      <c r="B312" s="1" t="str">
        <f t="shared" si="60"/>
        <v>3.08, Rotary Cutter 12'</v>
      </c>
      <c r="C312" s="168">
        <v>3.08</v>
      </c>
      <c r="D312" s="164" t="s">
        <v>453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453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453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453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453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453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453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453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453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453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6">
        <v>177</v>
      </c>
      <c r="B322" s="1" t="str">
        <f t="shared" si="60"/>
        <v>3.18, Row Cond Rigid 13'</v>
      </c>
      <c r="C322" s="168">
        <v>3.18</v>
      </c>
      <c r="D322" s="164" t="s">
        <v>453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6">
        <v>178</v>
      </c>
      <c r="B323" s="1" t="str">
        <f t="shared" si="60"/>
        <v>3.19, Row Cond Rigid 21'</v>
      </c>
      <c r="C323" s="168">
        <v>3.19</v>
      </c>
      <c r="D323" s="164" t="s">
        <v>453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6">
        <v>179</v>
      </c>
      <c r="B324" s="1" t="str">
        <f t="shared" si="60"/>
        <v>3.2, Row Cond Rigid 26'</v>
      </c>
      <c r="C324" s="168">
        <v>3.2</v>
      </c>
      <c r="D324" s="164" t="s">
        <v>453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453</v>
      </c>
      <c r="E325" s="164" t="s">
        <v>487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453</v>
      </c>
      <c r="E326" s="164" t="s">
        <v>487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453</v>
      </c>
      <c r="E327" s="164" t="s">
        <v>487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453</v>
      </c>
      <c r="E328" s="164" t="s">
        <v>488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453</v>
      </c>
      <c r="E329" s="164" t="s">
        <v>488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453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453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453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6">
        <v>733</v>
      </c>
      <c r="B333" s="1" t="str">
        <f t="shared" si="75"/>
        <v>3.29, Spray (ATV) 20'</v>
      </c>
      <c r="C333" s="168">
        <v>3.29</v>
      </c>
      <c r="D333" s="164" t="s">
        <v>453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453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453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453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453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453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453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453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453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453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453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453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453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453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453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453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453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453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453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453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453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453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453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453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453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453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453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453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453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453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453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453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453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453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453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453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453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6">
        <v>194</v>
      </c>
      <c r="B370" s="1" t="str">
        <f t="shared" si="75"/>
        <v>3.66, Spray (Spot) 27'</v>
      </c>
      <c r="C370" s="168">
        <v>3.66</v>
      </c>
      <c r="D370" s="164" t="s">
        <v>453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6">
        <v>195</v>
      </c>
      <c r="B371" s="1" t="str">
        <f t="shared" si="75"/>
        <v>3.67, Spray (Spot) 40'</v>
      </c>
      <c r="C371" s="168">
        <v>3.67</v>
      </c>
      <c r="D371" s="164" t="s">
        <v>453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6">
        <v>358</v>
      </c>
      <c r="B372" s="1" t="str">
        <f t="shared" si="75"/>
        <v>3.68, Spray (Spot) 50'</v>
      </c>
      <c r="C372" s="168">
        <v>3.68</v>
      </c>
      <c r="D372" s="164" t="s">
        <v>453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6">
        <v>359</v>
      </c>
      <c r="B373" s="1" t="str">
        <f t="shared" si="75"/>
        <v>3.69, Spray (Spot) 53'</v>
      </c>
      <c r="C373" s="168">
        <v>3.69</v>
      </c>
      <c r="D373" s="164" t="s">
        <v>453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6">
        <v>196</v>
      </c>
      <c r="B374" s="1" t="str">
        <f t="shared" si="75"/>
        <v>3.7, Spray (Spot) 60'</v>
      </c>
      <c r="C374" s="168">
        <v>3.7</v>
      </c>
      <c r="D374" s="164" t="s">
        <v>453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6"/>
      <c r="B375" s="1" t="str">
        <f t="shared" si="75"/>
        <v>3.71, ST Plant Rigid 6R-36</v>
      </c>
      <c r="C375" s="168">
        <v>3.71</v>
      </c>
      <c r="D375" s="164" t="s">
        <v>453</v>
      </c>
      <c r="E375" s="164" t="s">
        <v>434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6"/>
      <c r="B376" s="1" t="str">
        <f t="shared" si="75"/>
        <v>3.72, ST Plant Rigid 8R-36</v>
      </c>
      <c r="C376" s="168">
        <v>3.72</v>
      </c>
      <c r="D376" s="164" t="s">
        <v>453</v>
      </c>
      <c r="E376" s="164" t="s">
        <v>434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6">
        <v>693</v>
      </c>
      <c r="B377" s="1" t="str">
        <f t="shared" si="75"/>
        <v>3.73, Strip Till 12R-30</v>
      </c>
      <c r="C377" s="168">
        <v>3.73</v>
      </c>
      <c r="D377" s="164" t="s">
        <v>453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6">
        <v>202</v>
      </c>
      <c r="B378" s="1" t="str">
        <f t="shared" si="75"/>
        <v>3.74, Subsoiler 3 shank</v>
      </c>
      <c r="C378" s="168">
        <v>3.74</v>
      </c>
      <c r="D378" s="164" t="s">
        <v>453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6">
        <v>217</v>
      </c>
      <c r="B379" s="1" t="str">
        <f t="shared" si="75"/>
        <v>3.75, Subsoiler 4 shank</v>
      </c>
      <c r="C379" s="168">
        <v>3.75</v>
      </c>
      <c r="D379" s="164" t="s">
        <v>453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6">
        <v>203</v>
      </c>
      <c r="B380" s="1" t="str">
        <f t="shared" si="75"/>
        <v>3.76, Subsoiler 5 shank</v>
      </c>
      <c r="C380" s="168">
        <v>3.76</v>
      </c>
      <c r="D380" s="164" t="s">
        <v>453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453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453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453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453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453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453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453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453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453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453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453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453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453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453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453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453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453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453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453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453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453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453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453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453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453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453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453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453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453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453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453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453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453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453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453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453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453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453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453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453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453</v>
      </c>
      <c r="E423" s="164" t="s">
        <v>344</v>
      </c>
      <c r="F423" s="164" t="s">
        <v>511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6">
        <v>431</v>
      </c>
      <c r="B424" s="1" t="str">
        <f t="shared" si="106"/>
        <v>0.39, Header -Soybean 25' Flex</v>
      </c>
      <c r="C424" s="168">
        <v>0.39</v>
      </c>
      <c r="D424" s="164" t="s">
        <v>453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453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6">
        <v>592</v>
      </c>
      <c r="B426" s="1" t="str">
        <f t="shared" si="106"/>
        <v>0.41, Header -Soybean 35' Flex</v>
      </c>
      <c r="C426" s="168">
        <v>0.41</v>
      </c>
      <c r="D426" s="164" t="s">
        <v>453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453</v>
      </c>
      <c r="E427" s="164" t="s">
        <v>345</v>
      </c>
      <c r="F427" s="164" t="s">
        <v>512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6">
        <v>429</v>
      </c>
      <c r="B428" s="1" t="str">
        <f t="shared" si="106"/>
        <v>0.43, Header Wheat/Sorghum 25' Rigid</v>
      </c>
      <c r="C428" s="168">
        <v>0.43</v>
      </c>
      <c r="D428" s="164" t="s">
        <v>453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453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453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453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453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453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453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453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453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453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453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453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453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453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453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453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453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453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453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453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453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453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453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453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453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453</v>
      </c>
      <c r="E453" s="164" t="s">
        <v>451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453</v>
      </c>
      <c r="E454" s="164" t="s">
        <v>451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453</v>
      </c>
      <c r="E455" s="164" t="s">
        <v>451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453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453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6"/>
      <c r="B458" s="1" t="str">
        <f t="shared" si="121"/>
        <v>0.73, Peanut Wagon 14'</v>
      </c>
      <c r="C458" s="168">
        <v>0.73</v>
      </c>
      <c r="D458" s="164" t="s">
        <v>453</v>
      </c>
      <c r="E458" s="164" t="s">
        <v>448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6"/>
      <c r="B459" s="1" t="str">
        <f t="shared" si="121"/>
        <v>0.74, Peanut Wagon 21'</v>
      </c>
      <c r="C459" s="168">
        <v>0.74</v>
      </c>
      <c r="D459" s="164" t="s">
        <v>453</v>
      </c>
      <c r="E459" s="164" t="s">
        <v>448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6"/>
      <c r="B460" s="1" t="str">
        <f t="shared" si="121"/>
        <v>0.75, Peanut Wagon 28'</v>
      </c>
      <c r="C460" s="168">
        <v>0.75</v>
      </c>
      <c r="D460" s="164" t="s">
        <v>453</v>
      </c>
      <c r="E460" s="164" t="s">
        <v>448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6"/>
      <c r="B461" s="1" t="str">
        <f t="shared" si="121"/>
        <v>0.76, Pull-type Peanut Combine 2R-36</v>
      </c>
      <c r="C461" s="168">
        <v>0.76</v>
      </c>
      <c r="D461" s="164" t="s">
        <v>453</v>
      </c>
      <c r="E461" s="164" t="s">
        <v>449</v>
      </c>
      <c r="F461" s="164" t="s">
        <v>450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6"/>
      <c r="B462" s="1" t="str">
        <f t="shared" si="121"/>
        <v>0.77, Pull-type Peanut Combine 4R-36</v>
      </c>
      <c r="C462" s="168">
        <v>0.77</v>
      </c>
      <c r="D462" s="164" t="s">
        <v>453</v>
      </c>
      <c r="E462" s="164" t="s">
        <v>449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6"/>
      <c r="B463" s="1" t="str">
        <f t="shared" si="121"/>
        <v>0.78, Pull-type Peanut Combine 6R-36</v>
      </c>
      <c r="C463" s="168">
        <v>0.78</v>
      </c>
      <c r="D463" s="164" t="s">
        <v>453</v>
      </c>
      <c r="E463" s="164" t="s">
        <v>449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453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6">
        <v>267</v>
      </c>
      <c r="B465" s="1" t="str">
        <f t="shared" si="121"/>
        <v>0.8, Stalk Shredder 20'</v>
      </c>
      <c r="C465" s="168">
        <v>0.8</v>
      </c>
      <c r="D465" s="164" t="s">
        <v>453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453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453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453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453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453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1" bestFit="1" customWidth="1"/>
    <col min="29" max="29" width="5" style="241" bestFit="1" customWidth="1"/>
    <col min="30" max="30" width="4.42578125" style="241" bestFit="1" customWidth="1"/>
    <col min="31" max="31" width="5.42578125" style="241" bestFit="1" customWidth="1"/>
    <col min="32" max="16384" width="8.85546875" style="1"/>
  </cols>
  <sheetData>
    <row r="1" spans="1:31" x14ac:dyDescent="0.2">
      <c r="A1" s="278" t="s">
        <v>459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35" customHeight="1" x14ac:dyDescent="0.15">
      <c r="A3" s="26" t="s">
        <v>452</v>
      </c>
      <c r="B3" s="26" t="s">
        <v>125</v>
      </c>
      <c r="C3" s="199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2" t="s">
        <v>462</v>
      </c>
      <c r="AA3" s="242" t="s">
        <v>461</v>
      </c>
      <c r="AB3" s="243" t="s">
        <v>463</v>
      </c>
      <c r="AC3" s="242" t="s">
        <v>464</v>
      </c>
      <c r="AD3" s="242" t="s">
        <v>465</v>
      </c>
      <c r="AE3" s="242" t="s">
        <v>466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453</v>
      </c>
      <c r="E4" s="164" t="s">
        <v>435</v>
      </c>
      <c r="F4" s="164" t="s">
        <v>436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4">
        <f>((1.132-0.165*(L4^0.5)-0.0079*(M4^0.5))^2)*H4</f>
        <v>58362.92981482394</v>
      </c>
      <c r="AA4" s="244">
        <f>(H4-Z4)/L4</f>
        <v>19293.422515431339</v>
      </c>
      <c r="AB4" s="244">
        <f t="shared" ref="AB4:AB43" si="0">(Z4+H4)*intir</f>
        <v>31342.223683334156</v>
      </c>
      <c r="AC4" s="244">
        <f t="shared" ref="AC4:AC43" si="1">(Z4+H4)*itr</f>
        <v>8357.9263155557746</v>
      </c>
      <c r="AD4" s="244">
        <f>(AA4+AB4+AC4)/M4</f>
        <v>294.9678625716063</v>
      </c>
      <c r="AE4" s="245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453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4">
        <f t="shared" ref="Z5:Z11" si="3">((1.132-0.165*(L5^0.5)-0.0079*(M5^0.5))^2)*H5</f>
        <v>60655.759200406304</v>
      </c>
      <c r="AA5" s="244">
        <f t="shared" ref="AA5:AA43" si="4">(H5-Z5)/L5</f>
        <v>20051.378399966139</v>
      </c>
      <c r="AB5" s="244">
        <f t="shared" si="0"/>
        <v>32573.525328036565</v>
      </c>
      <c r="AC5" s="244">
        <f t="shared" si="1"/>
        <v>8686.2734208097518</v>
      </c>
      <c r="AD5" s="244">
        <f t="shared" ref="AD5:AD43" si="5">(AA5+AB5+AC5)/M5</f>
        <v>306.55588574406227</v>
      </c>
      <c r="AE5" s="245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453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4">
        <f t="shared" si="3"/>
        <v>60373.099642828514</v>
      </c>
      <c r="AA6" s="244">
        <f t="shared" si="4"/>
        <v>23008.28336309762</v>
      </c>
      <c r="AB6" s="244">
        <f t="shared" si="0"/>
        <v>35716.103967854557</v>
      </c>
      <c r="AC6" s="244">
        <f t="shared" si="1"/>
        <v>9524.294391427884</v>
      </c>
      <c r="AD6" s="244">
        <f t="shared" si="5"/>
        <v>227.49560574126687</v>
      </c>
      <c r="AE6" s="245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453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4">
        <f t="shared" si="3"/>
        <v>65017.184230738399</v>
      </c>
      <c r="AA7" s="244">
        <f t="shared" si="4"/>
        <v>24778.151314105129</v>
      </c>
      <c r="AB7" s="244">
        <f t="shared" si="0"/>
        <v>38463.496580766448</v>
      </c>
      <c r="AC7" s="244">
        <f t="shared" si="1"/>
        <v>10256.93242153772</v>
      </c>
      <c r="AD7" s="244">
        <f t="shared" si="5"/>
        <v>244.99526772136431</v>
      </c>
      <c r="AE7" s="245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453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4">
        <f t="shared" si="3"/>
        <v>69661.268818648285</v>
      </c>
      <c r="AA8" s="244">
        <f t="shared" si="4"/>
        <v>26548.019265112638</v>
      </c>
      <c r="AB8" s="244">
        <f t="shared" si="0"/>
        <v>41210.88919367834</v>
      </c>
      <c r="AC8" s="244">
        <f t="shared" si="1"/>
        <v>10989.570451647558</v>
      </c>
      <c r="AD8" s="244">
        <f t="shared" si="5"/>
        <v>262.49492970146179</v>
      </c>
      <c r="AE8" s="245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453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4">
        <f t="shared" si="3"/>
        <v>73748.063256008987</v>
      </c>
      <c r="AA9" s="244">
        <f t="shared" si="4"/>
        <v>28105.503061999247</v>
      </c>
      <c r="AB9" s="244">
        <f t="shared" si="0"/>
        <v>43628.59469304081</v>
      </c>
      <c r="AC9" s="244">
        <f t="shared" si="1"/>
        <v>11634.291918144216</v>
      </c>
      <c r="AD9" s="244">
        <f t="shared" si="5"/>
        <v>277.89463224394757</v>
      </c>
      <c r="AE9" s="245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453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4">
        <f t="shared" si="3"/>
        <v>53936.946554952265</v>
      </c>
      <c r="AA10" s="244">
        <f t="shared" si="4"/>
        <v>15258.006680630962</v>
      </c>
      <c r="AB10" s="244">
        <f t="shared" si="0"/>
        <v>20694.415189945703</v>
      </c>
      <c r="AC10" s="244">
        <f t="shared" si="1"/>
        <v>5518.5107173188535</v>
      </c>
      <c r="AD10" s="244">
        <f t="shared" si="5"/>
        <v>207.35466293947761</v>
      </c>
      <c r="AE10" s="245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453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4">
        <f t="shared" si="3"/>
        <v>3320.1122720909671</v>
      </c>
      <c r="AA11" s="244">
        <f t="shared" si="4"/>
        <v>2062.6941234220735</v>
      </c>
      <c r="AB11" s="244">
        <f t="shared" si="0"/>
        <v>3196.6148044881866</v>
      </c>
      <c r="AC11" s="244">
        <f t="shared" si="1"/>
        <v>852.43061453018311</v>
      </c>
      <c r="AD11" s="244">
        <f t="shared" si="5"/>
        <v>10.186232570734074</v>
      </c>
      <c r="AE11" s="245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453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4">
        <f>((0.981-0.093*(L12^0.5)-0.0058*(M12^0.5))^2)*H12</f>
        <v>4641.5533127051503</v>
      </c>
      <c r="AA12" s="244">
        <f t="shared" si="4"/>
        <v>1043.9304776639178</v>
      </c>
      <c r="AB12" s="244">
        <f t="shared" si="0"/>
        <v>2150.8319981434634</v>
      </c>
      <c r="AC12" s="244">
        <f t="shared" si="1"/>
        <v>573.55519950492351</v>
      </c>
      <c r="AD12" s="244">
        <f t="shared" si="5"/>
        <v>6.2805294588538416</v>
      </c>
      <c r="AE12" s="245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453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4">
        <f t="shared" ref="Z13:Z20" si="18">((0.981-0.093*(L13^0.5)-0.0058*(M13^0.5))^2)*H13</f>
        <v>8409.6960558152441</v>
      </c>
      <c r="AA13" s="244">
        <f t="shared" si="4"/>
        <v>1891.4224245846251</v>
      </c>
      <c r="AB13" s="244">
        <f t="shared" si="0"/>
        <v>3896.9375450233711</v>
      </c>
      <c r="AC13" s="244">
        <f t="shared" si="1"/>
        <v>1039.1833453395657</v>
      </c>
      <c r="AD13" s="244">
        <f t="shared" si="5"/>
        <v>11.379238858245937</v>
      </c>
      <c r="AE13" s="245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453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4">
        <f t="shared" si="18"/>
        <v>9707.3346163564711</v>
      </c>
      <c r="AA14" s="244">
        <f t="shared" si="4"/>
        <v>2183.2739559745378</v>
      </c>
      <c r="AB14" s="244">
        <f t="shared" si="0"/>
        <v>4498.2454154720817</v>
      </c>
      <c r="AC14" s="244">
        <f t="shared" si="1"/>
        <v>1199.5321107925554</v>
      </c>
      <c r="AD14" s="244">
        <f t="shared" si="5"/>
        <v>13.135085803731959</v>
      </c>
      <c r="AE14" s="245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453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4">
        <f t="shared" si="18"/>
        <v>4716.4170758132977</v>
      </c>
      <c r="AA15" s="244">
        <f t="shared" si="4"/>
        <v>1060.7680660133358</v>
      </c>
      <c r="AB15" s="244">
        <f t="shared" si="0"/>
        <v>2185.5228368231965</v>
      </c>
      <c r="AC15" s="244">
        <f t="shared" si="1"/>
        <v>582.80608981951912</v>
      </c>
      <c r="AD15" s="244">
        <f t="shared" si="5"/>
        <v>6.3818283210934181</v>
      </c>
      <c r="AE15" s="245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453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4">
        <f t="shared" si="18"/>
        <v>6538.1019781115556</v>
      </c>
      <c r="AA16" s="244">
        <f t="shared" si="4"/>
        <v>1470.4827158491742</v>
      </c>
      <c r="AB16" s="244">
        <f t="shared" si="0"/>
        <v>3029.66657803004</v>
      </c>
      <c r="AC16" s="244">
        <f t="shared" si="1"/>
        <v>807.91108747467729</v>
      </c>
      <c r="AD16" s="244">
        <f t="shared" si="5"/>
        <v>8.8467673022564863</v>
      </c>
      <c r="AE16" s="245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453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4">
        <f t="shared" si="18"/>
        <v>10830.291062978684</v>
      </c>
      <c r="AA17" s="244">
        <f t="shared" si="4"/>
        <v>2435.8377812158078</v>
      </c>
      <c r="AB17" s="244">
        <f t="shared" si="0"/>
        <v>5018.6079956680815</v>
      </c>
      <c r="AC17" s="244">
        <f t="shared" si="1"/>
        <v>1338.2954655114884</v>
      </c>
      <c r="AD17" s="244">
        <f t="shared" si="5"/>
        <v>14.654568737325629</v>
      </c>
      <c r="AE17" s="245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453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4">
        <f t="shared" si="18"/>
        <v>11953.247509600898</v>
      </c>
      <c r="AA18" s="244">
        <f t="shared" si="4"/>
        <v>2688.4016064570783</v>
      </c>
      <c r="AB18" s="244">
        <f t="shared" si="0"/>
        <v>5538.9705758640803</v>
      </c>
      <c r="AC18" s="244">
        <f t="shared" si="1"/>
        <v>1477.0588202304216</v>
      </c>
      <c r="AD18" s="244">
        <f t="shared" si="5"/>
        <v>16.174051670919301</v>
      </c>
      <c r="AE18" s="245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453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4">
        <f t="shared" si="18"/>
        <v>8734.1056959505531</v>
      </c>
      <c r="AA19" s="244">
        <f t="shared" si="4"/>
        <v>1964.3853074321034</v>
      </c>
      <c r="AB19" s="244">
        <f t="shared" si="0"/>
        <v>4047.2645126355496</v>
      </c>
      <c r="AC19" s="244">
        <f t="shared" si="1"/>
        <v>1079.2705367028132</v>
      </c>
      <c r="AD19" s="244">
        <f t="shared" si="5"/>
        <v>11.818200594617444</v>
      </c>
      <c r="AE19" s="245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453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4">
        <f t="shared" si="18"/>
        <v>9882.0167302754817</v>
      </c>
      <c r="AA20" s="244">
        <f t="shared" si="4"/>
        <v>2222.5616621231798</v>
      </c>
      <c r="AB20" s="244">
        <f t="shared" si="0"/>
        <v>4579.1907057247927</v>
      </c>
      <c r="AC20" s="244">
        <f t="shared" si="1"/>
        <v>1221.1175215266114</v>
      </c>
      <c r="AD20" s="244">
        <f t="shared" si="5"/>
        <v>13.371449815624306</v>
      </c>
      <c r="AE20" s="245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453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4">
        <f>((0.942-0.1*(L21^0.5)-0.0008*(M21^0.5))^2)*H21</f>
        <v>19635.157364915027</v>
      </c>
      <c r="AA21" s="244">
        <f t="shared" si="4"/>
        <v>3263.7337596489265</v>
      </c>
      <c r="AB21" s="244">
        <f t="shared" si="0"/>
        <v>7646.6328628423507</v>
      </c>
      <c r="AC21" s="244">
        <f t="shared" si="1"/>
        <v>2039.1020967579605</v>
      </c>
      <c r="AD21" s="244">
        <f t="shared" si="5"/>
        <v>21.582447865415396</v>
      </c>
      <c r="AE21" s="245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453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4">
        <f t="shared" ref="Z22:Z28" si="19">((0.942-0.1*(L22^0.5)-0.0008*(M22^0.5))^2)*H22</f>
        <v>23151.437526936261</v>
      </c>
      <c r="AA22" s="244">
        <f t="shared" si="4"/>
        <v>3848.2058909331236</v>
      </c>
      <c r="AB22" s="244">
        <f t="shared" si="0"/>
        <v>9015.9981774242624</v>
      </c>
      <c r="AC22" s="244">
        <f t="shared" si="1"/>
        <v>2404.2661806464703</v>
      </c>
      <c r="AD22" s="244">
        <f t="shared" si="5"/>
        <v>25.447450415006429</v>
      </c>
      <c r="AE22" s="245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453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4">
        <f t="shared" si="19"/>
        <v>16896.815291836545</v>
      </c>
      <c r="AA23" s="244">
        <f t="shared" si="4"/>
        <v>2808.5696220116747</v>
      </c>
      <c r="AB23" s="244">
        <f t="shared" si="0"/>
        <v>6580.224476265289</v>
      </c>
      <c r="AC23" s="244">
        <f t="shared" si="1"/>
        <v>1754.7265270040771</v>
      </c>
      <c r="AD23" s="244">
        <f t="shared" si="5"/>
        <v>18.5725343754684</v>
      </c>
      <c r="AE23" s="245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453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4">
        <f t="shared" si="19"/>
        <v>17705.870904337004</v>
      </c>
      <c r="AA24" s="244">
        <f t="shared" si="4"/>
        <v>2943.0499354044991</v>
      </c>
      <c r="AB24" s="244">
        <f t="shared" si="0"/>
        <v>6895.2996813903292</v>
      </c>
      <c r="AC24" s="244">
        <f t="shared" si="1"/>
        <v>1838.7465817040879</v>
      </c>
      <c r="AD24" s="244">
        <f t="shared" si="5"/>
        <v>19.461826997498196</v>
      </c>
      <c r="AE24" s="245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453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4">
        <f t="shared" si="19"/>
        <v>29966.175186074754</v>
      </c>
      <c r="AA25" s="244">
        <f t="shared" si="4"/>
        <v>4980.9439152803743</v>
      </c>
      <c r="AB25" s="244">
        <f t="shared" si="0"/>
        <v>11669.900866746726</v>
      </c>
      <c r="AC25" s="244">
        <f t="shared" si="1"/>
        <v>3111.9735644657935</v>
      </c>
      <c r="AD25" s="244">
        <f t="shared" si="5"/>
        <v>32.938030577488149</v>
      </c>
      <c r="AE25" s="245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453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4">
        <f t="shared" si="19"/>
        <v>35473.976855789428</v>
      </c>
      <c r="AA26" s="244">
        <f t="shared" si="4"/>
        <v>5896.4445103007538</v>
      </c>
      <c r="AB26" s="244">
        <f t="shared" si="0"/>
        <v>13814.835917021046</v>
      </c>
      <c r="AC26" s="244">
        <f t="shared" si="1"/>
        <v>3683.9562445389461</v>
      </c>
      <c r="AD26" s="244">
        <f t="shared" si="5"/>
        <v>38.992061119767911</v>
      </c>
      <c r="AE26" s="245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453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4">
        <f t="shared" si="19"/>
        <v>39519.254918291728</v>
      </c>
      <c r="AA27" s="244">
        <f t="shared" si="4"/>
        <v>6568.846077264875</v>
      </c>
      <c r="AB27" s="244">
        <f t="shared" si="0"/>
        <v>15390.211942646252</v>
      </c>
      <c r="AC27" s="244">
        <f t="shared" si="1"/>
        <v>4104.0565180390013</v>
      </c>
      <c r="AD27" s="244">
        <f t="shared" si="5"/>
        <v>43.438524229916879</v>
      </c>
      <c r="AE27" s="245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453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4">
        <f t="shared" si="19"/>
        <v>44498.058687525343</v>
      </c>
      <c r="AA28" s="244">
        <f t="shared" si="4"/>
        <v>7396.4172366053326</v>
      </c>
      <c r="AB28" s="244">
        <f t="shared" si="0"/>
        <v>17329.13628187728</v>
      </c>
      <c r="AC28" s="244">
        <f t="shared" si="1"/>
        <v>4621.1030085006078</v>
      </c>
      <c r="AD28" s="244">
        <f t="shared" si="5"/>
        <v>48.911094211638698</v>
      </c>
      <c r="AE28" s="245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453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4">
        <f>((0.976-0.119*(L29^0.5)-0.0019*(M29^0.5))^2)*H29</f>
        <v>37865.596787051727</v>
      </c>
      <c r="AA29" s="244">
        <f t="shared" si="4"/>
        <v>8831.5145152105888</v>
      </c>
      <c r="AB29" s="244">
        <f t="shared" si="0"/>
        <v>17943.515710834654</v>
      </c>
      <c r="AC29" s="244">
        <f t="shared" si="1"/>
        <v>4784.9375228892413</v>
      </c>
      <c r="AD29" s="244">
        <f t="shared" si="5"/>
        <v>52.599946248224143</v>
      </c>
      <c r="AE29" s="245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453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4">
        <f t="shared" ref="Z30:Z40" si="20">((0.976-0.119*(L30^0.5)-0.0019*(M30^0.5))^2)*H30</f>
        <v>37865.596787051727</v>
      </c>
      <c r="AA30" s="244">
        <f t="shared" si="4"/>
        <v>8831.5145152105888</v>
      </c>
      <c r="AB30" s="244">
        <f t="shared" si="0"/>
        <v>17943.515710834654</v>
      </c>
      <c r="AC30" s="244">
        <f t="shared" si="1"/>
        <v>4784.9375228892413</v>
      </c>
      <c r="AD30" s="244">
        <f t="shared" si="5"/>
        <v>52.599946248224143</v>
      </c>
      <c r="AE30" s="245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453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4">
        <f t="shared" si="20"/>
        <v>40535.60681690793</v>
      </c>
      <c r="AA31" s="244">
        <f t="shared" si="4"/>
        <v>9454.2495130780026</v>
      </c>
      <c r="AB31" s="244">
        <f t="shared" si="0"/>
        <v>19208.763613521711</v>
      </c>
      <c r="AC31" s="244">
        <f t="shared" si="1"/>
        <v>5122.3369636057896</v>
      </c>
      <c r="AD31" s="244">
        <f t="shared" si="5"/>
        <v>56.30891681700917</v>
      </c>
      <c r="AE31" s="245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453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4">
        <f t="shared" si="20"/>
        <v>54856.569704318521</v>
      </c>
      <c r="AA32" s="244">
        <f t="shared" si="4"/>
        <v>12794.373592548674</v>
      </c>
      <c r="AB32" s="244">
        <f t="shared" si="0"/>
        <v>25995.093273388666</v>
      </c>
      <c r="AC32" s="244">
        <f t="shared" si="1"/>
        <v>6932.0248729036448</v>
      </c>
      <c r="AD32" s="244">
        <f t="shared" si="5"/>
        <v>76.20248623140165</v>
      </c>
      <c r="AE32" s="245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453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4">
        <f t="shared" si="20"/>
        <v>67235.707115470053</v>
      </c>
      <c r="AA33" s="244">
        <f t="shared" si="4"/>
        <v>15681.599491752137</v>
      </c>
      <c r="AB33" s="244">
        <f t="shared" si="0"/>
        <v>31861.242640392305</v>
      </c>
      <c r="AC33" s="244">
        <f t="shared" si="1"/>
        <v>8496.3313707712823</v>
      </c>
      <c r="AD33" s="244">
        <f t="shared" si="5"/>
        <v>93.398622504859532</v>
      </c>
      <c r="AE33" s="245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453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4">
        <f t="shared" si="20"/>
        <v>67235.707115470053</v>
      </c>
      <c r="AA34" s="244">
        <f t="shared" si="4"/>
        <v>15681.599491752137</v>
      </c>
      <c r="AB34" s="244">
        <f t="shared" si="0"/>
        <v>31861.242640392305</v>
      </c>
      <c r="AC34" s="244">
        <f t="shared" si="1"/>
        <v>8496.3313707712823</v>
      </c>
      <c r="AD34" s="244">
        <f t="shared" si="5"/>
        <v>93.398622504859532</v>
      </c>
      <c r="AE34" s="245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453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4">
        <f t="shared" si="20"/>
        <v>68206.619853599579</v>
      </c>
      <c r="AA35" s="244">
        <f t="shared" si="4"/>
        <v>15908.048581885743</v>
      </c>
      <c r="AB35" s="244">
        <f t="shared" si="0"/>
        <v>32321.332786823961</v>
      </c>
      <c r="AC35" s="244">
        <f t="shared" si="1"/>
        <v>8619.0220764863898</v>
      </c>
      <c r="AD35" s="244">
        <f t="shared" si="5"/>
        <v>94.747339075326835</v>
      </c>
      <c r="AE35" s="245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453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4">
        <f t="shared" si="20"/>
        <v>65779.33800827575</v>
      </c>
      <c r="AA36" s="244">
        <f t="shared" si="4"/>
        <v>15341.925856551732</v>
      </c>
      <c r="AB36" s="244">
        <f t="shared" si="0"/>
        <v>31171.107420744818</v>
      </c>
      <c r="AC36" s="244">
        <f t="shared" si="1"/>
        <v>8312.2953121986193</v>
      </c>
      <c r="AD36" s="244">
        <f t="shared" si="5"/>
        <v>91.375547649158619</v>
      </c>
      <c r="AE36" s="245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453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4">
        <f t="shared" si="20"/>
        <v>75973.921758635828</v>
      </c>
      <c r="AA37" s="244">
        <f t="shared" si="4"/>
        <v>17719.64130295458</v>
      </c>
      <c r="AB37" s="244">
        <f t="shared" si="0"/>
        <v>36002.053958277218</v>
      </c>
      <c r="AC37" s="244">
        <f t="shared" si="1"/>
        <v>9600.5477222072604</v>
      </c>
      <c r="AD37" s="244">
        <f t="shared" si="5"/>
        <v>105.53707163906509</v>
      </c>
      <c r="AE37" s="245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453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4">
        <f t="shared" si="20"/>
        <v>88353.059169787346</v>
      </c>
      <c r="AA38" s="244">
        <f t="shared" si="4"/>
        <v>20606.867202158046</v>
      </c>
      <c r="AB38" s="244">
        <f t="shared" si="0"/>
        <v>41868.203325280854</v>
      </c>
      <c r="AC38" s="244">
        <f t="shared" si="1"/>
        <v>11164.854220074894</v>
      </c>
      <c r="AD38" s="244">
        <f t="shared" si="5"/>
        <v>122.733207912523</v>
      </c>
      <c r="AE38" s="245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453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4">
        <f t="shared" si="20"/>
        <v>96848.545628420747</v>
      </c>
      <c r="AA39" s="244">
        <f t="shared" si="4"/>
        <v>22588.296740827085</v>
      </c>
      <c r="AB39" s="244">
        <f t="shared" si="0"/>
        <v>45893.992106557867</v>
      </c>
      <c r="AC39" s="244">
        <f t="shared" si="1"/>
        <v>12238.397895082098</v>
      </c>
      <c r="AD39" s="244">
        <f t="shared" si="5"/>
        <v>134.53447790411175</v>
      </c>
      <c r="AE39" s="245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453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4">
        <f t="shared" si="20"/>
        <v>87624.874616190209</v>
      </c>
      <c r="AA40" s="244">
        <f t="shared" si="4"/>
        <v>20437.030384557842</v>
      </c>
      <c r="AB40" s="244">
        <f t="shared" si="0"/>
        <v>41523.135715457116</v>
      </c>
      <c r="AC40" s="244">
        <f t="shared" si="1"/>
        <v>11072.836190788565</v>
      </c>
      <c r="AD40" s="244">
        <f t="shared" si="5"/>
        <v>121.72167048467256</v>
      </c>
      <c r="AE40" s="245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453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4">
        <f>((0.786-0.063*(L41^0.5)-0.0033*(M41^0.5))^2)*H41</f>
        <v>1706.720041613072</v>
      </c>
      <c r="AA41" s="244">
        <f t="shared" si="4"/>
        <v>358.76642559906622</v>
      </c>
      <c r="AB41" s="244">
        <f t="shared" si="0"/>
        <v>759.25530374517643</v>
      </c>
      <c r="AC41" s="244">
        <f t="shared" si="1"/>
        <v>202.46808099871373</v>
      </c>
      <c r="AD41" s="244">
        <f t="shared" si="5"/>
        <v>6.6024490517147818</v>
      </c>
      <c r="AE41" s="245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453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4">
        <f t="shared" ref="Z42:Z43" si="21">((0.786-0.063*(L42^0.5)-0.0033*(M42^0.5))^2)*H42</f>
        <v>3019.5816120846662</v>
      </c>
      <c r="AA42" s="244">
        <f t="shared" si="4"/>
        <v>634.74059913680946</v>
      </c>
      <c r="AB42" s="244">
        <f t="shared" si="0"/>
        <v>1343.2978450876199</v>
      </c>
      <c r="AC42" s="244">
        <f t="shared" si="1"/>
        <v>358.21275869003199</v>
      </c>
      <c r="AD42" s="244">
        <f t="shared" si="5"/>
        <v>11.681256014572307</v>
      </c>
      <c r="AE42" s="245">
        <f t="shared" si="6"/>
        <v>4.2936140395723079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453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4">
        <f t="shared" si="21"/>
        <v>3754.7840915487591</v>
      </c>
      <c r="AA43" s="244">
        <f t="shared" si="4"/>
        <v>789.28613631794565</v>
      </c>
      <c r="AB43" s="244">
        <f t="shared" si="0"/>
        <v>1670.3616682393881</v>
      </c>
      <c r="AC43" s="244">
        <f t="shared" si="1"/>
        <v>445.42977819717021</v>
      </c>
      <c r="AD43" s="244">
        <f t="shared" si="5"/>
        <v>14.525387913772519</v>
      </c>
      <c r="AE43" s="245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8" t="s">
        <v>458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35" customHeight="1" x14ac:dyDescent="0.15">
      <c r="A3" s="26" t="s">
        <v>452</v>
      </c>
      <c r="B3" s="26" t="s">
        <v>125</v>
      </c>
      <c r="C3" s="166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453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453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453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453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453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453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453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453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453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453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453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453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453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453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453</v>
      </c>
      <c r="E18" s="185" t="s">
        <v>468</v>
      </c>
      <c r="F18" s="185" t="s">
        <v>467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7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453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453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453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453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453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453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453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453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453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453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453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453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453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453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453</v>
      </c>
      <c r="G33" s="164" t="str">
        <f t="shared" si="14"/>
        <v/>
      </c>
    </row>
    <row r="34" spans="4:7" x14ac:dyDescent="0.2">
      <c r="D34" s="164" t="s">
        <v>453</v>
      </c>
      <c r="G34" s="164" t="str">
        <f t="shared" si="14"/>
        <v/>
      </c>
    </row>
    <row r="35" spans="4:7" x14ac:dyDescent="0.2">
      <c r="D35" s="164" t="s">
        <v>453</v>
      </c>
      <c r="G35" s="164" t="str">
        <f t="shared" si="14"/>
        <v/>
      </c>
    </row>
    <row r="36" spans="4:7" x14ac:dyDescent="0.2">
      <c r="D36" s="164" t="s">
        <v>453</v>
      </c>
      <c r="G36" s="164" t="str">
        <f t="shared" si="14"/>
        <v/>
      </c>
    </row>
    <row r="37" spans="4:7" x14ac:dyDescent="0.2">
      <c r="D37" s="164" t="s">
        <v>453</v>
      </c>
      <c r="G37" s="164" t="str">
        <f t="shared" si="14"/>
        <v/>
      </c>
    </row>
    <row r="38" spans="4:7" x14ac:dyDescent="0.2">
      <c r="D38" s="164" t="s">
        <v>453</v>
      </c>
      <c r="G38" s="164" t="str">
        <f t="shared" si="14"/>
        <v/>
      </c>
    </row>
    <row r="39" spans="4:7" x14ac:dyDescent="0.2">
      <c r="D39" s="164" t="s">
        <v>453</v>
      </c>
      <c r="G39" s="164" t="str">
        <f t="shared" si="14"/>
        <v/>
      </c>
    </row>
    <row r="40" spans="4:7" x14ac:dyDescent="0.2">
      <c r="D40" s="164" t="s">
        <v>453</v>
      </c>
      <c r="G40" s="164" t="str">
        <f t="shared" si="14"/>
        <v/>
      </c>
    </row>
    <row r="41" spans="4:7" x14ac:dyDescent="0.2">
      <c r="D41" s="164" t="s">
        <v>453</v>
      </c>
      <c r="G41" s="164" t="str">
        <f t="shared" si="14"/>
        <v/>
      </c>
    </row>
    <row r="42" spans="4:7" x14ac:dyDescent="0.2">
      <c r="D42" s="164" t="s">
        <v>453</v>
      </c>
      <c r="G42" s="164" t="str">
        <f t="shared" si="14"/>
        <v/>
      </c>
    </row>
    <row r="43" spans="4:7" x14ac:dyDescent="0.25">
      <c r="D43" s="164" t="s">
        <v>453</v>
      </c>
      <c r="G43" s="164" t="str">
        <f t="shared" si="14"/>
        <v/>
      </c>
    </row>
    <row r="44" spans="4:7" x14ac:dyDescent="0.25">
      <c r="D44" s="164" t="s">
        <v>453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2014-01-13T20:59:11Z</cp:lastPrinted>
  <dcterms:created xsi:type="dcterms:W3CDTF">2010-11-24T19:49:39Z</dcterms:created>
  <dcterms:modified xsi:type="dcterms:W3CDTF">2017-01-27T19:51:55Z</dcterms:modified>
</cp:coreProperties>
</file>