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mandasmith/Desktop/2018 Mtng &amp; Budgets/"/>
    </mc:Choice>
  </mc:AlternateContent>
  <bookViews>
    <workbookView xWindow="4940" yWindow="460" windowWidth="16440" windowHeight="155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Main!$B$1:$H$82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6" i="6" l="1"/>
  <c r="E22" i="6"/>
  <c r="E27" i="7"/>
  <c r="F27" i="7"/>
  <c r="E26" i="7"/>
  <c r="F26" i="7"/>
  <c r="E25" i="7"/>
  <c r="F25" i="7"/>
  <c r="C4" i="7"/>
  <c r="D13" i="6"/>
  <c r="D14" i="6"/>
  <c r="C3" i="7"/>
  <c r="D12" i="6"/>
  <c r="E38" i="7"/>
  <c r="F38" i="7"/>
  <c r="E39" i="7"/>
  <c r="F39" i="7"/>
  <c r="E37" i="7"/>
  <c r="F37" i="7"/>
  <c r="B57" i="6"/>
  <c r="B58" i="6"/>
  <c r="B59" i="6"/>
  <c r="B60" i="6"/>
  <c r="E3" i="7"/>
  <c r="D29" i="6"/>
  <c r="B194" i="1"/>
  <c r="B99" i="1"/>
  <c r="B146" i="1"/>
  <c r="B170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M18" i="2"/>
  <c r="W18" i="2"/>
  <c r="X18" i="2"/>
  <c r="AA18" i="2"/>
  <c r="AC18" i="2"/>
  <c r="AB18" i="2"/>
  <c r="Y18" i="2"/>
  <c r="Z18" i="2"/>
  <c r="S18" i="2"/>
  <c r="G18" i="2"/>
  <c r="B18" i="2"/>
  <c r="Z42" i="3"/>
  <c r="AC42" i="3"/>
  <c r="Z43" i="3"/>
  <c r="AA43" i="3"/>
  <c r="AC43" i="3"/>
  <c r="Z41" i="3"/>
  <c r="Z30" i="3"/>
  <c r="AC30" i="3"/>
  <c r="Z31" i="3"/>
  <c r="Z32" i="3"/>
  <c r="AB32" i="3"/>
  <c r="AC32" i="3"/>
  <c r="Z33" i="3"/>
  <c r="AA33" i="3"/>
  <c r="Z34" i="3"/>
  <c r="AB34" i="3"/>
  <c r="Z35" i="3"/>
  <c r="AC35" i="3"/>
  <c r="Z36" i="3"/>
  <c r="AB36" i="3"/>
  <c r="AC36" i="3"/>
  <c r="Z37" i="3"/>
  <c r="AC37" i="3"/>
  <c r="Z38" i="3"/>
  <c r="AA38" i="3"/>
  <c r="AC38" i="3"/>
  <c r="Z39" i="3"/>
  <c r="Z40" i="3"/>
  <c r="AC40" i="3"/>
  <c r="Z29" i="3"/>
  <c r="AB29" i="3"/>
  <c r="AC29" i="3"/>
  <c r="Z22" i="3"/>
  <c r="Z23" i="3"/>
  <c r="AB23" i="3"/>
  <c r="AA23" i="3"/>
  <c r="AC23" i="3"/>
  <c r="AD23" i="3"/>
  <c r="Z24" i="3"/>
  <c r="AC24" i="3"/>
  <c r="AA24" i="3"/>
  <c r="AB24" i="3"/>
  <c r="AD24" i="3"/>
  <c r="Z25" i="3"/>
  <c r="AB25" i="3"/>
  <c r="AC25" i="3"/>
  <c r="Z26" i="3"/>
  <c r="Z27" i="3"/>
  <c r="AB27" i="3"/>
  <c r="Z28" i="3"/>
  <c r="AA28" i="3"/>
  <c r="Z21" i="3"/>
  <c r="AC21" i="3"/>
  <c r="Z13" i="3"/>
  <c r="AC13" i="3"/>
  <c r="Z14" i="3"/>
  <c r="AC14" i="3"/>
  <c r="Z15" i="3"/>
  <c r="AC15" i="3"/>
  <c r="Z16" i="3"/>
  <c r="AB16" i="3"/>
  <c r="AA16" i="3"/>
  <c r="Z17" i="3"/>
  <c r="AB17" i="3"/>
  <c r="Z18" i="3"/>
  <c r="AA18" i="3"/>
  <c r="Z19" i="3"/>
  <c r="AB19" i="3"/>
  <c r="AA19" i="3"/>
  <c r="AC19" i="3"/>
  <c r="AD19" i="3"/>
  <c r="Z20" i="3"/>
  <c r="AC20" i="3"/>
  <c r="Z12" i="3"/>
  <c r="AB12" i="3"/>
  <c r="AC12" i="3"/>
  <c r="Z5" i="3"/>
  <c r="Z6" i="3"/>
  <c r="AC6" i="3"/>
  <c r="Z7" i="3"/>
  <c r="AC7" i="3"/>
  <c r="Z8" i="3"/>
  <c r="AA8" i="3"/>
  <c r="AC8" i="3"/>
  <c r="Z9" i="3"/>
  <c r="AB9" i="3"/>
  <c r="Z10" i="3"/>
  <c r="AC10" i="3"/>
  <c r="Z11" i="3"/>
  <c r="AC11" i="3"/>
  <c r="AB28" i="3"/>
  <c r="AA20" i="3"/>
  <c r="AB20" i="3"/>
  <c r="AD20" i="3"/>
  <c r="AA32" i="3"/>
  <c r="AD32" i="3"/>
  <c r="AA29" i="3"/>
  <c r="AD29" i="3"/>
  <c r="AC16" i="3"/>
  <c r="AA25" i="3"/>
  <c r="AD25" i="3"/>
  <c r="AC18" i="3"/>
  <c r="AB18" i="3"/>
  <c r="AC27" i="3"/>
  <c r="AC39" i="3"/>
  <c r="AB39" i="3"/>
  <c r="AA39" i="3"/>
  <c r="AC31" i="3"/>
  <c r="AB31" i="3"/>
  <c r="AA31" i="3"/>
  <c r="AA14" i="3"/>
  <c r="AB30" i="3"/>
  <c r="AA30" i="3"/>
  <c r="AD30" i="3"/>
  <c r="AB14" i="3"/>
  <c r="AA36" i="3"/>
  <c r="AD36" i="3"/>
  <c r="AA35" i="3"/>
  <c r="AA11" i="3"/>
  <c r="AB11" i="3"/>
  <c r="AD11" i="3"/>
  <c r="AA42" i="3"/>
  <c r="AA10" i="3"/>
  <c r="AB10" i="3"/>
  <c r="AD10" i="3"/>
  <c r="AB42" i="3"/>
  <c r="AA15" i="3"/>
  <c r="AA7" i="3"/>
  <c r="AB15" i="3"/>
  <c r="AB7" i="3"/>
  <c r="AD7" i="3"/>
  <c r="AB6" i="3"/>
  <c r="AD31" i="3"/>
  <c r="C29" i="6"/>
  <c r="F29" i="6"/>
  <c r="G29" i="6"/>
  <c r="B23" i="3"/>
  <c r="B33" i="3"/>
  <c r="B28" i="3"/>
  <c r="B25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4" i="5"/>
  <c r="C3" i="5"/>
  <c r="C20" i="4"/>
  <c r="C21" i="4"/>
  <c r="C22" i="4"/>
  <c r="C23" i="4"/>
  <c r="C19" i="4"/>
  <c r="C14" i="4"/>
  <c r="E40" i="7"/>
  <c r="F40" i="7"/>
  <c r="E41" i="7"/>
  <c r="F41" i="7"/>
  <c r="D10" i="6"/>
  <c r="N5" i="5"/>
  <c r="E5" i="5"/>
  <c r="G5" i="5"/>
  <c r="O5" i="5"/>
  <c r="N6" i="5"/>
  <c r="N7" i="5"/>
  <c r="N8" i="5"/>
  <c r="N9" i="5"/>
  <c r="E9" i="5"/>
  <c r="G9" i="5"/>
  <c r="O9" i="5"/>
  <c r="N10" i="5"/>
  <c r="P6" i="5"/>
  <c r="P7" i="5"/>
  <c r="P8" i="5"/>
  <c r="E8" i="5"/>
  <c r="G8" i="5"/>
  <c r="Q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6" i="5"/>
  <c r="E7" i="5"/>
  <c r="E10" i="5"/>
  <c r="G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I22" i="4"/>
  <c r="J22" i="4"/>
  <c r="L22" i="4"/>
  <c r="D23" i="4"/>
  <c r="E23" i="4"/>
  <c r="G23" i="4"/>
  <c r="H23" i="4"/>
  <c r="J23" i="4"/>
  <c r="L23" i="4"/>
  <c r="M23" i="4"/>
  <c r="L19" i="4"/>
  <c r="J19" i="4"/>
  <c r="E19" i="4"/>
  <c r="G19" i="4"/>
  <c r="K19" i="4"/>
  <c r="H19" i="4"/>
  <c r="D19" i="4"/>
  <c r="G5" i="2"/>
  <c r="G6" i="2"/>
  <c r="G7" i="2"/>
  <c r="G8" i="2"/>
  <c r="G9" i="2"/>
  <c r="G10" i="2"/>
  <c r="G11" i="2"/>
  <c r="G12" i="2"/>
  <c r="G13" i="2"/>
  <c r="G14" i="2"/>
  <c r="G15" i="2"/>
  <c r="G16" i="2"/>
  <c r="G17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" i="2"/>
  <c r="S9" i="4"/>
  <c r="S10" i="4"/>
  <c r="E10" i="4"/>
  <c r="G10" i="4"/>
  <c r="T10" i="4"/>
  <c r="S11" i="4"/>
  <c r="S12" i="4"/>
  <c r="E12" i="4"/>
  <c r="G12" i="4"/>
  <c r="T12" i="4"/>
  <c r="S13" i="4"/>
  <c r="S14" i="4"/>
  <c r="P9" i="4"/>
  <c r="P10" i="4"/>
  <c r="P11" i="4"/>
  <c r="P12" i="4"/>
  <c r="P13" i="4"/>
  <c r="P14" i="4"/>
  <c r="E14" i="4"/>
  <c r="G14" i="4"/>
  <c r="Q14" i="4"/>
  <c r="H14" i="4"/>
  <c r="I14" i="4"/>
  <c r="R14" i="4"/>
  <c r="N4" i="4"/>
  <c r="N5" i="4"/>
  <c r="E5" i="4"/>
  <c r="G5" i="4"/>
  <c r="O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I10" i="4"/>
  <c r="H11" i="4"/>
  <c r="E11" i="4"/>
  <c r="G11" i="4"/>
  <c r="I11" i="4"/>
  <c r="H12" i="4"/>
  <c r="H13" i="4"/>
  <c r="E4" i="4"/>
  <c r="G4" i="4"/>
  <c r="O4" i="4"/>
  <c r="E6" i="4"/>
  <c r="G6" i="4"/>
  <c r="E7" i="4"/>
  <c r="G7" i="4"/>
  <c r="E8" i="4"/>
  <c r="G8" i="4"/>
  <c r="E9" i="4"/>
  <c r="G9" i="4"/>
  <c r="Q9" i="4"/>
  <c r="K11" i="4"/>
  <c r="M11" i="4"/>
  <c r="E13" i="4"/>
  <c r="G13" i="4"/>
  <c r="K14" i="4"/>
  <c r="M14" i="4"/>
  <c r="D7" i="4"/>
  <c r="D8" i="4"/>
  <c r="D9" i="4"/>
  <c r="D10" i="4"/>
  <c r="D11" i="4"/>
  <c r="D12" i="4"/>
  <c r="D13" i="4"/>
  <c r="D14" i="4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4" i="2"/>
  <c r="K22" i="4"/>
  <c r="N3" i="4"/>
  <c r="Z4" i="3"/>
  <c r="AB4" i="3"/>
  <c r="E3" i="5"/>
  <c r="G3" i="5"/>
  <c r="J3" i="5"/>
  <c r="E4" i="5"/>
  <c r="G4" i="5"/>
  <c r="D3" i="5"/>
  <c r="H3" i="5"/>
  <c r="D4" i="5"/>
  <c r="I20" i="4"/>
  <c r="I23" i="4"/>
  <c r="K10" i="4"/>
  <c r="M10" i="4"/>
  <c r="D3" i="4"/>
  <c r="D5" i="4"/>
  <c r="D4" i="4"/>
  <c r="D6" i="4"/>
  <c r="G8" i="6"/>
  <c r="P4" i="5"/>
  <c r="F25" i="6"/>
  <c r="G25" i="6"/>
  <c r="G36" i="6"/>
  <c r="B54" i="6"/>
  <c r="E45" i="7"/>
  <c r="F45" i="7"/>
  <c r="E44" i="7"/>
  <c r="F44" i="7"/>
  <c r="E43" i="7"/>
  <c r="F43" i="7"/>
  <c r="E42" i="7"/>
  <c r="F42" i="7"/>
  <c r="E36" i="7"/>
  <c r="E46" i="7"/>
  <c r="E17" i="6"/>
  <c r="F17" i="6"/>
  <c r="G17" i="6"/>
  <c r="F36" i="7"/>
  <c r="F35" i="7"/>
  <c r="E55" i="6"/>
  <c r="C55" i="6"/>
  <c r="B53" i="6"/>
  <c r="B51" i="6"/>
  <c r="G45" i="6"/>
  <c r="G44" i="6"/>
  <c r="F40" i="6"/>
  <c r="G40" i="6"/>
  <c r="F39" i="6"/>
  <c r="G39" i="6"/>
  <c r="E31" i="7"/>
  <c r="F31" i="7"/>
  <c r="E30" i="7"/>
  <c r="F30" i="7"/>
  <c r="E29" i="7"/>
  <c r="F29" i="7"/>
  <c r="E28" i="7"/>
  <c r="F28" i="7"/>
  <c r="F24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E14" i="7"/>
  <c r="F14" i="7"/>
  <c r="E14" i="6"/>
  <c r="F14" i="6"/>
  <c r="G14" i="6"/>
  <c r="E13" i="6"/>
  <c r="F13" i="6"/>
  <c r="G13" i="6"/>
  <c r="E12" i="6"/>
  <c r="F12" i="6"/>
  <c r="E10" i="6"/>
  <c r="F10" i="6"/>
  <c r="G10" i="6"/>
  <c r="F27" i="6"/>
  <c r="G27" i="6"/>
  <c r="F26" i="6"/>
  <c r="G26" i="6"/>
  <c r="F9" i="6"/>
  <c r="G9" i="6"/>
  <c r="E8" i="7"/>
  <c r="F8" i="7"/>
  <c r="E9" i="7"/>
  <c r="F9" i="7"/>
  <c r="E4" i="7"/>
  <c r="F4" i="7"/>
  <c r="E5" i="7"/>
  <c r="F5" i="7"/>
  <c r="E6" i="7"/>
  <c r="F6" i="7"/>
  <c r="E7" i="7"/>
  <c r="F7" i="7"/>
  <c r="G7" i="5"/>
  <c r="T7" i="5"/>
  <c r="E32" i="7"/>
  <c r="E16" i="6"/>
  <c r="F16" i="6"/>
  <c r="G16" i="6"/>
  <c r="G6" i="5"/>
  <c r="T6" i="5"/>
  <c r="F3" i="7"/>
  <c r="I7" i="5"/>
  <c r="O6" i="5"/>
  <c r="M19" i="4"/>
  <c r="P5" i="4"/>
  <c r="Q5" i="4"/>
  <c r="M4" i="2"/>
  <c r="S4" i="2"/>
  <c r="W4" i="2"/>
  <c r="X4" i="2"/>
  <c r="Y4" i="2"/>
  <c r="Z4" i="2"/>
  <c r="AA4" i="2"/>
  <c r="AB4" i="2"/>
  <c r="M5" i="2"/>
  <c r="S5" i="2"/>
  <c r="W5" i="2"/>
  <c r="X5" i="2"/>
  <c r="Y5" i="2"/>
  <c r="Z5" i="2"/>
  <c r="AA5" i="2"/>
  <c r="AC5" i="2"/>
  <c r="M6" i="2"/>
  <c r="S6" i="2"/>
  <c r="W6" i="2"/>
  <c r="X6" i="2"/>
  <c r="Y6" i="2"/>
  <c r="Z6" i="2"/>
  <c r="AA6" i="2"/>
  <c r="AB6" i="2"/>
  <c r="M7" i="2"/>
  <c r="S7" i="2"/>
  <c r="W7" i="2"/>
  <c r="X7" i="2"/>
  <c r="Y7" i="2"/>
  <c r="Z7" i="2"/>
  <c r="AA7" i="2"/>
  <c r="AB7" i="2"/>
  <c r="M8" i="2"/>
  <c r="S8" i="2"/>
  <c r="W8" i="2"/>
  <c r="X8" i="2"/>
  <c r="Y8" i="2"/>
  <c r="Z8" i="2"/>
  <c r="AA8" i="2"/>
  <c r="AB8" i="2"/>
  <c r="M9" i="2"/>
  <c r="S9" i="2"/>
  <c r="W9" i="2"/>
  <c r="X9" i="2"/>
  <c r="Y9" i="2"/>
  <c r="Z9" i="2"/>
  <c r="AA9" i="2"/>
  <c r="AC9" i="2"/>
  <c r="AB9" i="2"/>
  <c r="M10" i="2"/>
  <c r="S10" i="2"/>
  <c r="W10" i="2"/>
  <c r="X10" i="2"/>
  <c r="Y10" i="2"/>
  <c r="Z10" i="2"/>
  <c r="AA10" i="2"/>
  <c r="AC10" i="2"/>
  <c r="AD10" i="2"/>
  <c r="M11" i="2"/>
  <c r="S11" i="2"/>
  <c r="W11" i="2"/>
  <c r="X11" i="2"/>
  <c r="Y11" i="2"/>
  <c r="Z11" i="2"/>
  <c r="AA11" i="2"/>
  <c r="AC11" i="2"/>
  <c r="M12" i="2"/>
  <c r="S12" i="2"/>
  <c r="W12" i="2"/>
  <c r="X12" i="2"/>
  <c r="Y12" i="2"/>
  <c r="Z12" i="2"/>
  <c r="AA12" i="2"/>
  <c r="AC12" i="2"/>
  <c r="AD12" i="2"/>
  <c r="AB12" i="2"/>
  <c r="AE12" i="2"/>
  <c r="AF12" i="2"/>
  <c r="AG12" i="2"/>
  <c r="M13" i="2"/>
  <c r="S13" i="2"/>
  <c r="W13" i="2"/>
  <c r="X13" i="2"/>
  <c r="Y13" i="2"/>
  <c r="Z13" i="2"/>
  <c r="AA13" i="2"/>
  <c r="AB13" i="2"/>
  <c r="M14" i="2"/>
  <c r="S14" i="2"/>
  <c r="W14" i="2"/>
  <c r="X14" i="2"/>
  <c r="Y14" i="2"/>
  <c r="Z14" i="2"/>
  <c r="AA14" i="2"/>
  <c r="AB14" i="2"/>
  <c r="M15" i="2"/>
  <c r="S15" i="2"/>
  <c r="W15" i="2"/>
  <c r="X15" i="2"/>
  <c r="Y15" i="2"/>
  <c r="Z15" i="2"/>
  <c r="AA15" i="2"/>
  <c r="AB15" i="2"/>
  <c r="M16" i="2"/>
  <c r="S16" i="2"/>
  <c r="W16" i="2"/>
  <c r="X16" i="2"/>
  <c r="Y16" i="2"/>
  <c r="Z16" i="2"/>
  <c r="AA16" i="2"/>
  <c r="AB16" i="2"/>
  <c r="M17" i="2"/>
  <c r="S17" i="2"/>
  <c r="W17" i="2"/>
  <c r="X17" i="2"/>
  <c r="Y17" i="2"/>
  <c r="Z17" i="2"/>
  <c r="AA17" i="2"/>
  <c r="AC17" i="2"/>
  <c r="M19" i="2"/>
  <c r="S19" i="2"/>
  <c r="W19" i="2"/>
  <c r="X19" i="2"/>
  <c r="Y19" i="2"/>
  <c r="Z19" i="2"/>
  <c r="AA19" i="2"/>
  <c r="AC19" i="2"/>
  <c r="AD19" i="2"/>
  <c r="M20" i="2"/>
  <c r="S20" i="2"/>
  <c r="W20" i="2"/>
  <c r="X20" i="2"/>
  <c r="Y20" i="2"/>
  <c r="Z20" i="2"/>
  <c r="AA20" i="2"/>
  <c r="AC20" i="2"/>
  <c r="M21" i="2"/>
  <c r="S21" i="2"/>
  <c r="W21" i="2"/>
  <c r="X21" i="2"/>
  <c r="Y21" i="2"/>
  <c r="Z21" i="2"/>
  <c r="AA21" i="2"/>
  <c r="AB21" i="2"/>
  <c r="M22" i="2"/>
  <c r="S22" i="2"/>
  <c r="W22" i="2"/>
  <c r="X22" i="2"/>
  <c r="Y22" i="2"/>
  <c r="Z22" i="2"/>
  <c r="AA22" i="2"/>
  <c r="AC22" i="2"/>
  <c r="M23" i="2"/>
  <c r="S23" i="2"/>
  <c r="W23" i="2"/>
  <c r="X23" i="2"/>
  <c r="Y23" i="2"/>
  <c r="Z23" i="2"/>
  <c r="AA23" i="2"/>
  <c r="AC23" i="2"/>
  <c r="M24" i="2"/>
  <c r="S24" i="2"/>
  <c r="W24" i="2"/>
  <c r="X24" i="2"/>
  <c r="Y24" i="2"/>
  <c r="Z24" i="2"/>
  <c r="AA24" i="2"/>
  <c r="AC24" i="2"/>
  <c r="M25" i="2"/>
  <c r="S25" i="2"/>
  <c r="W25" i="2"/>
  <c r="X25" i="2"/>
  <c r="Y25" i="2"/>
  <c r="Z25" i="2"/>
  <c r="AA25" i="2"/>
  <c r="AC25" i="2"/>
  <c r="M26" i="2"/>
  <c r="S26" i="2"/>
  <c r="W26" i="2"/>
  <c r="X26" i="2"/>
  <c r="Y26" i="2"/>
  <c r="Z26" i="2"/>
  <c r="AA26" i="2"/>
  <c r="AC26" i="2"/>
  <c r="M27" i="2"/>
  <c r="S27" i="2"/>
  <c r="W27" i="2"/>
  <c r="X27" i="2"/>
  <c r="Y27" i="2"/>
  <c r="Z27" i="2"/>
  <c r="AA27" i="2"/>
  <c r="AB27" i="2"/>
  <c r="M28" i="2"/>
  <c r="S28" i="2"/>
  <c r="W28" i="2"/>
  <c r="X28" i="2"/>
  <c r="Y28" i="2"/>
  <c r="Z28" i="2"/>
  <c r="AA28" i="2"/>
  <c r="AC28" i="2"/>
  <c r="M29" i="2"/>
  <c r="S29" i="2"/>
  <c r="W29" i="2"/>
  <c r="X29" i="2"/>
  <c r="Y29" i="2"/>
  <c r="Z29" i="2"/>
  <c r="AA29" i="2"/>
  <c r="AC29" i="2"/>
  <c r="M30" i="2"/>
  <c r="S30" i="2"/>
  <c r="W30" i="2"/>
  <c r="X30" i="2"/>
  <c r="Y30" i="2"/>
  <c r="Z30" i="2"/>
  <c r="AA30" i="2"/>
  <c r="AC30" i="2"/>
  <c r="M31" i="2"/>
  <c r="S31" i="2"/>
  <c r="W31" i="2"/>
  <c r="X31" i="2"/>
  <c r="Y31" i="2"/>
  <c r="Z31" i="2"/>
  <c r="AA31" i="2"/>
  <c r="AC31" i="2"/>
  <c r="M32" i="2"/>
  <c r="S32" i="2"/>
  <c r="W32" i="2"/>
  <c r="X32" i="2"/>
  <c r="Y32" i="2"/>
  <c r="Z32" i="2"/>
  <c r="AA32" i="2"/>
  <c r="AC32" i="2"/>
  <c r="H5" i="4"/>
  <c r="I5" i="4"/>
  <c r="H4" i="4"/>
  <c r="H7" i="4"/>
  <c r="H5" i="5"/>
  <c r="H4" i="5"/>
  <c r="E3" i="4"/>
  <c r="H8" i="4"/>
  <c r="I8" i="4"/>
  <c r="AB10" i="2"/>
  <c r="AE10" i="2"/>
  <c r="AF10" i="2"/>
  <c r="AG10" i="2"/>
  <c r="AB19" i="2"/>
  <c r="AC13" i="2"/>
  <c r="AD13" i="2"/>
  <c r="H3" i="4"/>
  <c r="H6" i="4"/>
  <c r="I6" i="4"/>
  <c r="AB11" i="2"/>
  <c r="AC15" i="2"/>
  <c r="AD15" i="2"/>
  <c r="AC21" i="2"/>
  <c r="AE21" i="2"/>
  <c r="O12" i="4"/>
  <c r="T14" i="4"/>
  <c r="U14" i="4"/>
  <c r="O14" i="4"/>
  <c r="G3" i="4"/>
  <c r="J4" i="4"/>
  <c r="K4" i="4"/>
  <c r="M4" i="4"/>
  <c r="AE15" i="2"/>
  <c r="Q10" i="4"/>
  <c r="R10" i="4"/>
  <c r="J6" i="4"/>
  <c r="K6" i="4"/>
  <c r="M6" i="4"/>
  <c r="J4" i="5"/>
  <c r="K4" i="5"/>
  <c r="O7" i="5"/>
  <c r="T11" i="4"/>
  <c r="U11" i="4"/>
  <c r="K13" i="4"/>
  <c r="M13" i="4"/>
  <c r="O11" i="4"/>
  <c r="O3" i="4"/>
  <c r="O10" i="4"/>
  <c r="Q7" i="5"/>
  <c r="R7" i="5"/>
  <c r="Q12" i="4"/>
  <c r="U10" i="4"/>
  <c r="K8" i="5"/>
  <c r="T9" i="5"/>
  <c r="Q6" i="5"/>
  <c r="I4" i="4"/>
  <c r="Q11" i="4"/>
  <c r="K7" i="5"/>
  <c r="U7" i="5"/>
  <c r="T8" i="5"/>
  <c r="U8" i="5"/>
  <c r="AE11" i="3"/>
  <c r="AA34" i="3"/>
  <c r="AC34" i="3"/>
  <c r="AD34" i="3"/>
  <c r="AA12" i="3"/>
  <c r="AD12" i="3"/>
  <c r="AE12" i="3"/>
  <c r="AC28" i="3"/>
  <c r="AC17" i="3"/>
  <c r="AB21" i="3"/>
  <c r="AD18" i="3"/>
  <c r="AD16" i="3"/>
  <c r="AD39" i="3"/>
  <c r="AC4" i="3"/>
  <c r="O4" i="5"/>
  <c r="AB43" i="3"/>
  <c r="AD43" i="3"/>
  <c r="AB38" i="3"/>
  <c r="AD38" i="3"/>
  <c r="AA17" i="3"/>
  <c r="AA40" i="3"/>
  <c r="AA4" i="3"/>
  <c r="AD28" i="3"/>
  <c r="AE38" i="3"/>
  <c r="AA6" i="3"/>
  <c r="AD6" i="3"/>
  <c r="AB35" i="3"/>
  <c r="AD35" i="3"/>
  <c r="AB40" i="3"/>
  <c r="AD42" i="3"/>
  <c r="AD14" i="3"/>
  <c r="AA27" i="3"/>
  <c r="AD27" i="3"/>
  <c r="AD15" i="3"/>
  <c r="AE15" i="3"/>
  <c r="AD9" i="2"/>
  <c r="AE9" i="2"/>
  <c r="AF9" i="2"/>
  <c r="AG9" i="2"/>
  <c r="AD11" i="2"/>
  <c r="AE11" i="2"/>
  <c r="AF11" i="2"/>
  <c r="AG11" i="2"/>
  <c r="G24" i="4"/>
  <c r="K20" i="4"/>
  <c r="K21" i="4"/>
  <c r="K23" i="4"/>
  <c r="K24" i="4"/>
  <c r="AC16" i="2"/>
  <c r="M22" i="4"/>
  <c r="M20" i="4"/>
  <c r="AC6" i="2"/>
  <c r="AD6" i="2"/>
  <c r="AC27" i="2"/>
  <c r="AD27" i="2"/>
  <c r="AC14" i="2"/>
  <c r="AB32" i="2"/>
  <c r="AB31" i="2"/>
  <c r="AB30" i="2"/>
  <c r="AB29" i="2"/>
  <c r="AB28" i="2"/>
  <c r="AB26" i="2"/>
  <c r="AD26" i="2"/>
  <c r="AE26" i="2"/>
  <c r="AF26" i="2"/>
  <c r="AG26" i="2"/>
  <c r="AB25" i="2"/>
  <c r="AB24" i="2"/>
  <c r="AB23" i="2"/>
  <c r="AB22" i="2"/>
  <c r="AB20" i="2"/>
  <c r="AB17" i="2"/>
  <c r="I19" i="4"/>
  <c r="I4" i="5"/>
  <c r="O7" i="4"/>
  <c r="I7" i="4"/>
  <c r="O6" i="4"/>
  <c r="R5" i="4"/>
  <c r="G67" i="6"/>
  <c r="AE39" i="3"/>
  <c r="AE23" i="3"/>
  <c r="AC22" i="3"/>
  <c r="AB22" i="3"/>
  <c r="AB33" i="3"/>
  <c r="AC33" i="3"/>
  <c r="AD33" i="3"/>
  <c r="AA22" i="3"/>
  <c r="AC26" i="3"/>
  <c r="AB26" i="3"/>
  <c r="AA26" i="3"/>
  <c r="AA37" i="3"/>
  <c r="AB37" i="3"/>
  <c r="AC41" i="3"/>
  <c r="AB41" i="3"/>
  <c r="AA41" i="3"/>
  <c r="AE27" i="3"/>
  <c r="AE14" i="3"/>
  <c r="AE7" i="3"/>
  <c r="S3" i="4"/>
  <c r="T3" i="4"/>
  <c r="P3" i="4"/>
  <c r="Q3" i="4"/>
  <c r="P5" i="5"/>
  <c r="Q5" i="5"/>
  <c r="P4" i="4"/>
  <c r="Q4" i="4"/>
  <c r="AB8" i="3"/>
  <c r="AD8" i="3"/>
  <c r="AE31" i="3"/>
  <c r="P8" i="4"/>
  <c r="Q8" i="4"/>
  <c r="R8" i="4"/>
  <c r="G70" i="6"/>
  <c r="P6" i="4"/>
  <c r="Q6" i="4"/>
  <c r="R6" i="4"/>
  <c r="G68" i="6"/>
  <c r="P7" i="4"/>
  <c r="Q7" i="4"/>
  <c r="AC5" i="3"/>
  <c r="AB5" i="3"/>
  <c r="AA5" i="3"/>
  <c r="AA13" i="3"/>
  <c r="AB13" i="3"/>
  <c r="AE29" i="3"/>
  <c r="AE20" i="3"/>
  <c r="AE28" i="3"/>
  <c r="AE36" i="3"/>
  <c r="Q4" i="5"/>
  <c r="R4" i="5"/>
  <c r="G75" i="6"/>
  <c r="AD4" i="3"/>
  <c r="AC9" i="3"/>
  <c r="AA9" i="3"/>
  <c r="AE10" i="3"/>
  <c r="AA21" i="3"/>
  <c r="AD21" i="3"/>
  <c r="AE18" i="2"/>
  <c r="AD18" i="2"/>
  <c r="AD30" i="2"/>
  <c r="AE30" i="2"/>
  <c r="AF30" i="2"/>
  <c r="AG30" i="2"/>
  <c r="AD31" i="2"/>
  <c r="AE31" i="2"/>
  <c r="AD28" i="2"/>
  <c r="AE28" i="2"/>
  <c r="AD24" i="2"/>
  <c r="AE24" i="2"/>
  <c r="AD23" i="2"/>
  <c r="AE23" i="2"/>
  <c r="AE22" i="2"/>
  <c r="AD22" i="2"/>
  <c r="AF22" i="2"/>
  <c r="AG22" i="2"/>
  <c r="AD17" i="2"/>
  <c r="AE17" i="2"/>
  <c r="AF17" i="2"/>
  <c r="AG17" i="2"/>
  <c r="AF15" i="2"/>
  <c r="AG15" i="2"/>
  <c r="AE13" i="2"/>
  <c r="AF13" i="2"/>
  <c r="AG13" i="2"/>
  <c r="M21" i="4"/>
  <c r="AD32" i="2"/>
  <c r="AE32" i="2"/>
  <c r="AD29" i="2"/>
  <c r="AE29" i="2"/>
  <c r="AD25" i="2"/>
  <c r="AE25" i="2"/>
  <c r="AD20" i="2"/>
  <c r="AE20" i="2"/>
  <c r="AD5" i="2"/>
  <c r="AE5" i="2"/>
  <c r="AE6" i="2"/>
  <c r="AF6" i="2"/>
  <c r="AG6" i="2"/>
  <c r="AC7" i="2"/>
  <c r="AE19" i="2"/>
  <c r="AF19" i="2"/>
  <c r="AG19" i="2"/>
  <c r="AC8" i="2"/>
  <c r="AB5" i="2"/>
  <c r="AC4" i="2"/>
  <c r="AE27" i="2"/>
  <c r="AF27" i="2"/>
  <c r="AG27" i="2"/>
  <c r="AD21" i="2"/>
  <c r="AF21" i="2"/>
  <c r="AG21" i="2"/>
  <c r="I21" i="4"/>
  <c r="Q3" i="5"/>
  <c r="T3" i="5"/>
  <c r="O3" i="5"/>
  <c r="I3" i="5"/>
  <c r="G11" i="5"/>
  <c r="I9" i="4"/>
  <c r="R9" i="4"/>
  <c r="O9" i="4"/>
  <c r="Q10" i="5"/>
  <c r="O10" i="5"/>
  <c r="K10" i="5"/>
  <c r="T10" i="5"/>
  <c r="U10" i="5"/>
  <c r="I3" i="4"/>
  <c r="O8" i="4"/>
  <c r="T9" i="4"/>
  <c r="G15" i="4"/>
  <c r="I13" i="4"/>
  <c r="Q13" i="4"/>
  <c r="T13" i="4"/>
  <c r="U13" i="4"/>
  <c r="O13" i="4"/>
  <c r="R11" i="4"/>
  <c r="K9" i="4"/>
  <c r="M9" i="4"/>
  <c r="I5" i="5"/>
  <c r="I12" i="4"/>
  <c r="R12" i="4"/>
  <c r="K12" i="4"/>
  <c r="K9" i="5"/>
  <c r="U9" i="5"/>
  <c r="K3" i="5"/>
  <c r="I10" i="5"/>
  <c r="Q9" i="5"/>
  <c r="I9" i="5"/>
  <c r="I6" i="5"/>
  <c r="R6" i="5"/>
  <c r="K6" i="5"/>
  <c r="U6" i="5"/>
  <c r="O8" i="5"/>
  <c r="I8" i="5"/>
  <c r="R8" i="5"/>
  <c r="E21" i="7"/>
  <c r="E15" i="6"/>
  <c r="F15" i="6"/>
  <c r="G15" i="6"/>
  <c r="E10" i="7"/>
  <c r="G12" i="6"/>
  <c r="F21" i="7"/>
  <c r="F55" i="6"/>
  <c r="F46" i="7"/>
  <c r="F10" i="7"/>
  <c r="F32" i="7"/>
  <c r="D55" i="6"/>
  <c r="G55" i="6"/>
  <c r="J8" i="4"/>
  <c r="K8" i="4"/>
  <c r="M8" i="4"/>
  <c r="J5" i="4"/>
  <c r="K5" i="4"/>
  <c r="M5" i="4"/>
  <c r="D24" i="6"/>
  <c r="F24" i="6"/>
  <c r="G24" i="6"/>
  <c r="R4" i="4"/>
  <c r="G66" i="6"/>
  <c r="J5" i="5"/>
  <c r="K5" i="5"/>
  <c r="AD26" i="3"/>
  <c r="AE26" i="3"/>
  <c r="R7" i="4"/>
  <c r="G69" i="6"/>
  <c r="AE42" i="3"/>
  <c r="R10" i="5"/>
  <c r="AE24" i="3"/>
  <c r="S5" i="4"/>
  <c r="T5" i="4"/>
  <c r="AE35" i="3"/>
  <c r="AD40" i="3"/>
  <c r="AE40" i="3"/>
  <c r="AD17" i="3"/>
  <c r="AE19" i="3"/>
  <c r="AE32" i="3"/>
  <c r="S4" i="4"/>
  <c r="T4" i="4"/>
  <c r="U4" i="4"/>
  <c r="H66" i="6"/>
  <c r="C66" i="6"/>
  <c r="AE6" i="3"/>
  <c r="AE18" i="3"/>
  <c r="AE30" i="3"/>
  <c r="M24" i="4"/>
  <c r="AF28" i="2"/>
  <c r="AG28" i="2"/>
  <c r="AD14" i="2"/>
  <c r="AE14" i="2"/>
  <c r="I24" i="4"/>
  <c r="AF29" i="2"/>
  <c r="AG29" i="2"/>
  <c r="AF23" i="2"/>
  <c r="AG23" i="2"/>
  <c r="AF31" i="2"/>
  <c r="AG31" i="2"/>
  <c r="AF32" i="2"/>
  <c r="AG32" i="2"/>
  <c r="AF24" i="2"/>
  <c r="AG24" i="2"/>
  <c r="AF18" i="2"/>
  <c r="AG18" i="2"/>
  <c r="AF5" i="2"/>
  <c r="AG5" i="2"/>
  <c r="AE16" i="2"/>
  <c r="AD16" i="2"/>
  <c r="AF16" i="2"/>
  <c r="AG16" i="2"/>
  <c r="R5" i="5"/>
  <c r="G76" i="6"/>
  <c r="G77" i="6"/>
  <c r="D66" i="6"/>
  <c r="F66" i="6"/>
  <c r="AE33" i="3"/>
  <c r="AD37" i="3"/>
  <c r="AE37" i="3"/>
  <c r="O15" i="4"/>
  <c r="AE8" i="3"/>
  <c r="R9" i="5"/>
  <c r="B66" i="6"/>
  <c r="AD13" i="3"/>
  <c r="AE16" i="3"/>
  <c r="AD9" i="3"/>
  <c r="AE9" i="3"/>
  <c r="AD5" i="3"/>
  <c r="S5" i="5"/>
  <c r="T5" i="5"/>
  <c r="U5" i="5"/>
  <c r="H76" i="6"/>
  <c r="S4" i="5"/>
  <c r="T4" i="5"/>
  <c r="U4" i="5"/>
  <c r="H75" i="6"/>
  <c r="AD22" i="3"/>
  <c r="AE43" i="3"/>
  <c r="R13" i="4"/>
  <c r="AE21" i="3"/>
  <c r="AD41" i="3"/>
  <c r="AE34" i="3"/>
  <c r="AE8" i="2"/>
  <c r="AD8" i="2"/>
  <c r="AF20" i="2"/>
  <c r="AG20" i="2"/>
  <c r="AD7" i="2"/>
  <c r="AE7" i="2"/>
  <c r="AF7" i="2"/>
  <c r="AG7" i="2"/>
  <c r="AF25" i="2"/>
  <c r="AG25" i="2"/>
  <c r="AD4" i="2"/>
  <c r="AE4" i="2"/>
  <c r="O11" i="5"/>
  <c r="D22" i="6"/>
  <c r="F22" i="6"/>
  <c r="G22" i="6"/>
  <c r="U3" i="5"/>
  <c r="R3" i="4"/>
  <c r="M12" i="4"/>
  <c r="U12" i="4"/>
  <c r="J7" i="4"/>
  <c r="K7" i="4"/>
  <c r="R3" i="5"/>
  <c r="J3" i="4"/>
  <c r="K3" i="4"/>
  <c r="U9" i="4"/>
  <c r="U5" i="4"/>
  <c r="H67" i="6"/>
  <c r="AE22" i="3"/>
  <c r="AE4" i="3"/>
  <c r="AE13" i="3"/>
  <c r="AE17" i="3"/>
  <c r="E66" i="6"/>
  <c r="D19" i="6"/>
  <c r="F19" i="6"/>
  <c r="G19" i="6"/>
  <c r="AF14" i="2"/>
  <c r="AG14" i="2"/>
  <c r="U11" i="5"/>
  <c r="E35" i="6"/>
  <c r="F35" i="6"/>
  <c r="G35" i="6"/>
  <c r="D76" i="6"/>
  <c r="F76" i="6"/>
  <c r="C76" i="6"/>
  <c r="B76" i="6"/>
  <c r="S6" i="4"/>
  <c r="T6" i="4"/>
  <c r="U6" i="4"/>
  <c r="H68" i="6"/>
  <c r="S8" i="4"/>
  <c r="T8" i="4"/>
  <c r="U8" i="4"/>
  <c r="H70" i="6"/>
  <c r="AE25" i="3"/>
  <c r="S7" i="4"/>
  <c r="T7" i="4"/>
  <c r="D75" i="6"/>
  <c r="F75" i="6"/>
  <c r="B75" i="6"/>
  <c r="H77" i="6"/>
  <c r="C75" i="6"/>
  <c r="E75" i="6"/>
  <c r="R11" i="5"/>
  <c r="E23" i="6"/>
  <c r="F23" i="6"/>
  <c r="G23" i="6"/>
  <c r="AE41" i="3"/>
  <c r="AE5" i="3"/>
  <c r="AF4" i="2"/>
  <c r="AG4" i="2"/>
  <c r="AF8" i="2"/>
  <c r="AG8" i="2"/>
  <c r="M3" i="4"/>
  <c r="U3" i="4"/>
  <c r="U7" i="4"/>
  <c r="H69" i="6"/>
  <c r="M7" i="4"/>
  <c r="G65" i="6"/>
  <c r="G71" i="6"/>
  <c r="R15" i="4"/>
  <c r="E20" i="6"/>
  <c r="F20" i="6"/>
  <c r="F67" i="6"/>
  <c r="D67" i="6"/>
  <c r="C67" i="6"/>
  <c r="E67" i="6"/>
  <c r="B67" i="6"/>
  <c r="E76" i="6"/>
  <c r="E77" i="6"/>
  <c r="F77" i="6"/>
  <c r="C68" i="6"/>
  <c r="D68" i="6"/>
  <c r="E68" i="6"/>
  <c r="F68" i="6"/>
  <c r="B68" i="6"/>
  <c r="C70" i="6"/>
  <c r="F70" i="6"/>
  <c r="D70" i="6"/>
  <c r="B70" i="6"/>
  <c r="D69" i="6"/>
  <c r="B69" i="6"/>
  <c r="F69" i="6"/>
  <c r="C69" i="6"/>
  <c r="G20" i="6"/>
  <c r="D28" i="6"/>
  <c r="F28" i="6"/>
  <c r="G28" i="6"/>
  <c r="U15" i="4"/>
  <c r="E34" i="6"/>
  <c r="F34" i="6"/>
  <c r="G34" i="6"/>
  <c r="H65" i="6"/>
  <c r="E69" i="6"/>
  <c r="E70" i="6"/>
  <c r="F30" i="6"/>
  <c r="F56" i="6"/>
  <c r="D65" i="6"/>
  <c r="B65" i="6"/>
  <c r="F65" i="6"/>
  <c r="F71" i="6"/>
  <c r="C65" i="6"/>
  <c r="H71" i="6"/>
  <c r="G30" i="6"/>
  <c r="E65" i="6"/>
  <c r="E71" i="6"/>
  <c r="E58" i="6"/>
  <c r="F59" i="6"/>
  <c r="C56" i="6"/>
  <c r="D38" i="6"/>
  <c r="F38" i="6"/>
  <c r="G38" i="6"/>
  <c r="G56" i="6"/>
  <c r="G60" i="6"/>
  <c r="D60" i="6"/>
  <c r="E60" i="6"/>
  <c r="F60" i="6"/>
  <c r="G58" i="6"/>
  <c r="C57" i="6"/>
  <c r="F58" i="6"/>
  <c r="C58" i="6"/>
  <c r="E59" i="6"/>
  <c r="G57" i="6"/>
  <c r="C60" i="6"/>
  <c r="D56" i="6"/>
  <c r="D58" i="6"/>
  <c r="C59" i="6"/>
  <c r="E57" i="6"/>
  <c r="E56" i="6"/>
  <c r="D59" i="6"/>
  <c r="G59" i="6"/>
  <c r="D57" i="6"/>
  <c r="D37" i="6"/>
  <c r="F37" i="6"/>
  <c r="G37" i="6"/>
  <c r="F57" i="6"/>
  <c r="G41" i="6"/>
  <c r="G43" i="6"/>
  <c r="F41" i="6"/>
  <c r="F43" i="6"/>
</calcChain>
</file>

<file path=xl/sharedStrings.xml><?xml version="1.0" encoding="utf-8"?>
<sst xmlns="http://schemas.openxmlformats.org/spreadsheetml/2006/main" count="2020" uniqueCount="531">
  <si>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</si>
  <si>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</si>
  <si>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</si>
  <si>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</si>
  <si>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</si>
  <si>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</si>
  <si>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</si>
  <si>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</si>
  <si>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</si>
  <si>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</si>
  <si>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</si>
  <si>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</si>
  <si>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</si>
  <si>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</si>
  <si>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</si>
  <si>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</si>
  <si>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</si>
  <si>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</si>
  <si>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</si>
  <si>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</si>
  <si>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</si>
  <si>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</si>
  <si>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</si>
  <si>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</si>
  <si>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</si>
  <si>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</si>
  <si>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</si>
  <si>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</si>
  <si>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</si>
  <si>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</si>
  <si>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</si>
  <si>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</si>
  <si>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</si>
  <si>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</si>
  <si>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</si>
  <si>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</si>
  <si>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</si>
  <si>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</si>
  <si>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</si>
  <si>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</si>
  <si>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</si>
  <si>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</si>
  <si>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</si>
  <si>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</si>
  <si>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</si>
  <si>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</si>
  <si>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</si>
  <si>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</si>
  <si>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</si>
  <si>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</si>
  <si>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</si>
  <si>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</si>
  <si>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</si>
  <si>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</si>
  <si>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</si>
  <si>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</si>
  <si>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</si>
  <si>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</si>
  <si>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</si>
  <si>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</si>
  <si>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</si>
  <si>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</si>
  <si>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</si>
  <si>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</si>
  <si>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</si>
  <si>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</si>
  <si>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</si>
  <si>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</si>
  <si>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</si>
  <si>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</si>
  <si>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</si>
  <si>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</si>
  <si>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</si>
  <si>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</si>
  <si>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</si>
  <si>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</si>
  <si>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</si>
  <si>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</si>
  <si>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25' Rigid</t>
  </si>
  <si>
    <t>22' Rigid</t>
  </si>
  <si>
    <t>35' Flex</t>
  </si>
  <si>
    <t>30' Flex</t>
  </si>
  <si>
    <t>25' Flex</t>
  </si>
  <si>
    <t>22'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</si>
  <si>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</si>
  <si>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</si>
  <si>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</si>
  <si>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</si>
  <si>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</si>
  <si>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</si>
  <si>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</si>
  <si>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</si>
  <si>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</si>
  <si>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</si>
  <si>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</si>
  <si>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</si>
  <si>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</si>
  <si>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</si>
  <si>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</si>
  <si>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</si>
  <si>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</si>
  <si>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</si>
  <si>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</si>
  <si>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</si>
  <si>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</si>
  <si>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</si>
  <si>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</si>
  <si>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</si>
  <si>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</si>
  <si>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</si>
  <si>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</si>
  <si>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</si>
  <si>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</si>
  <si>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</si>
  <si>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</si>
  <si>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</si>
  <si>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</si>
  <si>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</si>
  <si>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</si>
  <si>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</si>
  <si>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</si>
  <si>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</si>
  <si>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</si>
  <si>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</si>
  <si>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</si>
  <si>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</si>
  <si>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</si>
  <si>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</si>
  <si>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</si>
  <si>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</si>
  <si>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</si>
  <si>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</si>
  <si>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</si>
  <si>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</si>
  <si>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</si>
  <si>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</si>
  <si>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</si>
  <si>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</si>
  <si>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</si>
  <si>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</si>
  <si>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</si>
  <si>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</si>
  <si>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</si>
  <si>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</si>
  <si>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</si>
  <si>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</si>
  <si>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</si>
  <si>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</si>
  <si>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</si>
  <si>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</si>
  <si>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</si>
  <si>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</si>
  <si>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</si>
  <si>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</si>
  <si>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</si>
  <si>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</si>
  <si>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</si>
  <si>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</si>
  <si>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</si>
  <si>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</si>
  <si>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</si>
  <si>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</si>
  <si>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</si>
  <si>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</si>
  <si>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</si>
  <si>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</si>
  <si>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</si>
  <si>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</si>
  <si>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</si>
  <si>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</si>
  <si>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</si>
  <si>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</si>
  <si>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</si>
  <si>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</si>
  <si>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</si>
  <si>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</si>
  <si>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</si>
  <si>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</si>
  <si>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</si>
  <si>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</si>
  <si>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</si>
  <si>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</si>
  <si>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</si>
  <si>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</si>
  <si>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</si>
  <si>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</si>
  <si>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</si>
  <si>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</si>
  <si>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</si>
  <si>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</si>
  <si>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</si>
  <si>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</si>
  <si>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</si>
  <si>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</si>
  <si>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</si>
  <si>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</si>
  <si>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</si>
  <si>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</si>
  <si>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</si>
  <si>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</si>
  <si>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</si>
  <si>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</si>
  <si>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</si>
  <si>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</si>
  <si>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</si>
  <si>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</si>
  <si>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</si>
  <si>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</si>
  <si>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</si>
  <si>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</si>
  <si>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</si>
  <si>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</si>
  <si>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</si>
  <si>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</si>
  <si>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</si>
  <si>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</si>
  <si>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</si>
  <si>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</si>
  <si>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</si>
  <si>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</si>
  <si>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</si>
  <si>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</si>
  <si>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</si>
  <si>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</si>
  <si>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</si>
  <si>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</si>
  <si>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</si>
  <si>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</si>
  <si>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4R-30 (350)</t>
  </si>
  <si>
    <t>5R-30 (250)</t>
  </si>
  <si>
    <t>4R-36 (255)</t>
  </si>
  <si>
    <t>4R-36 (350)</t>
  </si>
  <si>
    <t>6R-30 (355)</t>
  </si>
  <si>
    <t>5R-36 (250)</t>
  </si>
  <si>
    <t>4R2x1 (350)</t>
  </si>
  <si>
    <t>6R-36 (355)</t>
  </si>
  <si>
    <t>4R-36 (365)</t>
  </si>
  <si>
    <t>6R-30 (365)</t>
  </si>
  <si>
    <t>6R-30 (500)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</si>
  <si>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</si>
  <si>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</si>
  <si>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</si>
  <si>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</si>
  <si>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</si>
  <si>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</si>
  <si>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</si>
  <si>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</si>
  <si>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</si>
  <si>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</si>
  <si>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</si>
  <si>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</si>
  <si>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</si>
  <si>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</si>
  <si>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</si>
  <si>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</si>
  <si>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</si>
  <si>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</si>
  <si>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</si>
  <si>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</si>
  <si>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</si>
  <si>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</si>
  <si>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</si>
  <si>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</si>
  <si>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</si>
  <si>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</si>
  <si>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</si>
  <si>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</si>
  <si>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</si>
  <si>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</si>
  <si>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</si>
  <si>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</si>
  <si>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</si>
  <si>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</si>
  <si>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</si>
  <si>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</si>
  <si>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</si>
  <si>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</si>
  <si>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</si>
  <si>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</si>
  <si>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</si>
  <si>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</si>
  <si>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</si>
  <si>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</si>
  <si>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</si>
  <si>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</si>
  <si>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</si>
  <si>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</si>
  <si>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</si>
  <si>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</si>
  <si>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</si>
  <si>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</si>
  <si>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</si>
  <si>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</si>
  <si>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</si>
  <si>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</si>
  <si>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</si>
  <si>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</si>
  <si>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</si>
  <si>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</si>
  <si>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</si>
  <si>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</si>
  <si>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</si>
  <si>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</si>
  <si>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</si>
  <si>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</si>
  <si>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</si>
  <si>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</si>
  <si>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</si>
  <si>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</si>
  <si>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</si>
  <si>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</si>
  <si>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</si>
  <si>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</si>
  <si>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</si>
  <si>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</si>
  <si>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</si>
  <si>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</si>
  <si>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</si>
  <si>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</si>
  <si>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</si>
  <si>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</si>
  <si>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</si>
  <si>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</si>
  <si>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</si>
  <si>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</si>
  <si>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</si>
  <si>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</si>
  <si>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</si>
  <si>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</si>
  <si>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</si>
  <si>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</si>
  <si>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</si>
  <si>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</si>
  <si>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</si>
  <si>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</si>
  <si>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</si>
  <si>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</si>
  <si>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</si>
  <si>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</si>
  <si>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</si>
  <si>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</si>
  <si>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</si>
  <si>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</si>
  <si>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</si>
  <si>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</si>
  <si>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</si>
  <si>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</si>
  <si>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</si>
  <si>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</si>
  <si>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</si>
  <si>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</si>
  <si>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</si>
  <si>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</si>
  <si>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</si>
  <si>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</si>
  <si>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</si>
  <si>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</si>
  <si>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</si>
  <si>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</si>
  <si>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</si>
  <si>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</si>
  <si>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</si>
  <si>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</si>
  <si>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</si>
  <si>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</si>
  <si>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</si>
  <si>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</si>
  <si>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</si>
  <si>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</si>
  <si>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</si>
  <si>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</si>
  <si>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</si>
  <si>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</si>
  <si>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</si>
  <si>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</si>
  <si>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</si>
  <si>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</si>
  <si>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</si>
  <si>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</si>
  <si>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</si>
  <si>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</si>
  <si>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</si>
  <si>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Weed Control</t>
  </si>
  <si>
    <t>Insect Control</t>
  </si>
  <si>
    <t>Preharvest Machinery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</si>
  <si>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</si>
  <si>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</si>
  <si>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</si>
  <si>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</si>
  <si>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</si>
  <si>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</si>
  <si>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gallon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</si>
  <si>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</si>
  <si>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</si>
  <si>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</si>
  <si>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</si>
  <si>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</si>
  <si>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</si>
  <si>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</si>
  <si>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</si>
  <si>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</si>
  <si>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</si>
  <si>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</si>
  <si>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</si>
  <si>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</si>
  <si>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</si>
  <si>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</si>
  <si>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</si>
  <si>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</si>
  <si>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</si>
  <si>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</si>
  <si>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</si>
  <si>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</si>
  <si>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</si>
  <si>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</si>
  <si>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</si>
  <si>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</si>
  <si>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</si>
  <si>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</si>
  <si>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</si>
  <si>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</si>
  <si>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</si>
  <si>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</si>
  <si>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</si>
  <si>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</si>
  <si>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</si>
  <si>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</si>
  <si>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</si>
  <si>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</si>
  <si>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</si>
  <si>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</si>
  <si>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</si>
  <si>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</si>
  <si>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</si>
  <si>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</si>
  <si>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</si>
  <si>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</si>
  <si>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</si>
  <si>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Irrigation*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</si>
  <si>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</si>
  <si>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</si>
  <si>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</si>
  <si>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</si>
  <si>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</si>
  <si>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</si>
  <si>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</si>
  <si>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</si>
  <si>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</si>
  <si>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</si>
  <si>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</si>
  <si>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</si>
  <si>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</si>
  <si>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</si>
  <si>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</si>
  <si>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</si>
  <si>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</si>
  <si>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</si>
  <si>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</si>
  <si>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</si>
  <si>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</si>
  <si>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</si>
  <si>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</si>
  <si>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</si>
  <si>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</si>
  <si>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Labor Use** (hrs/ac)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</si>
  <si>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</si>
  <si>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</si>
  <si>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</si>
  <si>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</si>
  <si>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</si>
  <si>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</si>
  <si>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</si>
  <si>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</si>
  <si>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</si>
  <si>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</si>
  <si>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</si>
  <si>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</si>
  <si>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</si>
  <si>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</si>
  <si>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</si>
  <si>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</si>
  <si>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</si>
  <si>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</si>
  <si>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</si>
  <si>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</si>
  <si>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</si>
  <si>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</si>
  <si>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</si>
  <si>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</si>
  <si>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</si>
  <si>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</si>
  <si>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</si>
  <si>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</si>
  <si>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</si>
  <si>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</si>
  <si>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</si>
  <si>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</si>
  <si>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</si>
  <si>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</si>
  <si>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</si>
  <si>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** Includes unallocated labor factor of 0.25.  Unallocated labor factor is percentage allowance for additional labor required to move equipment and hook/unhook implements, etc.</t>
  </si>
  <si>
    <t>bushel</t>
  </si>
  <si>
    <t>pound</t>
  </si>
  <si>
    <t>Atrazine</t>
  </si>
  <si>
    <t>Glyphosate</t>
  </si>
  <si>
    <t xml:space="preserve">Crop Oil </t>
  </si>
  <si>
    <t>quart</t>
  </si>
  <si>
    <t>%v/v</t>
  </si>
  <si>
    <t>0.22, Tractor (120-139 hp) 2WD 130</t>
  </si>
  <si>
    <t>0.01, Combine (200-249 hp) 240 hp</t>
  </si>
  <si>
    <t>Drying - 8 Points</t>
  </si>
  <si>
    <t>Irrigated Corn</t>
  </si>
  <si>
    <t>applications</t>
  </si>
  <si>
    <t>Your Yield</t>
  </si>
  <si>
    <t>Your Farm</t>
  </si>
  <si>
    <t>oz</t>
  </si>
  <si>
    <t>Headline AMP</t>
  </si>
  <si>
    <t>1.08, Disk Harrow 32'</t>
  </si>
  <si>
    <t>1.6, Heavy Disk 27'</t>
  </si>
  <si>
    <t>0.03, Bed-Disk  (Hipper)  6R-36</t>
  </si>
  <si>
    <t>2.6, Plant - Rigid  6R-36</t>
  </si>
  <si>
    <t>1.16, Fert Appl (Liquid)  6R-36</t>
  </si>
  <si>
    <t>3.47, Spray (Broadcast) 60'</t>
  </si>
  <si>
    <t>0.28, Tractor (180-199 hp) MFWD 190</t>
  </si>
  <si>
    <t>0.33, Header - Corn  6R-36</t>
  </si>
  <si>
    <t>0.23, Grain Cart Corn  500 bu</t>
  </si>
  <si>
    <t>Pyrethroid (bifenthrin)</t>
  </si>
  <si>
    <t xml:space="preserve">Developed by Amanda Smith and Adam Rabinowitz. </t>
  </si>
  <si>
    <t>*Average of diesel and electric irrigation application costs.  Electric is estimated at $7/appl and diesel is estimated at $10.80/appl when diesel costs $2.25/gal.</t>
  </si>
  <si>
    <t>South Georgia, 2018</t>
  </si>
  <si>
    <t>Treated Seed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</si>
</sst>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84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44" fontId="0" fillId="0" borderId="0" xfId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/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44" fontId="0" fillId="0" borderId="0" xfId="0" applyNumberFormat="1"/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 applyAlignment="1">
      <alignment horizontal="left"/>
    </xf>
    <xf numFmtId="0" fontId="16" fillId="0" borderId="10" xfId="0" applyFont="1" applyBorder="1"/>
    <xf numFmtId="9" fontId="0" fillId="0" borderId="0" xfId="46" applyFont="1"/>
    <xf numFmtId="0" fontId="0" fillId="0" borderId="0" xfId="0" applyAlignment="1">
      <alignment wrapText="1"/>
    </xf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0" fontId="0" fillId="0" borderId="0" xfId="0" applyBorder="1" applyAlignment="1"/>
    <xf numFmtId="0" fontId="0" fillId="0" borderId="0" xfId="0" quotePrefix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" fontId="0" fillId="0" borderId="14" xfId="0" applyNumberFormat="1" applyBorder="1" applyAlignment="1">
      <alignment horizontal="center"/>
    </xf>
    <xf numFmtId="169" fontId="0" fillId="0" borderId="15" xfId="1" applyNumberFormat="1" applyFont="1" applyBorder="1" applyAlignment="1">
      <alignment horizontal="left" indent="8"/>
    </xf>
    <xf numFmtId="169" fontId="24" fillId="0" borderId="15" xfId="1" applyNumberFormat="1" applyFont="1" applyBorder="1" applyAlignment="1">
      <alignment horizontal="center"/>
    </xf>
    <xf numFmtId="169" fontId="0" fillId="0" borderId="0" xfId="1" applyNumberFormat="1" applyFont="1" applyBorder="1" applyAlignment="1">
      <alignment horizontal="left" indent="8"/>
    </xf>
    <xf numFmtId="169" fontId="24" fillId="0" borderId="0" xfId="1" applyNumberFormat="1" applyFont="1" applyBorder="1" applyAlignment="1">
      <alignment horizontal="center"/>
    </xf>
    <xf numFmtId="169" fontId="0" fillId="0" borderId="14" xfId="1" applyNumberFormat="1" applyFont="1" applyBorder="1" applyAlignment="1">
      <alignment horizontal="left" indent="8"/>
    </xf>
    <xf numFmtId="169" fontId="24" fillId="0" borderId="14" xfId="1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2" fontId="0" fillId="0" borderId="15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6" fillId="0" borderId="0" xfId="47"/>
    <xf numFmtId="0" fontId="0" fillId="0" borderId="0" xfId="0" applyBorder="1" applyAlignment="1">
      <alignment horizontal="center" vertical="center" wrapText="1"/>
    </xf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44" fontId="1" fillId="35" borderId="10" xfId="1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28" fillId="0" borderId="0" xfId="43" applyNumberFormat="1" applyFont="1"/>
    <xf numFmtId="0" fontId="28" fillId="0" borderId="0" xfId="43" applyFont="1"/>
    <xf numFmtId="2" fontId="28" fillId="0" borderId="10" xfId="43" applyNumberFormat="1" applyFont="1" applyBorder="1"/>
    <xf numFmtId="0" fontId="28" fillId="0" borderId="10" xfId="43" applyFont="1" applyBorder="1"/>
    <xf numFmtId="1" fontId="28" fillId="0" borderId="10" xfId="43" applyNumberFormat="1" applyFont="1" applyBorder="1"/>
    <xf numFmtId="2" fontId="28" fillId="0" borderId="0" xfId="43" applyNumberFormat="1" applyFont="1"/>
    <xf numFmtId="0" fontId="28" fillId="0" borderId="0" xfId="43" applyFont="1" applyFill="1"/>
    <xf numFmtId="166" fontId="27" fillId="0" borderId="0" xfId="43" applyNumberFormat="1" applyFont="1" applyFill="1"/>
    <xf numFmtId="166" fontId="29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30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1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8" fillId="0" borderId="0" xfId="43" applyNumberFormat="1" applyFont="1"/>
    <xf numFmtId="1" fontId="28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7" fillId="0" borderId="0" xfId="43" applyNumberFormat="1" applyFont="1" applyFill="1"/>
    <xf numFmtId="0" fontId="27" fillId="0" borderId="0" xfId="43" applyFont="1" applyFill="1"/>
    <xf numFmtId="167" fontId="28" fillId="0" borderId="10" xfId="43" applyNumberFormat="1" applyFont="1" applyBorder="1"/>
    <xf numFmtId="167" fontId="28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2" fontId="0" fillId="0" borderId="0" xfId="0" applyNumberFormat="1" applyBorder="1" applyAlignment="1">
      <alignment horizontal="center" vertical="center" wrapText="1"/>
    </xf>
    <xf numFmtId="167" fontId="0" fillId="0" borderId="0" xfId="0" applyNumberFormat="1" applyBorder="1" applyAlignment="1">
      <alignment horizontal="center" vertical="center" wrapText="1"/>
    </xf>
    <xf numFmtId="167" fontId="0" fillId="0" borderId="15" xfId="0" applyNumberFormat="1" applyBorder="1" applyAlignment="1">
      <alignment horizontal="center" vertical="center"/>
    </xf>
    <xf numFmtId="167" fontId="0" fillId="0" borderId="0" xfId="0" applyNumberFormat="1"/>
    <xf numFmtId="0" fontId="0" fillId="0" borderId="0" xfId="0" applyFill="1"/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44" fontId="1" fillId="0" borderId="15" xfId="1" applyFont="1" applyFill="1" applyBorder="1" applyAlignment="1">
      <alignment horizontal="center" vertical="center"/>
    </xf>
    <xf numFmtId="0" fontId="32" fillId="0" borderId="21" xfId="0" applyFont="1" applyFill="1" applyBorder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7" fillId="0" borderId="0" xfId="43" applyNumberFormat="1" applyFont="1" applyFill="1" applyBorder="1" applyAlignment="1"/>
    <xf numFmtId="166" fontId="27" fillId="42" borderId="12" xfId="43" applyNumberFormat="1" applyFont="1" applyFill="1" applyBorder="1" applyAlignment="1"/>
    <xf numFmtId="166" fontId="27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0" fontId="0" fillId="0" borderId="0" xfId="0"/>
    <xf numFmtId="44" fontId="0" fillId="0" borderId="0" xfId="1" applyFont="1"/>
    <xf numFmtId="44" fontId="0" fillId="0" borderId="0" xfId="0" applyNumberFormat="1"/>
    <xf numFmtId="44" fontId="0" fillId="0" borderId="15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167" fontId="0" fillId="0" borderId="0" xfId="0" applyNumberForma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7" fillId="0" borderId="0" xfId="43" applyFont="1" applyFill="1"/>
    <xf numFmtId="0" fontId="34" fillId="0" borderId="10" xfId="43" applyFont="1" applyFill="1" applyBorder="1"/>
    <xf numFmtId="1" fontId="34" fillId="0" borderId="10" xfId="43" applyNumberFormat="1" applyFont="1" applyFill="1" applyBorder="1"/>
    <xf numFmtId="1" fontId="35" fillId="0" borderId="0" xfId="43" applyNumberFormat="1" applyFont="1" applyFill="1"/>
    <xf numFmtId="164" fontId="35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0" fillId="0" borderId="10" xfId="0" applyBorder="1"/>
    <xf numFmtId="0" fontId="0" fillId="0" borderId="0" xfId="0" applyNumberFormat="1"/>
    <xf numFmtId="1" fontId="31" fillId="0" borderId="0" xfId="43" applyNumberFormat="1" applyFon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left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5" fillId="0" borderId="2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0" fillId="0" borderId="15" xfId="0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Fill="1" applyBorder="1" applyAlignment="1">
      <alignment horizontal="left" vertical="top" wrapText="1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3" fillId="42" borderId="13" xfId="43" applyNumberFormat="1" applyFont="1" applyFill="1" applyBorder="1" applyAlignment="1">
      <alignment horizontal="left"/>
    </xf>
    <xf numFmtId="1" fontId="33" fillId="42" borderId="17" xfId="43" applyNumberFormat="1" applyFont="1" applyFill="1" applyBorder="1" applyAlignment="1">
      <alignment horizontal="left"/>
    </xf>
    <xf numFmtId="0" fontId="33" fillId="42" borderId="22" xfId="43" applyFont="1" applyFill="1" applyBorder="1" applyAlignment="1">
      <alignment horizontal="left"/>
    </xf>
    <xf numFmtId="0" fontId="33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tabSelected="1" workbookViewId="0"/>
  </sheetViews>
  <sheetFormatPr baseColWidth="10" defaultColWidth="8.83203125" defaultRowHeight="15" x14ac:dyDescent="0.2"/>
  <cols>
    <col min="1" max="1" width="16.5" bestFit="1" customWidth="1"/>
    <col min="2" max="2" width="37.5" bestFit="1" customWidth="1"/>
    <col min="3" max="3" width="11.6640625" bestFit="1" customWidth="1"/>
    <col min="4" max="5" width="9.5" bestFit="1" customWidth="1"/>
    <col min="6" max="6" width="9.83203125" bestFit="1" customWidth="1"/>
    <col min="7" max="7" width="9.33203125" bestFit="1" customWidth="1"/>
    <col min="8" max="8" width="11" bestFit="1" customWidth="1"/>
  </cols>
  <sheetData>
    <row r="1" spans="1:9" x14ac:dyDescent="0.2">
      <c r="B1" s="253" t="s">
        <v>511</v>
      </c>
      <c r="C1" s="253"/>
      <c r="D1" s="253"/>
      <c r="E1" s="253"/>
      <c r="F1" s="253"/>
      <c r="G1" s="253"/>
      <c r="H1" s="253"/>
      <c r="I1" s="57"/>
    </row>
    <row r="2" spans="1:9" ht="14.5" customHeight="1" x14ac:dyDescent="0.2">
      <c r="B2" s="253" t="s">
        <v>529</v>
      </c>
      <c r="C2" s="253"/>
      <c r="D2" s="253"/>
      <c r="E2" s="253"/>
      <c r="F2" s="253"/>
      <c r="G2" s="253"/>
      <c r="H2" s="253"/>
      <c r="I2" s="51"/>
    </row>
    <row r="3" spans="1:9" x14ac:dyDescent="0.2">
      <c r="B3" s="57"/>
      <c r="C3" s="57"/>
      <c r="D3" s="57"/>
      <c r="E3" s="57"/>
      <c r="F3" s="57"/>
      <c r="G3" s="57"/>
      <c r="H3" s="57"/>
      <c r="I3" s="57"/>
    </row>
    <row r="4" spans="1:9" x14ac:dyDescent="0.2">
      <c r="B4" s="253" t="s">
        <v>373</v>
      </c>
      <c r="C4" s="253"/>
      <c r="D4" s="253"/>
      <c r="E4" s="253"/>
      <c r="F4" s="253"/>
      <c r="G4" s="253"/>
      <c r="H4" s="253"/>
      <c r="I4" s="57"/>
    </row>
    <row r="6" spans="1:9" x14ac:dyDescent="0.2">
      <c r="B6" s="77" t="s">
        <v>374</v>
      </c>
      <c r="C6" s="57">
        <v>200</v>
      </c>
      <c r="D6" t="s">
        <v>501</v>
      </c>
      <c r="F6" t="s">
        <v>513</v>
      </c>
    </row>
    <row r="7" spans="1:9" x14ac:dyDescent="0.2">
      <c r="G7" s="250"/>
    </row>
    <row r="8" spans="1:9" x14ac:dyDescent="0.2">
      <c r="B8" s="109" t="s">
        <v>375</v>
      </c>
      <c r="C8" s="109" t="s">
        <v>368</v>
      </c>
      <c r="D8" s="76" t="s">
        <v>369</v>
      </c>
      <c r="E8" s="76" t="s">
        <v>370</v>
      </c>
      <c r="F8" s="76" t="s">
        <v>376</v>
      </c>
      <c r="G8" s="249" t="str">
        <f>CONCATENATE("$/",$D$6)</f>
        <v>$/bushel</v>
      </c>
      <c r="H8" s="248" t="s">
        <v>514</v>
      </c>
    </row>
    <row r="9" spans="1:9" x14ac:dyDescent="0.2">
      <c r="B9" t="s">
        <v>530</v>
      </c>
      <c r="C9" t="s">
        <v>388</v>
      </c>
      <c r="D9">
        <v>32</v>
      </c>
      <c r="E9" s="41">
        <v>3.5</v>
      </c>
      <c r="F9" s="41">
        <f>E9*D9</f>
        <v>112</v>
      </c>
      <c r="G9" s="78">
        <f>F9/yield</f>
        <v>0.56000000000000005</v>
      </c>
    </row>
    <row r="10" spans="1:9" x14ac:dyDescent="0.2">
      <c r="B10" t="s">
        <v>365</v>
      </c>
      <c r="C10" t="s">
        <v>389</v>
      </c>
      <c r="D10">
        <f>'Fert, Weed, Insct, Dis'!$C$6</f>
        <v>0.5</v>
      </c>
      <c r="E10" s="78">
        <f>'Fert, Weed, Insct, Dis'!$D$6</f>
        <v>43</v>
      </c>
      <c r="F10" s="41">
        <f>E10*D10</f>
        <v>21.5</v>
      </c>
      <c r="G10" s="78">
        <f>F10/yield</f>
        <v>0.1075</v>
      </c>
      <c r="H10" s="250"/>
    </row>
    <row r="11" spans="1:9" x14ac:dyDescent="0.2">
      <c r="A11" s="156" t="s">
        <v>447</v>
      </c>
      <c r="B11" t="s">
        <v>378</v>
      </c>
      <c r="F11" s="41"/>
      <c r="G11" s="78"/>
    </row>
    <row r="12" spans="1:9" x14ac:dyDescent="0.2">
      <c r="B12" s="107" t="s">
        <v>379</v>
      </c>
      <c r="C12" t="s">
        <v>371</v>
      </c>
      <c r="D12" s="225">
        <f>'Fert, Weed, Insct, Dis'!C3</f>
        <v>240</v>
      </c>
      <c r="E12" s="78">
        <f>'Fert, Weed, Insct, Dis'!$D$3</f>
        <v>0.44</v>
      </c>
      <c r="F12" s="41">
        <f t="shared" ref="F12:F17" si="0">E12*D12</f>
        <v>105.6</v>
      </c>
      <c r="G12" s="78">
        <f t="shared" ref="G12:G17" si="1">F12/yield</f>
        <v>0.52800000000000002</v>
      </c>
      <c r="I12" s="227"/>
    </row>
    <row r="13" spans="1:9" x14ac:dyDescent="0.2">
      <c r="B13" s="107" t="s">
        <v>380</v>
      </c>
      <c r="C13" t="s">
        <v>371</v>
      </c>
      <c r="D13" s="225">
        <f>'Fert, Weed, Insct, Dis'!C4</f>
        <v>100</v>
      </c>
      <c r="E13" s="78">
        <f>'Fert, Weed, Insct, Dis'!$D$4</f>
        <v>0.38</v>
      </c>
      <c r="F13" s="41">
        <f t="shared" si="0"/>
        <v>38</v>
      </c>
      <c r="G13" s="78">
        <f t="shared" si="1"/>
        <v>0.19</v>
      </c>
      <c r="H13" s="250"/>
    </row>
    <row r="14" spans="1:9" x14ac:dyDescent="0.2">
      <c r="B14" s="107" t="s">
        <v>381</v>
      </c>
      <c r="C14" t="s">
        <v>371</v>
      </c>
      <c r="D14" s="225">
        <f>'Fert, Weed, Insct, Dis'!C5</f>
        <v>200</v>
      </c>
      <c r="E14" s="78">
        <f>'Fert, Weed, Insct, Dis'!$D$5</f>
        <v>0.28999999999999998</v>
      </c>
      <c r="F14" s="41">
        <f t="shared" si="0"/>
        <v>57.999999999999993</v>
      </c>
      <c r="G14" s="78">
        <f t="shared" si="1"/>
        <v>0.28999999999999998</v>
      </c>
    </row>
    <row r="15" spans="1:9" x14ac:dyDescent="0.2">
      <c r="A15" s="156" t="s">
        <v>448</v>
      </c>
      <c r="B15" t="s">
        <v>382</v>
      </c>
      <c r="C15" t="s">
        <v>390</v>
      </c>
      <c r="D15">
        <v>1</v>
      </c>
      <c r="E15" s="78">
        <f>'Fert, Weed, Insct, Dis'!$E$21</f>
        <v>11.400000000000002</v>
      </c>
      <c r="F15" s="41">
        <f t="shared" si="0"/>
        <v>11.400000000000002</v>
      </c>
      <c r="G15" s="78">
        <f t="shared" si="1"/>
        <v>5.7000000000000009E-2</v>
      </c>
      <c r="H15" s="250"/>
    </row>
    <row r="16" spans="1:9" x14ac:dyDescent="0.2">
      <c r="A16" s="156" t="s">
        <v>449</v>
      </c>
      <c r="B16" t="s">
        <v>383</v>
      </c>
      <c r="C16" t="s">
        <v>390</v>
      </c>
      <c r="D16">
        <v>1</v>
      </c>
      <c r="E16" s="78">
        <f>'Fert, Weed, Insct, Dis'!$E$32</f>
        <v>8.7040000000000006</v>
      </c>
      <c r="F16" s="41">
        <f t="shared" si="0"/>
        <v>8.7040000000000006</v>
      </c>
      <c r="G16" s="78">
        <f t="shared" si="1"/>
        <v>4.3520000000000003E-2</v>
      </c>
    </row>
    <row r="17" spans="1:8" x14ac:dyDescent="0.2">
      <c r="A17" s="156" t="s">
        <v>450</v>
      </c>
      <c r="B17" s="43" t="s">
        <v>436</v>
      </c>
      <c r="C17" t="s">
        <v>390</v>
      </c>
      <c r="D17">
        <v>1</v>
      </c>
      <c r="E17" s="78">
        <f>'Fert, Weed, Insct, Dis'!$E$46</f>
        <v>18.900000000000002</v>
      </c>
      <c r="F17" s="41">
        <f t="shared" si="0"/>
        <v>18.900000000000002</v>
      </c>
      <c r="G17" s="78">
        <f t="shared" si="1"/>
        <v>9.4500000000000015E-2</v>
      </c>
      <c r="H17" s="250"/>
    </row>
    <row r="18" spans="1:8" x14ac:dyDescent="0.2">
      <c r="A18" s="156" t="s">
        <v>452</v>
      </c>
      <c r="B18" t="s">
        <v>384</v>
      </c>
      <c r="F18" s="41"/>
      <c r="G18" s="78"/>
    </row>
    <row r="19" spans="1:8" x14ac:dyDescent="0.2">
      <c r="B19" s="107" t="s">
        <v>385</v>
      </c>
      <c r="C19" t="s">
        <v>391</v>
      </c>
      <c r="D19" s="207">
        <f>PreHarvest!O15+PreHarvest!I24</f>
        <v>4.9079900980947375</v>
      </c>
      <c r="E19" s="41">
        <v>2.25</v>
      </c>
      <c r="F19" s="41">
        <f>E19*D19</f>
        <v>11.042977720713159</v>
      </c>
      <c r="G19" s="78">
        <f>F19/yield</f>
        <v>5.5214888603565798E-2</v>
      </c>
    </row>
    <row r="20" spans="1:8" x14ac:dyDescent="0.2">
      <c r="B20" s="107" t="s">
        <v>386</v>
      </c>
      <c r="C20" t="s">
        <v>390</v>
      </c>
      <c r="D20">
        <v>1</v>
      </c>
      <c r="E20" s="41">
        <f>PreHarvest!$R$15+PreHarvest!$K$24</f>
        <v>13.431918065944437</v>
      </c>
      <c r="F20" s="41">
        <f>E20*D20</f>
        <v>13.431918065944437</v>
      </c>
      <c r="G20" s="78">
        <f>F20/yield</f>
        <v>6.7159590329722185E-2</v>
      </c>
      <c r="H20" s="250"/>
    </row>
    <row r="21" spans="1:8" x14ac:dyDescent="0.2">
      <c r="A21" s="156" t="s">
        <v>451</v>
      </c>
      <c r="B21" t="s">
        <v>387</v>
      </c>
      <c r="F21" s="41"/>
      <c r="G21" s="78"/>
    </row>
    <row r="22" spans="1:8" x14ac:dyDescent="0.2">
      <c r="B22" s="107" t="s">
        <v>385</v>
      </c>
      <c r="C22" t="s">
        <v>391</v>
      </c>
      <c r="D22" s="207">
        <f>Harvest!O11</f>
        <v>2.5316526644257697</v>
      </c>
      <c r="E22" s="41">
        <f>E19</f>
        <v>2.25</v>
      </c>
      <c r="F22" s="41">
        <f t="shared" ref="F22:F29" si="2">E22*D22</f>
        <v>5.6962184949579822</v>
      </c>
      <c r="G22" s="78">
        <f t="shared" ref="G22:G29" si="3">F22/yield</f>
        <v>2.8481092474789912E-2</v>
      </c>
    </row>
    <row r="23" spans="1:8" x14ac:dyDescent="0.2">
      <c r="B23" s="107" t="s">
        <v>386</v>
      </c>
      <c r="C23" t="s">
        <v>390</v>
      </c>
      <c r="D23">
        <v>1</v>
      </c>
      <c r="E23" s="41">
        <f>Harvest!$R$11</f>
        <v>8.6506992647058816</v>
      </c>
      <c r="F23" s="41">
        <f t="shared" si="2"/>
        <v>8.6506992647058816</v>
      </c>
      <c r="G23" s="78">
        <f t="shared" si="3"/>
        <v>4.3253496323529407E-2</v>
      </c>
      <c r="H23" s="250"/>
    </row>
    <row r="24" spans="1:8" x14ac:dyDescent="0.2">
      <c r="B24" t="s">
        <v>392</v>
      </c>
      <c r="C24" t="s">
        <v>397</v>
      </c>
      <c r="D24" s="207">
        <f>1.25*((PreHarvest!G15+PreHarvest!G24)+Harvest!G11)</f>
        <v>1.0440876928959844</v>
      </c>
      <c r="E24" s="41">
        <v>13</v>
      </c>
      <c r="F24" s="41">
        <f t="shared" si="2"/>
        <v>13.573140007647797</v>
      </c>
      <c r="G24" s="78">
        <f t="shared" si="3"/>
        <v>6.7865700038238982E-2</v>
      </c>
    </row>
    <row r="25" spans="1:8" x14ac:dyDescent="0.2">
      <c r="B25" s="43" t="s">
        <v>438</v>
      </c>
      <c r="C25" t="s">
        <v>512</v>
      </c>
      <c r="D25">
        <v>8</v>
      </c>
      <c r="E25" s="41">
        <v>8.9</v>
      </c>
      <c r="F25" s="41">
        <f t="shared" ref="F25" si="4">E25*D25</f>
        <v>71.2</v>
      </c>
      <c r="G25" s="78">
        <f t="shared" si="3"/>
        <v>0.35600000000000004</v>
      </c>
      <c r="H25" s="250"/>
    </row>
    <row r="26" spans="1:8" x14ac:dyDescent="0.2">
      <c r="B26" t="s">
        <v>393</v>
      </c>
      <c r="C26" t="s">
        <v>390</v>
      </c>
      <c r="D26">
        <v>1</v>
      </c>
      <c r="E26" s="41">
        <v>14</v>
      </c>
      <c r="F26" s="41">
        <f t="shared" si="2"/>
        <v>14</v>
      </c>
      <c r="G26" s="78">
        <f t="shared" si="3"/>
        <v>7.0000000000000007E-2</v>
      </c>
    </row>
    <row r="27" spans="1:8" x14ac:dyDescent="0.2">
      <c r="B27" t="s">
        <v>394</v>
      </c>
      <c r="C27" t="s">
        <v>390</v>
      </c>
      <c r="D27">
        <v>1</v>
      </c>
      <c r="E27" s="41">
        <v>0</v>
      </c>
      <c r="F27" s="41">
        <f t="shared" si="2"/>
        <v>0</v>
      </c>
      <c r="G27" s="78">
        <f t="shared" si="3"/>
        <v>0</v>
      </c>
      <c r="H27" s="250"/>
    </row>
    <row r="28" spans="1:8" x14ac:dyDescent="0.2">
      <c r="B28" t="s">
        <v>395</v>
      </c>
      <c r="C28" t="s">
        <v>396</v>
      </c>
      <c r="D28" s="78">
        <f>SUM(F9:F27)*0.5</f>
        <v>255.84947677698463</v>
      </c>
      <c r="E28" s="106">
        <v>0.06</v>
      </c>
      <c r="F28" s="41">
        <f t="shared" si="2"/>
        <v>15.350968606619077</v>
      </c>
      <c r="G28" s="78">
        <f t="shared" si="3"/>
        <v>7.6754843033095377E-2</v>
      </c>
    </row>
    <row r="29" spans="1:8" s="225" customFormat="1" x14ac:dyDescent="0.2">
      <c r="B29" s="225" t="s">
        <v>510</v>
      </c>
      <c r="C29" s="239" t="str">
        <f t="shared" ref="C29" si="5">$D$6</f>
        <v>bushel</v>
      </c>
      <c r="D29" s="247">
        <f>yield*1.0975</f>
        <v>219.49999999999997</v>
      </c>
      <c r="E29" s="226">
        <v>0.28000000000000003</v>
      </c>
      <c r="F29" s="226">
        <f t="shared" si="2"/>
        <v>61.46</v>
      </c>
      <c r="G29" s="227">
        <f t="shared" si="3"/>
        <v>0.30730000000000002</v>
      </c>
      <c r="H29" s="250"/>
    </row>
    <row r="30" spans="1:8" x14ac:dyDescent="0.2">
      <c r="B30" s="254" t="s">
        <v>398</v>
      </c>
      <c r="C30" s="254"/>
      <c r="D30" s="254"/>
      <c r="E30" s="254"/>
      <c r="F30" s="108">
        <f>SUM(F9:F29)</f>
        <v>588.50992216058842</v>
      </c>
      <c r="G30" s="108">
        <f>SUM(G9:G29)</f>
        <v>2.9425496108029412</v>
      </c>
      <c r="H30" s="250"/>
    </row>
    <row r="32" spans="1:8" x14ac:dyDescent="0.2">
      <c r="B32" s="110" t="s">
        <v>403</v>
      </c>
      <c r="C32" s="110"/>
      <c r="D32" s="110"/>
      <c r="E32" s="110"/>
      <c r="F32" s="110"/>
      <c r="G32" s="110"/>
      <c r="H32" s="250"/>
    </row>
    <row r="33" spans="1:8" x14ac:dyDescent="0.2">
      <c r="B33" s="261" t="s">
        <v>404</v>
      </c>
      <c r="C33" s="261"/>
      <c r="D33" s="261"/>
      <c r="E33" s="261"/>
      <c r="F33" s="261"/>
      <c r="G33" s="261"/>
      <c r="H33" s="261"/>
    </row>
    <row r="34" spans="1:8" x14ac:dyDescent="0.2">
      <c r="B34" s="107" t="s">
        <v>405</v>
      </c>
      <c r="C34" t="s">
        <v>390</v>
      </c>
      <c r="D34">
        <v>1</v>
      </c>
      <c r="E34" s="41">
        <f>PreHarvest!$U$15+PreHarvest!$M$24</f>
        <v>37.426512078806937</v>
      </c>
      <c r="F34" s="41">
        <f>E34*D34</f>
        <v>37.426512078806937</v>
      </c>
      <c r="G34" s="41">
        <f t="shared" ref="G34:G40" si="6">F34/yield</f>
        <v>0.1871325603940347</v>
      </c>
    </row>
    <row r="35" spans="1:8" x14ac:dyDescent="0.2">
      <c r="B35" s="107" t="s">
        <v>406</v>
      </c>
      <c r="C35" t="s">
        <v>390</v>
      </c>
      <c r="D35">
        <v>1</v>
      </c>
      <c r="E35" s="41">
        <f>Harvest!$U$11</f>
        <v>41.772831823809526</v>
      </c>
      <c r="F35" s="41">
        <f t="shared" ref="F35:F40" si="7">E35*D35</f>
        <v>41.772831823809526</v>
      </c>
      <c r="G35" s="41">
        <f t="shared" si="6"/>
        <v>0.20886415911904763</v>
      </c>
      <c r="H35" s="250"/>
    </row>
    <row r="36" spans="1:8" x14ac:dyDescent="0.2">
      <c r="A36" s="43"/>
      <c r="B36" s="107" t="s">
        <v>437</v>
      </c>
      <c r="C36" t="s">
        <v>390</v>
      </c>
      <c r="D36">
        <v>1</v>
      </c>
      <c r="E36" s="41">
        <v>130</v>
      </c>
      <c r="F36" s="41">
        <f>E36*D36</f>
        <v>130</v>
      </c>
      <c r="G36" s="41">
        <f t="shared" si="6"/>
        <v>0.65</v>
      </c>
    </row>
    <row r="37" spans="1:8" x14ac:dyDescent="0.2">
      <c r="B37" t="s">
        <v>407</v>
      </c>
      <c r="C37" t="s">
        <v>408</v>
      </c>
      <c r="D37" s="41">
        <f>tvc</f>
        <v>588.50992216058842</v>
      </c>
      <c r="E37" s="111">
        <v>0.05</v>
      </c>
      <c r="F37" s="41">
        <f t="shared" si="7"/>
        <v>29.425496108029421</v>
      </c>
      <c r="G37" s="41">
        <f t="shared" si="6"/>
        <v>0.1471274805401471</v>
      </c>
      <c r="H37" s="250"/>
    </row>
    <row r="38" spans="1:8" x14ac:dyDescent="0.2">
      <c r="B38" t="s">
        <v>409</v>
      </c>
      <c r="C38" t="s">
        <v>408</v>
      </c>
      <c r="D38" s="41">
        <f>tvc</f>
        <v>588.50992216058842</v>
      </c>
      <c r="E38" s="111">
        <v>0.05</v>
      </c>
      <c r="F38" s="41">
        <f>E38*D38</f>
        <v>29.425496108029421</v>
      </c>
      <c r="G38" s="41">
        <f t="shared" si="6"/>
        <v>0.1471274805401471</v>
      </c>
    </row>
    <row r="39" spans="1:8" x14ac:dyDescent="0.2">
      <c r="B39" s="112" t="s">
        <v>410</v>
      </c>
      <c r="C39" t="s">
        <v>390</v>
      </c>
      <c r="D39">
        <v>1</v>
      </c>
      <c r="E39" s="41">
        <v>0</v>
      </c>
      <c r="F39" s="41">
        <f t="shared" si="7"/>
        <v>0</v>
      </c>
      <c r="G39" s="41">
        <f t="shared" si="6"/>
        <v>0</v>
      </c>
      <c r="H39" s="250"/>
    </row>
    <row r="40" spans="1:8" x14ac:dyDescent="0.2">
      <c r="B40" s="56" t="s">
        <v>411</v>
      </c>
      <c r="C40" s="56" t="s">
        <v>390</v>
      </c>
      <c r="D40" s="56">
        <v>1</v>
      </c>
      <c r="E40" s="113">
        <v>0</v>
      </c>
      <c r="F40" s="113">
        <f t="shared" si="7"/>
        <v>0</v>
      </c>
      <c r="G40" s="41">
        <f t="shared" si="6"/>
        <v>0</v>
      </c>
    </row>
    <row r="41" spans="1:8" x14ac:dyDescent="0.2">
      <c r="B41" s="254" t="s">
        <v>412</v>
      </c>
      <c r="C41" s="254"/>
      <c r="D41" s="254"/>
      <c r="E41" s="254"/>
      <c r="F41" s="108">
        <f>SUM(F34:F40)</f>
        <v>268.05033611867532</v>
      </c>
      <c r="G41" s="108">
        <f>SUM(G34:G40)</f>
        <v>1.3402516805933764</v>
      </c>
      <c r="H41" s="250"/>
    </row>
    <row r="43" spans="1:8" ht="16" thickBot="1" x14ac:dyDescent="0.25">
      <c r="B43" s="114" t="s">
        <v>413</v>
      </c>
      <c r="C43" s="114"/>
      <c r="D43" s="114"/>
      <c r="E43" s="114"/>
      <c r="F43" s="115">
        <f>F30+F41</f>
        <v>856.56025827926373</v>
      </c>
      <c r="G43" s="115">
        <f>G30+G41</f>
        <v>4.2828012913963178</v>
      </c>
      <c r="H43" s="250"/>
    </row>
    <row r="44" spans="1:8" x14ac:dyDescent="0.2">
      <c r="B44" s="116" t="s">
        <v>414</v>
      </c>
      <c r="C44" s="116"/>
      <c r="D44" s="116"/>
      <c r="E44" s="117" t="s">
        <v>415</v>
      </c>
      <c r="F44" s="123"/>
      <c r="G44" s="118" t="str">
        <f>CONCATENATE("/",$D$6)</f>
        <v>/bushel</v>
      </c>
    </row>
    <row r="45" spans="1:8" ht="16" thickBot="1" x14ac:dyDescent="0.25">
      <c r="B45" s="119" t="s">
        <v>416</v>
      </c>
      <c r="C45" s="119"/>
      <c r="D45" s="119"/>
      <c r="E45" s="120" t="s">
        <v>415</v>
      </c>
      <c r="F45" s="121"/>
      <c r="G45" s="122" t="str">
        <f>CONCATENATE("/",$D$6)</f>
        <v>/bushel</v>
      </c>
    </row>
    <row r="46" spans="1:8" x14ac:dyDescent="0.2">
      <c r="B46" s="151"/>
      <c r="C46" s="151"/>
      <c r="D46" s="151"/>
      <c r="E46" s="152"/>
      <c r="F46" s="153"/>
      <c r="G46" s="154"/>
      <c r="H46" s="151"/>
    </row>
    <row r="47" spans="1:8" ht="29" customHeight="1" x14ac:dyDescent="0.2">
      <c r="B47" s="265" t="s">
        <v>528</v>
      </c>
      <c r="C47" s="265"/>
      <c r="D47" s="265"/>
      <c r="E47" s="265"/>
      <c r="F47" s="265"/>
      <c r="G47" s="265"/>
      <c r="H47" s="265"/>
    </row>
    <row r="48" spans="1:8" ht="43.25" customHeight="1" x14ac:dyDescent="0.2">
      <c r="B48" s="213"/>
      <c r="C48" s="213"/>
      <c r="D48" s="213"/>
      <c r="E48" s="213"/>
      <c r="F48" s="213"/>
      <c r="G48" s="213"/>
      <c r="H48" s="213"/>
    </row>
    <row r="49" spans="2:8" ht="14.5" customHeight="1" x14ac:dyDescent="0.2">
      <c r="B49" s="259" t="s">
        <v>527</v>
      </c>
      <c r="C49" s="259"/>
      <c r="D49" s="259"/>
      <c r="E49" s="259"/>
      <c r="F49" s="259"/>
      <c r="G49" s="259"/>
      <c r="H49" s="259"/>
    </row>
    <row r="50" spans="2:8" x14ac:dyDescent="0.2">
      <c r="B50" s="260"/>
      <c r="C50" s="260"/>
      <c r="D50" s="260"/>
      <c r="E50" s="260"/>
      <c r="F50" s="260"/>
      <c r="G50" s="260"/>
      <c r="H50" s="260"/>
    </row>
    <row r="51" spans="2:8" x14ac:dyDescent="0.2">
      <c r="B51" s="258" t="str">
        <f>CONCATENATE("Sensitivity Analysis of ",B1)</f>
        <v>Sensitivity Analysis of Irrigated Corn</v>
      </c>
      <c r="C51" s="258"/>
      <c r="D51" s="258"/>
      <c r="E51" s="258"/>
      <c r="F51" s="258"/>
      <c r="G51" s="258"/>
      <c r="H51" s="124"/>
    </row>
    <row r="52" spans="2:8" x14ac:dyDescent="0.2">
      <c r="B52" s="262" t="s">
        <v>417</v>
      </c>
      <c r="C52" s="262"/>
      <c r="D52" s="262"/>
      <c r="E52" s="262"/>
      <c r="F52" s="262"/>
      <c r="G52" s="262"/>
      <c r="H52" s="125"/>
    </row>
    <row r="53" spans="2:8" x14ac:dyDescent="0.2">
      <c r="B53" s="263" t="str">
        <f>CONCATENATE("Varying Prices and Yields ","(",(D6),")")</f>
        <v>Varying Prices and Yields (bushel)</v>
      </c>
      <c r="C53" s="263"/>
      <c r="D53" s="263"/>
      <c r="E53" s="263"/>
      <c r="F53" s="263"/>
      <c r="G53" s="263"/>
      <c r="H53" s="125"/>
    </row>
    <row r="54" spans="2:8" x14ac:dyDescent="0.2">
      <c r="B54" s="255" t="str">
        <f>CONCATENATE("Price \ ",$D$6,"/Acre")</f>
        <v>Price \ bushel/Acre</v>
      </c>
      <c r="C54" s="126" t="s">
        <v>418</v>
      </c>
      <c r="D54" s="126" t="s">
        <v>419</v>
      </c>
      <c r="E54" s="127" t="s">
        <v>420</v>
      </c>
      <c r="F54" s="126" t="s">
        <v>421</v>
      </c>
      <c r="G54" s="126" t="s">
        <v>422</v>
      </c>
      <c r="H54" s="128"/>
    </row>
    <row r="55" spans="2:8" x14ac:dyDescent="0.2">
      <c r="B55" s="256"/>
      <c r="C55" s="129">
        <f>E55*0.75</f>
        <v>150</v>
      </c>
      <c r="D55" s="129">
        <f>E55*0.9</f>
        <v>180</v>
      </c>
      <c r="E55" s="129">
        <f>yield</f>
        <v>200</v>
      </c>
      <c r="F55" s="129">
        <f>E55*1.1</f>
        <v>220.00000000000003</v>
      </c>
      <c r="G55" s="129">
        <f>E55*1.25</f>
        <v>250</v>
      </c>
    </row>
    <row r="56" spans="2:8" x14ac:dyDescent="0.2">
      <c r="B56" s="130">
        <v>3.5</v>
      </c>
      <c r="C56" s="131">
        <f t="shared" ref="C56:G60" si="8">$B56*C$55-tvc</f>
        <v>-63.509922160588417</v>
      </c>
      <c r="D56" s="131">
        <f t="shared" si="8"/>
        <v>41.490077839411583</v>
      </c>
      <c r="E56" s="131">
        <f t="shared" si="8"/>
        <v>111.49007783941158</v>
      </c>
      <c r="F56" s="131">
        <f t="shared" si="8"/>
        <v>181.4900778394117</v>
      </c>
      <c r="G56" s="131">
        <f t="shared" si="8"/>
        <v>286.49007783941158</v>
      </c>
    </row>
    <row r="57" spans="2:8" x14ac:dyDescent="0.2">
      <c r="B57" s="132">
        <f>B56+0.25</f>
        <v>3.75</v>
      </c>
      <c r="C57" s="133">
        <f t="shared" si="8"/>
        <v>-26.009922160588417</v>
      </c>
      <c r="D57" s="133">
        <f t="shared" si="8"/>
        <v>86.490077839411583</v>
      </c>
      <c r="E57" s="133">
        <f t="shared" si="8"/>
        <v>161.49007783941158</v>
      </c>
      <c r="F57" s="133">
        <f t="shared" si="8"/>
        <v>236.4900778394117</v>
      </c>
      <c r="G57" s="133">
        <f t="shared" si="8"/>
        <v>348.99007783941158</v>
      </c>
    </row>
    <row r="58" spans="2:8" x14ac:dyDescent="0.2">
      <c r="B58" s="132">
        <f t="shared" ref="B58:B59" si="9">B57+0.25</f>
        <v>4</v>
      </c>
      <c r="C58" s="133">
        <f t="shared" si="8"/>
        <v>11.490077839411583</v>
      </c>
      <c r="D58" s="133">
        <f t="shared" si="8"/>
        <v>131.49007783941158</v>
      </c>
      <c r="E58" s="133">
        <f t="shared" si="8"/>
        <v>211.49007783941158</v>
      </c>
      <c r="F58" s="133">
        <f t="shared" si="8"/>
        <v>291.4900778394117</v>
      </c>
      <c r="G58" s="133">
        <f t="shared" si="8"/>
        <v>411.49007783941158</v>
      </c>
    </row>
    <row r="59" spans="2:8" x14ac:dyDescent="0.2">
      <c r="B59" s="132">
        <f t="shared" si="9"/>
        <v>4.25</v>
      </c>
      <c r="C59" s="133">
        <f t="shared" si="8"/>
        <v>48.990077839411583</v>
      </c>
      <c r="D59" s="133">
        <f t="shared" si="8"/>
        <v>176.49007783941158</v>
      </c>
      <c r="E59" s="133">
        <f t="shared" si="8"/>
        <v>261.49007783941158</v>
      </c>
      <c r="F59" s="133">
        <f t="shared" si="8"/>
        <v>346.4900778394117</v>
      </c>
      <c r="G59" s="133">
        <f t="shared" si="8"/>
        <v>473.99007783941158</v>
      </c>
    </row>
    <row r="60" spans="2:8" x14ac:dyDescent="0.2">
      <c r="B60" s="134">
        <f>B59+0.25</f>
        <v>4.5</v>
      </c>
      <c r="C60" s="135">
        <f t="shared" si="8"/>
        <v>86.490077839411583</v>
      </c>
      <c r="D60" s="135">
        <f t="shared" si="8"/>
        <v>221.49007783941158</v>
      </c>
      <c r="E60" s="135">
        <f t="shared" si="8"/>
        <v>311.49007783941158</v>
      </c>
      <c r="F60" s="135">
        <f t="shared" si="8"/>
        <v>401.4900778394117</v>
      </c>
      <c r="G60" s="135">
        <f t="shared" si="8"/>
        <v>536.49007783941158</v>
      </c>
    </row>
    <row r="62" spans="2:8" x14ac:dyDescent="0.2">
      <c r="B62" s="257" t="s">
        <v>423</v>
      </c>
      <c r="C62" s="257"/>
      <c r="D62" s="257"/>
      <c r="E62" s="257"/>
      <c r="F62" s="257"/>
      <c r="G62" s="257"/>
      <c r="H62" s="257"/>
    </row>
    <row r="63" spans="2:8" x14ac:dyDescent="0.2">
      <c r="B63" s="258" t="s">
        <v>424</v>
      </c>
      <c r="C63" s="258"/>
      <c r="D63" s="258"/>
      <c r="E63" s="258"/>
      <c r="F63" s="258"/>
      <c r="G63" s="258"/>
      <c r="H63" s="258"/>
    </row>
    <row r="64" spans="2:8" ht="45" x14ac:dyDescent="0.2">
      <c r="B64" s="136" t="s">
        <v>425</v>
      </c>
      <c r="C64" s="137" t="s">
        <v>426</v>
      </c>
      <c r="D64" s="137" t="s">
        <v>427</v>
      </c>
      <c r="E64" s="137" t="s">
        <v>464</v>
      </c>
      <c r="F64" s="137" t="s">
        <v>428</v>
      </c>
      <c r="G64" s="137" t="s">
        <v>429</v>
      </c>
      <c r="H64" s="137" t="s">
        <v>430</v>
      </c>
    </row>
    <row r="65" spans="2:8" ht="30" x14ac:dyDescent="0.2">
      <c r="B65" s="162" t="str">
        <f>IF(H65&gt;0,(CONCATENATE(PreHarvest!$C3," with ",PreHarvest!$M3))," ")</f>
        <v>Heavy Disk 27' with Tractor (180-199 hp) MFWD 190</v>
      </c>
      <c r="C65" s="206">
        <f>IF(H65&gt;0,(1/PreHarvest!$E3)," ")</f>
        <v>13.213636363636363</v>
      </c>
      <c r="D65" s="138">
        <f>IF(H65&gt;0,(PreHarvest!$F3)," ")</f>
        <v>2</v>
      </c>
      <c r="E65" s="139">
        <f>IF(H65&gt;0,(D65*1/C65*1.25)," ")</f>
        <v>0.18919848641210874</v>
      </c>
      <c r="F65" s="139">
        <f>IF(H65&gt;0, (PreHarvest!$O3)," ")</f>
        <v>1.4802586859305127</v>
      </c>
      <c r="G65" s="228">
        <f>PreHarvest!$R3</f>
        <v>4.1299326748243157</v>
      </c>
      <c r="H65" s="228">
        <f>PreHarvest!$U3</f>
        <v>11.99764902452209</v>
      </c>
    </row>
    <row r="66" spans="2:8" ht="30" x14ac:dyDescent="0.2">
      <c r="B66" s="232" t="str">
        <f>IF(H66&gt;0,(CONCATENATE(PreHarvest!$C4," with ",PreHarvest!$M4))," ")</f>
        <v>Disk Harrow 32' with Tractor (180-199 hp) MFWD 190</v>
      </c>
      <c r="C66" s="236">
        <f>IF(H66&gt;0,(1/PreHarvest!$E4)," ")</f>
        <v>16.290909090909089</v>
      </c>
      <c r="D66" s="140">
        <f>IF(H66&gt;0,(PreHarvest!$F4)," ")</f>
        <v>1</v>
      </c>
      <c r="E66" s="229">
        <f t="shared" ref="E66" si="10">IF(H66&gt;0,(D66*1/C66*1.25)," ")</f>
        <v>7.6729910714285726E-2</v>
      </c>
      <c r="F66" s="229">
        <f>IF(H66&gt;0, (PreHarvest!$O4)," ")</f>
        <v>0.60032254464285717</v>
      </c>
      <c r="G66" s="230">
        <f>PreHarvest!$R4</f>
        <v>1.7345831561791383</v>
      </c>
      <c r="H66" s="230">
        <f>PreHarvest!$U4</f>
        <v>5.0376703780470518</v>
      </c>
    </row>
    <row r="67" spans="2:8" ht="30" x14ac:dyDescent="0.2">
      <c r="B67" s="232" t="str">
        <f>IF(H67&gt;0,(CONCATENATE(PreHarvest!$C5," with ",PreHarvest!$M5))," ")</f>
        <v>Bed-Disk  (Hipper)  6R-36 with Tractor (180-199 hp) MFWD 190</v>
      </c>
      <c r="C67" s="236">
        <f>IF(H67&gt;0,(1/PreHarvest!$E5)," ")</f>
        <v>9.6</v>
      </c>
      <c r="D67" s="140">
        <f>IF(H67&gt;0,(PreHarvest!$F5)," ")</f>
        <v>1</v>
      </c>
      <c r="E67" s="229">
        <f t="shared" ref="E67:E70" si="11">IF(H67&gt;0,(D67*1/C67*1.25)," ")</f>
        <v>0.13020833333333334</v>
      </c>
      <c r="F67" s="229">
        <f>IF(H67&gt;0, (PreHarvest!$O5)," ")</f>
        <v>1.0187291666666667</v>
      </c>
      <c r="G67" s="230">
        <f>PreHarvest!$R5</f>
        <v>1.7771577380952384</v>
      </c>
      <c r="H67" s="230">
        <f>PreHarvest!$U5</f>
        <v>5.4705961681547626</v>
      </c>
    </row>
    <row r="68" spans="2:8" s="225" customFormat="1" ht="30" x14ac:dyDescent="0.2">
      <c r="B68" s="232" t="str">
        <f>IF(H68&gt;0,(CONCATENATE(PreHarvest!$C6," with ",PreHarvest!$M6))," ")</f>
        <v>Plant - Rigid  6R-36 with Tractor (120-139 hp) 2WD 130</v>
      </c>
      <c r="C68" s="236">
        <f>IF(H68&gt;0,(1/PreHarvest!$E6)," ")</f>
        <v>9.545454545454545</v>
      </c>
      <c r="D68" s="140">
        <f>IF(H68&gt;0,(PreHarvest!$F6)," ")</f>
        <v>1</v>
      </c>
      <c r="E68" s="229">
        <f t="shared" si="11"/>
        <v>0.13095238095238096</v>
      </c>
      <c r="F68" s="229">
        <f>IF(H68&gt;0, (PreHarvest!$O6)," ")</f>
        <v>0.70100380952380947</v>
      </c>
      <c r="G68" s="230">
        <f>PreHarvest!$R6</f>
        <v>2.3616385459183671</v>
      </c>
      <c r="H68" s="230">
        <f>PreHarvest!$U6</f>
        <v>6.6714155888435371</v>
      </c>
    </row>
    <row r="69" spans="2:8" s="225" customFormat="1" ht="30" x14ac:dyDescent="0.2">
      <c r="B69" s="232" t="str">
        <f>IF(H69&gt;0,(CONCATENATE(PreHarvest!$C7," with ",PreHarvest!$M7))," ")</f>
        <v>Fert Appl (Liquid)  6R-36 with Tractor (120-139 hp) 2WD 130</v>
      </c>
      <c r="C69" s="236">
        <f>IF(H69&gt;0,(1/PreHarvest!$E7)," ")</f>
        <v>9.1636363636363622</v>
      </c>
      <c r="D69" s="140">
        <f>IF(H69&gt;0,(PreHarvest!$F7)," ")</f>
        <v>1</v>
      </c>
      <c r="E69" s="229">
        <f t="shared" si="11"/>
        <v>0.13640873015873017</v>
      </c>
      <c r="F69" s="229">
        <f>IF(H69&gt;0, (PreHarvest!$O7)," ")</f>
        <v>0.73021230158730166</v>
      </c>
      <c r="G69" s="230">
        <f>PreHarvest!$R7</f>
        <v>2.2235922146636433</v>
      </c>
      <c r="H69" s="230">
        <f>PreHarvest!$U7</f>
        <v>5.3479143990929714</v>
      </c>
    </row>
    <row r="70" spans="2:8" s="225" customFormat="1" ht="30" x14ac:dyDescent="0.2">
      <c r="B70" s="232" t="str">
        <f>IF(H70&gt;0,(CONCATENATE(PreHarvest!$C8," with ",PreHarvest!$M8))," ")</f>
        <v>Spray (Broadcast) 60' with Tractor (120-139 hp) 2WD 130</v>
      </c>
      <c r="C70" s="236">
        <f>IF(H70&gt;0,(1/PreHarvest!$E8)," ")</f>
        <v>35.454545454545453</v>
      </c>
      <c r="D70" s="140">
        <f>IF(H70&gt;0,(PreHarvest!$F8)," ")</f>
        <v>2</v>
      </c>
      <c r="E70" s="229">
        <f t="shared" si="11"/>
        <v>7.0512820512820512E-2</v>
      </c>
      <c r="F70" s="229">
        <f>IF(H70&gt;0, (PreHarvest!$O8)," ")</f>
        <v>0.37746358974358973</v>
      </c>
      <c r="G70" s="230">
        <f>PreHarvest!$R8</f>
        <v>1.2050137362637363</v>
      </c>
      <c r="H70" s="230">
        <f>PreHarvest!$U8</f>
        <v>2.9012665201465202</v>
      </c>
    </row>
    <row r="71" spans="2:8" x14ac:dyDescent="0.2">
      <c r="B71" s="158" t="s">
        <v>431</v>
      </c>
      <c r="C71" s="159"/>
      <c r="D71" s="159"/>
      <c r="E71" s="160">
        <f>SUM(E65:E70)</f>
        <v>0.7340106620836595</v>
      </c>
      <c r="F71" s="160">
        <f>SUM(F65:F70)</f>
        <v>4.9079900980947375</v>
      </c>
      <c r="G71" s="161">
        <f>SUM(G65:G70)</f>
        <v>13.431918065944437</v>
      </c>
      <c r="H71" s="161">
        <f>SUM(H65:H70)</f>
        <v>37.426512078806937</v>
      </c>
    </row>
    <row r="73" spans="2:8" x14ac:dyDescent="0.2">
      <c r="B73" s="57" t="s">
        <v>432</v>
      </c>
    </row>
    <row r="74" spans="2:8" ht="45" x14ac:dyDescent="0.2">
      <c r="B74" s="136" t="s">
        <v>425</v>
      </c>
      <c r="C74" s="137" t="s">
        <v>426</v>
      </c>
      <c r="D74" s="137" t="s">
        <v>427</v>
      </c>
      <c r="E74" s="137" t="s">
        <v>464</v>
      </c>
      <c r="F74" s="137" t="s">
        <v>428</v>
      </c>
      <c r="G74" s="137" t="s">
        <v>429</v>
      </c>
      <c r="H74" s="137" t="s">
        <v>430</v>
      </c>
    </row>
    <row r="75" spans="2:8" s="225" customFormat="1" ht="30" x14ac:dyDescent="0.2">
      <c r="B75" s="232" t="str">
        <f>IF(H75&gt;0,(CONCATENATE(Harvest!$C4," with ",Harvest!$M4))," ")</f>
        <v>Header - Corn  6R-36 with Combine (200-249 hp) 240 hp</v>
      </c>
      <c r="C75" s="205">
        <f>IF(H75&gt;0,(1/Harvest!$E4)," ")</f>
        <v>6.4909090909090921</v>
      </c>
      <c r="D75" s="157">
        <f>IF(H75&gt;0,(Harvest!$F4)," ")</f>
        <v>1</v>
      </c>
      <c r="E75" s="204">
        <f t="shared" ref="E75:E76" si="12">IF(H75&gt;0,(1/C75*D75*1.25)," ")</f>
        <v>0.19257703081232491</v>
      </c>
      <c r="F75" s="204">
        <f>IF(H75&gt;0,(Harvest!$O4)," ")</f>
        <v>1.90266106442577</v>
      </c>
      <c r="G75" s="231">
        <f>Harvest!$R4</f>
        <v>6.8538165266106432</v>
      </c>
      <c r="H75" s="231">
        <f>Harvest!$U4</f>
        <v>36.803904761904761</v>
      </c>
    </row>
    <row r="76" spans="2:8" s="225" customFormat="1" ht="30" x14ac:dyDescent="0.2">
      <c r="B76" s="232" t="str">
        <f>IF(H76&gt;0,(CONCATENATE(Harvest!$C5," with ",Harvest!$M5))," ")</f>
        <v>Grain Cart Corn  500 bu with Tractor (120-139 hp) 2WD 130</v>
      </c>
      <c r="C76" s="205">
        <f>IF(H76&gt;0,(1/Harvest!$E5)," ")</f>
        <v>10.638297872340425</v>
      </c>
      <c r="D76" s="157">
        <f>IF(H76&gt;0,(Harvest!$F5)," ")</f>
        <v>1</v>
      </c>
      <c r="E76" s="204">
        <f t="shared" si="12"/>
        <v>0.11749999999999999</v>
      </c>
      <c r="F76" s="204">
        <f>IF(H76&gt;0,(Harvest!$O5)," ")</f>
        <v>0.62899159999999998</v>
      </c>
      <c r="G76" s="231">
        <f>Harvest!$R5</f>
        <v>1.7968827380952379</v>
      </c>
      <c r="H76" s="231">
        <f>Harvest!$U5</f>
        <v>4.9689270619047621</v>
      </c>
    </row>
    <row r="77" spans="2:8" ht="14.5" customHeight="1" x14ac:dyDescent="0.2">
      <c r="B77" s="158" t="s">
        <v>433</v>
      </c>
      <c r="C77" s="159"/>
      <c r="D77" s="159"/>
      <c r="E77" s="160">
        <f>SUM(E75:E76)</f>
        <v>0.31007703081232491</v>
      </c>
      <c r="F77" s="160">
        <f>SUM(F75:F76)</f>
        <v>2.5316526644257697</v>
      </c>
      <c r="G77" s="161">
        <f>SUM(G75:G76)</f>
        <v>8.6506992647058816</v>
      </c>
      <c r="H77" s="161">
        <f>SUM(H75:H76)</f>
        <v>41.772831823809526</v>
      </c>
    </row>
    <row r="78" spans="2:8" s="208" customFormat="1" x14ac:dyDescent="0.2">
      <c r="B78" s="209"/>
      <c r="C78" s="210"/>
      <c r="D78" s="210"/>
      <c r="E78" s="211"/>
      <c r="F78" s="211"/>
      <c r="G78" s="212"/>
      <c r="H78" s="212"/>
    </row>
    <row r="79" spans="2:8" ht="29" customHeight="1" x14ac:dyDescent="0.2">
      <c r="B79" s="264" t="s">
        <v>500</v>
      </c>
      <c r="C79" s="264"/>
      <c r="D79" s="264"/>
      <c r="E79" s="264"/>
      <c r="F79" s="264"/>
      <c r="G79" s="264"/>
      <c r="H79" s="264"/>
    </row>
    <row r="80" spans="2:8" ht="43.25" customHeight="1" x14ac:dyDescent="0.2">
      <c r="B80" s="214"/>
      <c r="C80" s="214"/>
      <c r="D80" s="214"/>
      <c r="E80" s="214"/>
      <c r="F80" s="214"/>
      <c r="G80" s="214"/>
      <c r="H80" s="214"/>
    </row>
    <row r="81" spans="2:8" ht="14.5" customHeight="1" x14ac:dyDescent="0.2">
      <c r="B81" s="259" t="s">
        <v>527</v>
      </c>
      <c r="C81" s="259"/>
      <c r="D81" s="259"/>
      <c r="E81" s="259"/>
      <c r="F81" s="259"/>
      <c r="G81" s="259"/>
      <c r="H81" s="259"/>
    </row>
    <row r="82" spans="2:8" x14ac:dyDescent="0.2">
      <c r="B82" s="260"/>
      <c r="C82" s="260"/>
      <c r="D82" s="260"/>
      <c r="E82" s="260"/>
      <c r="F82" s="260"/>
      <c r="G82" s="260"/>
      <c r="H82" s="260"/>
    </row>
    <row r="83" spans="2:8" x14ac:dyDescent="0.2">
      <c r="B83" s="150"/>
      <c r="C83" s="150"/>
      <c r="D83" s="150"/>
      <c r="E83" s="150"/>
      <c r="F83" s="150"/>
      <c r="G83" s="150"/>
      <c r="H83" s="150"/>
    </row>
  </sheetData>
  <mergeCells count="16">
    <mergeCell ref="B62:H62"/>
    <mergeCell ref="B63:H63"/>
    <mergeCell ref="B81:H82"/>
    <mergeCell ref="B33:H33"/>
    <mergeCell ref="B41:E41"/>
    <mergeCell ref="B51:G51"/>
    <mergeCell ref="B52:G52"/>
    <mergeCell ref="B53:G53"/>
    <mergeCell ref="B49:H50"/>
    <mergeCell ref="B79:H79"/>
    <mergeCell ref="B47:H47"/>
    <mergeCell ref="B1:H1"/>
    <mergeCell ref="B4:H4"/>
    <mergeCell ref="B30:E30"/>
    <mergeCell ref="B2:H2"/>
    <mergeCell ref="B54:B55"/>
  </mergeCells>
  <phoneticPr fontId="30" type="noConversion"/>
  <conditionalFormatting sqref="C56:G60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/>
    <hyperlink ref="A15" location="weed" display="Weed Detail"/>
    <hyperlink ref="A16" location="insect" display="Insect Detail"/>
    <hyperlink ref="A17" location="disdetail" display="Disease Detail"/>
    <hyperlink ref="A18" location="preharvmachdet" display="Preharvest Detail"/>
    <hyperlink ref="A21" location="harvmachdet" display="Harvest Detail"/>
  </hyperlinks>
  <printOptions horizontalCentered="1"/>
  <pageMargins left="0.7" right="0.7" top="0.75" bottom="0.75" header="0.3" footer="0.3"/>
  <pageSetup scale="80" orientation="portrait" horizontalDpi="300" verticalDpi="300" r:id="rId1"/>
  <headerFooter>
    <oddFooter>&amp;LAg and Applied Economics, 11/2017&amp;R&amp;G</oddFooter>
  </headerFooter>
  <rowBreaks count="1" manualBreakCount="1">
    <brk id="50" min="1" max="7" man="1"/>
  </rowBreaks>
  <ignoredErrors>
    <ignoredError sqref="E71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F1"/>
    </sheetView>
  </sheetViews>
  <sheetFormatPr baseColWidth="10" defaultColWidth="8.83203125" defaultRowHeight="15" x14ac:dyDescent="0.2"/>
  <cols>
    <col min="1" max="1" width="13.6640625" bestFit="1" customWidth="1"/>
    <col min="2" max="2" width="6.6640625" bestFit="1" customWidth="1"/>
    <col min="3" max="3" width="8.1640625" bestFit="1" customWidth="1"/>
    <col min="4" max="4" width="8.5" bestFit="1" customWidth="1"/>
    <col min="5" max="5" width="9.5" bestFit="1" customWidth="1"/>
    <col min="6" max="6" width="8.83203125" bestFit="1" customWidth="1"/>
    <col min="8" max="8" width="20" bestFit="1" customWidth="1"/>
  </cols>
  <sheetData>
    <row r="1" spans="1:8" x14ac:dyDescent="0.2">
      <c r="A1" s="266" t="s">
        <v>361</v>
      </c>
      <c r="B1" s="266"/>
      <c r="C1" s="266"/>
      <c r="D1" s="266"/>
      <c r="E1" s="266"/>
      <c r="F1" s="266"/>
    </row>
    <row r="2" spans="1:8" x14ac:dyDescent="0.2">
      <c r="A2" s="98" t="s">
        <v>367</v>
      </c>
      <c r="B2" s="98" t="s">
        <v>368</v>
      </c>
      <c r="C2" s="98" t="s">
        <v>369</v>
      </c>
      <c r="D2" s="98" t="s">
        <v>370</v>
      </c>
      <c r="E2" s="98" t="s">
        <v>377</v>
      </c>
      <c r="F2" s="98" t="str">
        <f>CONCATENATE("$/",Main!$D$6)</f>
        <v>$/bushel</v>
      </c>
    </row>
    <row r="3" spans="1:8" x14ac:dyDescent="0.2">
      <c r="A3" s="99" t="s">
        <v>362</v>
      </c>
      <c r="B3" s="99" t="s">
        <v>502</v>
      </c>
      <c r="C3" s="99">
        <f>1.2*200</f>
        <v>240</v>
      </c>
      <c r="D3" s="100">
        <v>0.44</v>
      </c>
      <c r="E3" s="101">
        <f>D3*C3</f>
        <v>105.6</v>
      </c>
      <c r="F3" s="102">
        <f t="shared" ref="F3:F9" si="0">E3/yield</f>
        <v>0.52800000000000002</v>
      </c>
    </row>
    <row r="4" spans="1:8" x14ac:dyDescent="0.2">
      <c r="A4" s="103" t="s">
        <v>363</v>
      </c>
      <c r="B4" s="103" t="s">
        <v>502</v>
      </c>
      <c r="C4" s="103">
        <f>0.5*200</f>
        <v>100</v>
      </c>
      <c r="D4" s="101">
        <v>0.38</v>
      </c>
      <c r="E4" s="101">
        <f t="shared" ref="E4:E9" si="1">D4*C4</f>
        <v>38</v>
      </c>
      <c r="F4" s="102">
        <f t="shared" si="0"/>
        <v>0.19</v>
      </c>
    </row>
    <row r="5" spans="1:8" x14ac:dyDescent="0.2">
      <c r="A5" s="103" t="s">
        <v>364</v>
      </c>
      <c r="B5" s="103" t="s">
        <v>502</v>
      </c>
      <c r="C5" s="103">
        <v>200</v>
      </c>
      <c r="D5" s="101">
        <v>0.28999999999999998</v>
      </c>
      <c r="E5" s="101">
        <f t="shared" si="1"/>
        <v>57.999999999999993</v>
      </c>
      <c r="F5" s="102">
        <f t="shared" si="0"/>
        <v>0.28999999999999998</v>
      </c>
    </row>
    <row r="6" spans="1:8" x14ac:dyDescent="0.2">
      <c r="A6" s="103" t="s">
        <v>365</v>
      </c>
      <c r="B6" s="103" t="s">
        <v>389</v>
      </c>
      <c r="C6" s="103">
        <v>0.5</v>
      </c>
      <c r="D6" s="101">
        <v>43</v>
      </c>
      <c r="E6" s="101">
        <f t="shared" si="1"/>
        <v>21.5</v>
      </c>
      <c r="F6" s="102">
        <f t="shared" si="0"/>
        <v>0.1075</v>
      </c>
    </row>
    <row r="7" spans="1:8" x14ac:dyDescent="0.2">
      <c r="A7" s="103" t="s">
        <v>366</v>
      </c>
      <c r="B7" s="103"/>
      <c r="C7" s="103"/>
      <c r="D7" s="101"/>
      <c r="E7" s="101">
        <f t="shared" si="1"/>
        <v>0</v>
      </c>
      <c r="F7" s="102">
        <f t="shared" si="0"/>
        <v>0</v>
      </c>
    </row>
    <row r="8" spans="1:8" x14ac:dyDescent="0.2">
      <c r="A8" s="103" t="s">
        <v>366</v>
      </c>
      <c r="B8" s="103"/>
      <c r="C8" s="103"/>
      <c r="D8" s="101"/>
      <c r="E8" s="101">
        <f t="shared" si="1"/>
        <v>0</v>
      </c>
      <c r="F8" s="102">
        <f t="shared" si="0"/>
        <v>0</v>
      </c>
    </row>
    <row r="9" spans="1:8" x14ac:dyDescent="0.2">
      <c r="A9" s="104" t="s">
        <v>366</v>
      </c>
      <c r="B9" s="104"/>
      <c r="C9" s="104"/>
      <c r="D9" s="105"/>
      <c r="E9" s="101">
        <f t="shared" si="1"/>
        <v>0</v>
      </c>
      <c r="F9" s="102">
        <f t="shared" si="0"/>
        <v>0</v>
      </c>
    </row>
    <row r="10" spans="1:8" x14ac:dyDescent="0.2">
      <c r="A10" s="266" t="s">
        <v>372</v>
      </c>
      <c r="B10" s="266"/>
      <c r="C10" s="266"/>
      <c r="D10" s="266"/>
      <c r="E10" s="79">
        <f>SUM(E3:E9)</f>
        <v>223.1</v>
      </c>
      <c r="F10" s="79">
        <f>SUM(F3:F9)</f>
        <v>1.1154999999999999</v>
      </c>
      <c r="H10" s="156" t="s">
        <v>453</v>
      </c>
    </row>
    <row r="12" spans="1:8" x14ac:dyDescent="0.2">
      <c r="A12" s="267" t="s">
        <v>399</v>
      </c>
      <c r="B12" s="267"/>
      <c r="C12" s="267"/>
      <c r="D12" s="267"/>
      <c r="E12" s="267"/>
      <c r="F12" s="267"/>
    </row>
    <row r="13" spans="1:8" x14ac:dyDescent="0.2">
      <c r="A13" s="90" t="s">
        <v>367</v>
      </c>
      <c r="B13" s="90" t="s">
        <v>368</v>
      </c>
      <c r="C13" s="90" t="s">
        <v>369</v>
      </c>
      <c r="D13" s="90" t="s">
        <v>370</v>
      </c>
      <c r="E13" s="90" t="s">
        <v>377</v>
      </c>
      <c r="F13" s="90" t="str">
        <f>CONCATENATE("$/",Main!$D$6)</f>
        <v>$/bushel</v>
      </c>
    </row>
    <row r="14" spans="1:8" x14ac:dyDescent="0.2">
      <c r="A14" s="95" t="s">
        <v>503</v>
      </c>
      <c r="B14" s="91" t="s">
        <v>506</v>
      </c>
      <c r="C14" s="91">
        <v>3</v>
      </c>
      <c r="D14" s="92">
        <v>3.2</v>
      </c>
      <c r="E14" s="93">
        <f>D14*C14</f>
        <v>9.6000000000000014</v>
      </c>
      <c r="F14" s="94">
        <f t="shared" ref="F14:F20" si="2">E14/yield</f>
        <v>4.8000000000000008E-2</v>
      </c>
    </row>
    <row r="15" spans="1:8" x14ac:dyDescent="0.2">
      <c r="A15" s="95" t="s">
        <v>504</v>
      </c>
      <c r="B15" s="95" t="s">
        <v>506</v>
      </c>
      <c r="C15" s="95">
        <v>0</v>
      </c>
      <c r="D15" s="93">
        <v>4.5</v>
      </c>
      <c r="E15" s="93">
        <f t="shared" ref="E15:E20" si="3">D15*C15</f>
        <v>0</v>
      </c>
      <c r="F15" s="94">
        <f t="shared" si="2"/>
        <v>0</v>
      </c>
    </row>
    <row r="16" spans="1:8" x14ac:dyDescent="0.2">
      <c r="A16" s="95" t="s">
        <v>505</v>
      </c>
      <c r="B16" s="95" t="s">
        <v>507</v>
      </c>
      <c r="C16" s="95">
        <v>1</v>
      </c>
      <c r="D16" s="93">
        <v>1.8</v>
      </c>
      <c r="E16" s="93">
        <f t="shared" si="3"/>
        <v>1.8</v>
      </c>
      <c r="F16" s="94">
        <f t="shared" si="2"/>
        <v>9.0000000000000011E-3</v>
      </c>
    </row>
    <row r="17" spans="1:8" x14ac:dyDescent="0.2">
      <c r="A17" s="95" t="s">
        <v>366</v>
      </c>
      <c r="B17" s="95"/>
      <c r="C17" s="95"/>
      <c r="D17" s="93"/>
      <c r="E17" s="93">
        <f t="shared" si="3"/>
        <v>0</v>
      </c>
      <c r="F17" s="94">
        <f t="shared" si="2"/>
        <v>0</v>
      </c>
    </row>
    <row r="18" spans="1:8" x14ac:dyDescent="0.2">
      <c r="A18" s="95" t="s">
        <v>366</v>
      </c>
      <c r="B18" s="95"/>
      <c r="C18" s="95"/>
      <c r="D18" s="93"/>
      <c r="E18" s="93">
        <f t="shared" si="3"/>
        <v>0</v>
      </c>
      <c r="F18" s="94">
        <f t="shared" si="2"/>
        <v>0</v>
      </c>
    </row>
    <row r="19" spans="1:8" x14ac:dyDescent="0.2">
      <c r="A19" s="95" t="s">
        <v>366</v>
      </c>
      <c r="B19" s="95"/>
      <c r="C19" s="95"/>
      <c r="D19" s="93"/>
      <c r="E19" s="93">
        <f t="shared" si="3"/>
        <v>0</v>
      </c>
      <c r="F19" s="94">
        <f t="shared" si="2"/>
        <v>0</v>
      </c>
    </row>
    <row r="20" spans="1:8" x14ac:dyDescent="0.2">
      <c r="A20" s="96" t="s">
        <v>366</v>
      </c>
      <c r="B20" s="96"/>
      <c r="C20" s="96"/>
      <c r="D20" s="97"/>
      <c r="E20" s="93">
        <f t="shared" si="3"/>
        <v>0</v>
      </c>
      <c r="F20" s="94">
        <f t="shared" si="2"/>
        <v>0</v>
      </c>
    </row>
    <row r="21" spans="1:8" x14ac:dyDescent="0.2">
      <c r="A21" s="267" t="s">
        <v>400</v>
      </c>
      <c r="B21" s="267"/>
      <c r="C21" s="267"/>
      <c r="D21" s="267"/>
      <c r="E21" s="80">
        <f>SUM(E14:E20)</f>
        <v>11.400000000000002</v>
      </c>
      <c r="F21" s="80">
        <f>SUM(F14:F20)</f>
        <v>5.7000000000000009E-2</v>
      </c>
      <c r="H21" s="156" t="s">
        <v>453</v>
      </c>
    </row>
    <row r="23" spans="1:8" x14ac:dyDescent="0.2">
      <c r="A23" s="269" t="s">
        <v>401</v>
      </c>
      <c r="B23" s="269"/>
      <c r="C23" s="269"/>
      <c r="D23" s="269"/>
      <c r="E23" s="269"/>
      <c r="F23" s="269"/>
    </row>
    <row r="24" spans="1:8" x14ac:dyDescent="0.2">
      <c r="A24" s="82" t="s">
        <v>367</v>
      </c>
      <c r="B24" s="82" t="s">
        <v>368</v>
      </c>
      <c r="C24" s="82" t="s">
        <v>369</v>
      </c>
      <c r="D24" s="82" t="s">
        <v>370</v>
      </c>
      <c r="E24" s="82" t="s">
        <v>377</v>
      </c>
      <c r="F24" s="82" t="str">
        <f>CONCATENATE("$/",Main!$D$6)</f>
        <v>$/bushel</v>
      </c>
    </row>
    <row r="25" spans="1:8" s="225" customFormat="1" x14ac:dyDescent="0.2">
      <c r="A25" s="83" t="s">
        <v>526</v>
      </c>
      <c r="B25" s="83" t="s">
        <v>515</v>
      </c>
      <c r="C25" s="83">
        <v>6.4</v>
      </c>
      <c r="D25" s="84">
        <v>0.68</v>
      </c>
      <c r="E25" s="85">
        <f>D25*C25</f>
        <v>4.3520000000000003</v>
      </c>
      <c r="F25" s="86">
        <f t="shared" ref="F25:F27" si="4">E25/yield</f>
        <v>2.1760000000000002E-2</v>
      </c>
    </row>
    <row r="26" spans="1:8" s="225" customFormat="1" x14ac:dyDescent="0.2">
      <c r="A26" s="87" t="s">
        <v>526</v>
      </c>
      <c r="B26" s="87" t="s">
        <v>515</v>
      </c>
      <c r="C26" s="87">
        <v>6.4</v>
      </c>
      <c r="D26" s="85">
        <v>0.68</v>
      </c>
      <c r="E26" s="85">
        <f t="shared" ref="E26:E27" si="5">D26*C26</f>
        <v>4.3520000000000003</v>
      </c>
      <c r="F26" s="86">
        <f t="shared" si="4"/>
        <v>2.1760000000000002E-2</v>
      </c>
    </row>
    <row r="27" spans="1:8" s="225" customFormat="1" x14ac:dyDescent="0.2">
      <c r="A27" s="87" t="s">
        <v>366</v>
      </c>
      <c r="B27" s="87"/>
      <c r="C27" s="87"/>
      <c r="D27" s="85"/>
      <c r="E27" s="85">
        <f t="shared" si="5"/>
        <v>0</v>
      </c>
      <c r="F27" s="86">
        <f t="shared" si="4"/>
        <v>0</v>
      </c>
    </row>
    <row r="28" spans="1:8" x14ac:dyDescent="0.2">
      <c r="A28" s="87" t="s">
        <v>366</v>
      </c>
      <c r="B28" s="87"/>
      <c r="C28" s="87"/>
      <c r="D28" s="85"/>
      <c r="E28" s="85">
        <f t="shared" ref="E28:E31" si="6">D28*C28</f>
        <v>0</v>
      </c>
      <c r="F28" s="86">
        <f t="shared" ref="F28:F31" si="7">E28/yield</f>
        <v>0</v>
      </c>
    </row>
    <row r="29" spans="1:8" x14ac:dyDescent="0.2">
      <c r="A29" s="87" t="s">
        <v>366</v>
      </c>
      <c r="B29" s="87"/>
      <c r="C29" s="87"/>
      <c r="D29" s="85"/>
      <c r="E29" s="85">
        <f t="shared" si="6"/>
        <v>0</v>
      </c>
      <c r="F29" s="86">
        <f t="shared" si="7"/>
        <v>0</v>
      </c>
    </row>
    <row r="30" spans="1:8" x14ac:dyDescent="0.2">
      <c r="A30" s="87" t="s">
        <v>366</v>
      </c>
      <c r="B30" s="87"/>
      <c r="C30" s="87"/>
      <c r="D30" s="85"/>
      <c r="E30" s="85">
        <f t="shared" si="6"/>
        <v>0</v>
      </c>
      <c r="F30" s="86">
        <f t="shared" si="7"/>
        <v>0</v>
      </c>
    </row>
    <row r="31" spans="1:8" x14ac:dyDescent="0.2">
      <c r="A31" s="88" t="s">
        <v>366</v>
      </c>
      <c r="B31" s="88"/>
      <c r="C31" s="88"/>
      <c r="D31" s="89"/>
      <c r="E31" s="85">
        <f t="shared" si="6"/>
        <v>0</v>
      </c>
      <c r="F31" s="86">
        <f t="shared" si="7"/>
        <v>0</v>
      </c>
    </row>
    <row r="32" spans="1:8" x14ac:dyDescent="0.2">
      <c r="A32" s="269" t="s">
        <v>402</v>
      </c>
      <c r="B32" s="269"/>
      <c r="C32" s="269"/>
      <c r="D32" s="269"/>
      <c r="E32" s="81">
        <f>SUM(E25:E31)</f>
        <v>8.7040000000000006</v>
      </c>
      <c r="F32" s="81">
        <f>SUM(F25:F31)</f>
        <v>4.3520000000000003E-2</v>
      </c>
      <c r="H32" s="156" t="s">
        <v>453</v>
      </c>
    </row>
    <row r="34" spans="1:8" x14ac:dyDescent="0.2">
      <c r="A34" s="268" t="s">
        <v>434</v>
      </c>
      <c r="B34" s="268"/>
      <c r="C34" s="268"/>
      <c r="D34" s="268"/>
      <c r="E34" s="268"/>
      <c r="F34" s="268"/>
    </row>
    <row r="35" spans="1:8" x14ac:dyDescent="0.2">
      <c r="A35" s="142" t="s">
        <v>367</v>
      </c>
      <c r="B35" s="142" t="s">
        <v>368</v>
      </c>
      <c r="C35" s="142" t="s">
        <v>369</v>
      </c>
      <c r="D35" s="142" t="s">
        <v>370</v>
      </c>
      <c r="E35" s="142" t="s">
        <v>377</v>
      </c>
      <c r="F35" s="142" t="str">
        <f>CONCATENATE("$/",Main!$D$6)</f>
        <v>$/bushel</v>
      </c>
    </row>
    <row r="36" spans="1:8" x14ac:dyDescent="0.2">
      <c r="A36" s="143" t="s">
        <v>516</v>
      </c>
      <c r="B36" s="143" t="s">
        <v>515</v>
      </c>
      <c r="C36" s="143">
        <v>10.5</v>
      </c>
      <c r="D36" s="144">
        <v>1.8</v>
      </c>
      <c r="E36" s="145">
        <f>D36*C36</f>
        <v>18.900000000000002</v>
      </c>
      <c r="F36" s="146">
        <f t="shared" ref="F36:F45" si="8">E36/yield</f>
        <v>9.4500000000000015E-2</v>
      </c>
    </row>
    <row r="37" spans="1:8" x14ac:dyDescent="0.2">
      <c r="A37" s="147" t="s">
        <v>366</v>
      </c>
      <c r="B37" s="147"/>
      <c r="C37" s="147"/>
      <c r="D37" s="145"/>
      <c r="E37" s="145">
        <f>D37*C37</f>
        <v>0</v>
      </c>
      <c r="F37" s="145">
        <f t="shared" ref="F37" si="9">E37/yield</f>
        <v>0</v>
      </c>
    </row>
    <row r="38" spans="1:8" x14ac:dyDescent="0.2">
      <c r="A38" s="147" t="s">
        <v>366</v>
      </c>
      <c r="B38" s="147"/>
      <c r="C38" s="147"/>
      <c r="D38" s="145"/>
      <c r="E38" s="145">
        <f t="shared" ref="E38:E39" si="10">D38*C38</f>
        <v>0</v>
      </c>
      <c r="F38" s="145">
        <f t="shared" ref="F38:F39" si="11">E38/yield</f>
        <v>0</v>
      </c>
    </row>
    <row r="39" spans="1:8" x14ac:dyDescent="0.2">
      <c r="A39" s="147" t="s">
        <v>366</v>
      </c>
      <c r="B39" s="147"/>
      <c r="C39" s="147"/>
      <c r="D39" s="145"/>
      <c r="E39" s="145">
        <f t="shared" si="10"/>
        <v>0</v>
      </c>
      <c r="F39" s="145">
        <f t="shared" si="11"/>
        <v>0</v>
      </c>
    </row>
    <row r="40" spans="1:8" x14ac:dyDescent="0.2">
      <c r="A40" s="147" t="s">
        <v>366</v>
      </c>
      <c r="B40" s="147"/>
      <c r="C40" s="147"/>
      <c r="D40" s="145"/>
      <c r="E40" s="145">
        <f t="shared" ref="E40:E41" si="12">D40*C40</f>
        <v>0</v>
      </c>
      <c r="F40" s="146">
        <f t="shared" ref="F40:F41" si="13">E40/yield</f>
        <v>0</v>
      </c>
    </row>
    <row r="41" spans="1:8" x14ac:dyDescent="0.2">
      <c r="A41" s="147" t="s">
        <v>366</v>
      </c>
      <c r="B41" s="147"/>
      <c r="C41" s="147"/>
      <c r="D41" s="145"/>
      <c r="E41" s="145">
        <f t="shared" si="12"/>
        <v>0</v>
      </c>
      <c r="F41" s="146">
        <f t="shared" si="13"/>
        <v>0</v>
      </c>
    </row>
    <row r="42" spans="1:8" x14ac:dyDescent="0.2">
      <c r="A42" s="147" t="s">
        <v>366</v>
      </c>
      <c r="B42" s="147"/>
      <c r="C42" s="147"/>
      <c r="D42" s="145"/>
      <c r="E42" s="145">
        <f t="shared" ref="E42:E45" si="14">D42*C42</f>
        <v>0</v>
      </c>
      <c r="F42" s="146">
        <f t="shared" si="8"/>
        <v>0</v>
      </c>
    </row>
    <row r="43" spans="1:8" x14ac:dyDescent="0.2">
      <c r="A43" s="147" t="s">
        <v>366</v>
      </c>
      <c r="B43" s="147"/>
      <c r="C43" s="147"/>
      <c r="D43" s="145"/>
      <c r="E43" s="145">
        <f t="shared" si="14"/>
        <v>0</v>
      </c>
      <c r="F43" s="146">
        <f t="shared" si="8"/>
        <v>0</v>
      </c>
    </row>
    <row r="44" spans="1:8" x14ac:dyDescent="0.2">
      <c r="A44" s="147" t="s">
        <v>366</v>
      </c>
      <c r="B44" s="147"/>
      <c r="C44" s="147"/>
      <c r="D44" s="145"/>
      <c r="E44" s="145">
        <f t="shared" si="14"/>
        <v>0</v>
      </c>
      <c r="F44" s="146">
        <f t="shared" si="8"/>
        <v>0</v>
      </c>
    </row>
    <row r="45" spans="1:8" x14ac:dyDescent="0.2">
      <c r="A45" s="148" t="s">
        <v>366</v>
      </c>
      <c r="B45" s="148"/>
      <c r="C45" s="148"/>
      <c r="D45" s="149"/>
      <c r="E45" s="145">
        <f t="shared" si="14"/>
        <v>0</v>
      </c>
      <c r="F45" s="146">
        <f t="shared" si="8"/>
        <v>0</v>
      </c>
    </row>
    <row r="46" spans="1:8" x14ac:dyDescent="0.2">
      <c r="A46" s="268" t="s">
        <v>435</v>
      </c>
      <c r="B46" s="268"/>
      <c r="C46" s="268"/>
      <c r="D46" s="268"/>
      <c r="E46" s="141">
        <f>SUM(E36:E45)</f>
        <v>18.900000000000002</v>
      </c>
      <c r="F46" s="141">
        <f>SUM(F36:F45)</f>
        <v>9.4500000000000015E-2</v>
      </c>
      <c r="H46" s="156" t="s">
        <v>453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baseColWidth="10" defaultColWidth="8.83203125" defaultRowHeight="15" x14ac:dyDescent="0.2"/>
  <cols>
    <col min="1" max="1" width="2.5" style="43" customWidth="1"/>
    <col min="2" max="2" width="24.5" style="43" bestFit="1" customWidth="1"/>
    <col min="3" max="3" width="17.5" style="43" bestFit="1" customWidth="1"/>
    <col min="4" max="4" width="6.5" style="43" bestFit="1" customWidth="1"/>
    <col min="5" max="5" width="8" style="43" bestFit="1" customWidth="1"/>
    <col min="6" max="6" width="9.6640625" style="43" bestFit="1" customWidth="1"/>
    <col min="7" max="7" width="6" style="43" bestFit="1" customWidth="1"/>
    <col min="8" max="8" width="8.5" style="43" bestFit="1" customWidth="1"/>
    <col min="9" max="9" width="7.5" style="43" bestFit="1" customWidth="1"/>
    <col min="10" max="10" width="8.5" style="43" bestFit="1" customWidth="1"/>
    <col min="11" max="11" width="7.5" style="43" bestFit="1" customWidth="1"/>
    <col min="12" max="12" width="26.5" style="174" bestFit="1" customWidth="1"/>
    <col min="13" max="13" width="22.5" style="174" bestFit="1" customWidth="1"/>
    <col min="14" max="15" width="6" style="43" bestFit="1" customWidth="1"/>
    <col min="16" max="16" width="8.5" style="43" bestFit="1" customWidth="1"/>
    <col min="17" max="17" width="7.5" style="43" bestFit="1" customWidth="1"/>
    <col min="18" max="18" width="8.5" style="43" bestFit="1" customWidth="1"/>
    <col min="19" max="20" width="9.5" style="43" bestFit="1" customWidth="1"/>
    <col min="21" max="21" width="9.83203125" style="43" bestFit="1" customWidth="1"/>
    <col min="22" max="16384" width="8.83203125" style="43"/>
  </cols>
  <sheetData>
    <row r="1" spans="1:21" x14ac:dyDescent="0.2">
      <c r="B1" s="258" t="s">
        <v>187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1" s="46" customFormat="1" ht="42" x14ac:dyDescent="0.2">
      <c r="A2" s="271" t="s">
        <v>174</v>
      </c>
      <c r="B2" s="42" t="s">
        <v>186</v>
      </c>
      <c r="C2" s="42" t="s">
        <v>463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169</v>
      </c>
      <c r="I2" s="44" t="s">
        <v>170</v>
      </c>
      <c r="J2" s="44" t="s">
        <v>100</v>
      </c>
      <c r="K2" s="44" t="s">
        <v>171</v>
      </c>
      <c r="L2" s="173" t="s">
        <v>185</v>
      </c>
      <c r="M2" s="173" t="s">
        <v>462</v>
      </c>
      <c r="N2" s="45" t="s">
        <v>175</v>
      </c>
      <c r="O2" s="45" t="s">
        <v>172</v>
      </c>
      <c r="P2" s="44" t="s">
        <v>169</v>
      </c>
      <c r="Q2" s="44" t="s">
        <v>170</v>
      </c>
      <c r="R2" s="44" t="s">
        <v>439</v>
      </c>
      <c r="S2" s="44" t="s">
        <v>177</v>
      </c>
      <c r="T2" s="44" t="s">
        <v>176</v>
      </c>
      <c r="U2" s="42" t="s">
        <v>173</v>
      </c>
    </row>
    <row r="3" spans="1:21" x14ac:dyDescent="0.2">
      <c r="A3" s="272"/>
      <c r="B3" s="177" t="s">
        <v>518</v>
      </c>
      <c r="C3" s="234" t="str">
        <f t="shared" ref="C3:C13" si="0">IF(B3&gt;0,VLOOKUP($B3,pre_implement,6)," ")</f>
        <v>Heavy Disk 27'</v>
      </c>
      <c r="D3" s="52" t="str">
        <f t="shared" ref="D3:D14" si="1">IF(B3&gt;0,VLOOKUP($B3,pre_implement,5),0)</f>
        <v>27'</v>
      </c>
      <c r="E3" s="58">
        <f t="shared" ref="E3:E14" si="2">IF(B3&gt;0,VLOOKUP($B3,pre_implement,11),0)</f>
        <v>7.5679394564843488E-2</v>
      </c>
      <c r="F3" s="52">
        <v>2</v>
      </c>
      <c r="G3" s="58">
        <f>F3*E3</f>
        <v>0.15135878912968698</v>
      </c>
      <c r="H3" s="59">
        <f t="shared" ref="H3:H14" si="3">IF(B3&gt;0,VLOOKUP($B3,pre_implement,24),0)</f>
        <v>14</v>
      </c>
      <c r="I3" s="59">
        <f>H3*G3</f>
        <v>2.1190230478156176</v>
      </c>
      <c r="J3" s="59">
        <f t="shared" ref="J3:J14" si="4">IF(B3&gt;0,VLOOKUP($B3,pre_implement,31),0)</f>
        <v>40.347999999999999</v>
      </c>
      <c r="K3" s="60">
        <f>J3*G3</f>
        <v>6.1070244238046101</v>
      </c>
      <c r="L3" s="174" t="s">
        <v>523</v>
      </c>
      <c r="M3" s="176" t="str">
        <f t="shared" ref="M3:M14" si="5">IF(K3&gt;0,VLOOKUP($L3,tractor_data,6)," ")</f>
        <v>Tractor (180-199 hp) MFWD 190</v>
      </c>
      <c r="N3" s="58">
        <f t="shared" ref="N3:N14" si="6">IF(L3&gt;0,VLOOKUP($L3,tractor_data,8),0)</f>
        <v>9.7797999999999998</v>
      </c>
      <c r="O3" s="58">
        <f>N3*G3</f>
        <v>1.4802586859305127</v>
      </c>
      <c r="P3" s="59">
        <f t="shared" ref="P3:P14" si="7">IF(L3&gt;0,VLOOKUP($L3,tractor_data,17),0)</f>
        <v>13.285714285714286</v>
      </c>
      <c r="Q3" s="59">
        <f>P3*G3</f>
        <v>2.0109096270086986</v>
      </c>
      <c r="R3" s="59">
        <f>I3+Q3</f>
        <v>4.1299326748243157</v>
      </c>
      <c r="S3" s="59">
        <f t="shared" ref="S3:S14" si="8">IF(L3&gt;0,VLOOKUP($L3,tractor_data,24),0)</f>
        <v>38.918285714285716</v>
      </c>
      <c r="T3" s="59">
        <f>S3*G3</f>
        <v>5.890624600717481</v>
      </c>
      <c r="U3" s="59">
        <f>T3+K3</f>
        <v>11.99764902452209</v>
      </c>
    </row>
    <row r="4" spans="1:21" x14ac:dyDescent="0.2">
      <c r="A4" s="272"/>
      <c r="B4" s="177" t="s">
        <v>517</v>
      </c>
      <c r="C4" s="234" t="str">
        <f t="shared" si="0"/>
        <v>Disk Harrow 32'</v>
      </c>
      <c r="D4" s="52" t="str">
        <f t="shared" si="1"/>
        <v>32'</v>
      </c>
      <c r="E4" s="58">
        <f t="shared" si="2"/>
        <v>6.1383928571428575E-2</v>
      </c>
      <c r="F4" s="52">
        <v>1</v>
      </c>
      <c r="G4" s="58">
        <f t="shared" ref="G4:G14" si="9">F4*E4</f>
        <v>6.1383928571428575E-2</v>
      </c>
      <c r="H4" s="59">
        <f t="shared" si="3"/>
        <v>14.972222222222221</v>
      </c>
      <c r="I4" s="59">
        <f t="shared" ref="I4:I14" si="10">H4*G4</f>
        <v>0.91905381944444442</v>
      </c>
      <c r="J4" s="59">
        <f t="shared" si="4"/>
        <v>43.149944444444444</v>
      </c>
      <c r="K4" s="60">
        <f t="shared" ref="K4:K14" si="11">J4*G4</f>
        <v>2.6487131076388888</v>
      </c>
      <c r="L4" s="174" t="s">
        <v>523</v>
      </c>
      <c r="M4" s="233" t="str">
        <f t="shared" si="5"/>
        <v>Tractor (180-199 hp) MFWD 190</v>
      </c>
      <c r="N4" s="58">
        <f t="shared" si="6"/>
        <v>9.7797999999999998</v>
      </c>
      <c r="O4" s="58">
        <f t="shared" ref="O4:O14" si="12">N4*G4</f>
        <v>0.60032254464285717</v>
      </c>
      <c r="P4" s="59">
        <f t="shared" si="7"/>
        <v>13.285714285714286</v>
      </c>
      <c r="Q4" s="59">
        <f t="shared" ref="Q4:Q14" si="13">P4*G4</f>
        <v>0.81552933673469397</v>
      </c>
      <c r="R4" s="59">
        <f t="shared" ref="R4:R14" si="14">I4+Q4</f>
        <v>1.7345831561791383</v>
      </c>
      <c r="S4" s="59">
        <f t="shared" si="8"/>
        <v>38.918285714285716</v>
      </c>
      <c r="T4" s="59">
        <f t="shared" ref="T4:T14" si="15">S4*G4</f>
        <v>2.3889572704081634</v>
      </c>
      <c r="U4" s="59">
        <f t="shared" ref="U4:U14" si="16">T4+K4</f>
        <v>5.0376703780470518</v>
      </c>
    </row>
    <row r="5" spans="1:21" x14ac:dyDescent="0.2">
      <c r="A5" s="272"/>
      <c r="B5" s="177" t="s">
        <v>519</v>
      </c>
      <c r="C5" s="234" t="str">
        <f t="shared" si="0"/>
        <v>Bed-Disk  (Hipper)  6R-36</v>
      </c>
      <c r="D5" s="52" t="str">
        <f t="shared" si="1"/>
        <v xml:space="preserve"> 6R-36</v>
      </c>
      <c r="E5" s="58">
        <f t="shared" si="2"/>
        <v>0.10416666666666667</v>
      </c>
      <c r="F5" s="52">
        <v>1</v>
      </c>
      <c r="G5" s="58">
        <f t="shared" si="9"/>
        <v>0.10416666666666667</v>
      </c>
      <c r="H5" s="59">
        <f t="shared" si="3"/>
        <v>3.7749999999999999</v>
      </c>
      <c r="I5" s="59">
        <f t="shared" si="10"/>
        <v>0.39322916666666669</v>
      </c>
      <c r="J5" s="59">
        <f t="shared" si="4"/>
        <v>13.599437499999999</v>
      </c>
      <c r="K5" s="60">
        <f t="shared" si="11"/>
        <v>1.4166080729166666</v>
      </c>
      <c r="L5" s="174" t="s">
        <v>523</v>
      </c>
      <c r="M5" s="233" t="str">
        <f t="shared" si="5"/>
        <v>Tractor (180-199 hp) MFWD 190</v>
      </c>
      <c r="N5" s="58">
        <f t="shared" si="6"/>
        <v>9.7797999999999998</v>
      </c>
      <c r="O5" s="58">
        <f t="shared" si="12"/>
        <v>1.0187291666666667</v>
      </c>
      <c r="P5" s="59">
        <f t="shared" si="7"/>
        <v>13.285714285714286</v>
      </c>
      <c r="Q5" s="59">
        <f t="shared" si="13"/>
        <v>1.3839285714285716</v>
      </c>
      <c r="R5" s="59">
        <f t="shared" si="14"/>
        <v>1.7771577380952384</v>
      </c>
      <c r="S5" s="59">
        <f t="shared" si="8"/>
        <v>38.918285714285716</v>
      </c>
      <c r="T5" s="59">
        <f t="shared" si="15"/>
        <v>4.053988095238096</v>
      </c>
      <c r="U5" s="59">
        <f t="shared" si="16"/>
        <v>5.4705961681547626</v>
      </c>
    </row>
    <row r="6" spans="1:21" x14ac:dyDescent="0.2">
      <c r="A6" s="272"/>
      <c r="B6" s="177" t="s">
        <v>520</v>
      </c>
      <c r="C6" s="234" t="str">
        <f t="shared" si="0"/>
        <v>Plant - Rigid  6R-36</v>
      </c>
      <c r="D6" s="52" t="str">
        <f t="shared" si="1"/>
        <v xml:space="preserve"> 6R-36</v>
      </c>
      <c r="E6" s="58">
        <f t="shared" si="2"/>
        <v>0.10476190476190476</v>
      </c>
      <c r="F6" s="52">
        <v>1</v>
      </c>
      <c r="G6" s="58">
        <f t="shared" si="9"/>
        <v>0.10476190476190476</v>
      </c>
      <c r="H6" s="59">
        <f t="shared" si="3"/>
        <v>9.9000562499999987</v>
      </c>
      <c r="I6" s="59">
        <f t="shared" si="10"/>
        <v>1.0371487499999998</v>
      </c>
      <c r="J6" s="59">
        <f t="shared" si="4"/>
        <v>26.6465514</v>
      </c>
      <c r="K6" s="60">
        <f t="shared" si="11"/>
        <v>2.7915434800000001</v>
      </c>
      <c r="L6" s="174" t="s">
        <v>508</v>
      </c>
      <c r="M6" s="233" t="str">
        <f t="shared" si="5"/>
        <v>Tractor (120-139 hp) 2WD 130</v>
      </c>
      <c r="N6" s="58">
        <f t="shared" si="6"/>
        <v>6.6913999999999998</v>
      </c>
      <c r="O6" s="58">
        <f t="shared" si="12"/>
        <v>0.70100380952380947</v>
      </c>
      <c r="P6" s="59">
        <f t="shared" si="7"/>
        <v>12.642857142857142</v>
      </c>
      <c r="Q6" s="59">
        <f t="shared" si="13"/>
        <v>1.3244897959183672</v>
      </c>
      <c r="R6" s="59">
        <f t="shared" si="14"/>
        <v>2.3616385459183671</v>
      </c>
      <c r="S6" s="59">
        <f t="shared" si="8"/>
        <v>37.035142857142858</v>
      </c>
      <c r="T6" s="59">
        <f t="shared" si="15"/>
        <v>3.8798721088435375</v>
      </c>
      <c r="U6" s="59">
        <f t="shared" si="16"/>
        <v>6.6714155888435371</v>
      </c>
    </row>
    <row r="7" spans="1:21" x14ac:dyDescent="0.2">
      <c r="A7" s="272"/>
      <c r="B7" s="177" t="s">
        <v>521</v>
      </c>
      <c r="C7" s="234" t="str">
        <f t="shared" si="0"/>
        <v>Fert Appl (Liquid)  6R-36</v>
      </c>
      <c r="D7" s="52" t="str">
        <f t="shared" si="1"/>
        <v xml:space="preserve"> 6R-36</v>
      </c>
      <c r="E7" s="58">
        <f t="shared" si="2"/>
        <v>0.10912698412698414</v>
      </c>
      <c r="F7" s="52">
        <v>1</v>
      </c>
      <c r="G7" s="58">
        <f t="shared" si="9"/>
        <v>0.10912698412698414</v>
      </c>
      <c r="H7" s="59">
        <f t="shared" si="3"/>
        <v>7.7333333333333334</v>
      </c>
      <c r="I7" s="59">
        <f t="shared" si="10"/>
        <v>0.84391534391534406</v>
      </c>
      <c r="J7" s="59">
        <f t="shared" si="4"/>
        <v>11.9712</v>
      </c>
      <c r="K7" s="60">
        <f t="shared" si="11"/>
        <v>1.3063809523809524</v>
      </c>
      <c r="L7" s="174" t="s">
        <v>508</v>
      </c>
      <c r="M7" s="233" t="str">
        <f t="shared" si="5"/>
        <v>Tractor (120-139 hp) 2WD 130</v>
      </c>
      <c r="N7" s="58">
        <f t="shared" si="6"/>
        <v>6.6913999999999998</v>
      </c>
      <c r="O7" s="58">
        <f t="shared" si="12"/>
        <v>0.73021230158730166</v>
      </c>
      <c r="P7" s="59">
        <f t="shared" si="7"/>
        <v>12.642857142857142</v>
      </c>
      <c r="Q7" s="59">
        <f t="shared" si="13"/>
        <v>1.3796768707482994</v>
      </c>
      <c r="R7" s="59">
        <f t="shared" si="14"/>
        <v>2.2235922146636433</v>
      </c>
      <c r="S7" s="59">
        <f t="shared" si="8"/>
        <v>37.035142857142858</v>
      </c>
      <c r="T7" s="59">
        <f t="shared" si="15"/>
        <v>4.0415334467120188</v>
      </c>
      <c r="U7" s="59">
        <f t="shared" si="16"/>
        <v>5.3479143990929714</v>
      </c>
    </row>
    <row r="8" spans="1:21" x14ac:dyDescent="0.2">
      <c r="A8" s="272"/>
      <c r="B8" s="177" t="s">
        <v>522</v>
      </c>
      <c r="C8" s="234" t="str">
        <f t="shared" si="0"/>
        <v>Spray (Broadcast) 60'</v>
      </c>
      <c r="D8" s="52" t="str">
        <f t="shared" si="1"/>
        <v>60'</v>
      </c>
      <c r="E8" s="58">
        <f t="shared" si="2"/>
        <v>2.8205128205128206E-2</v>
      </c>
      <c r="F8" s="52">
        <v>2</v>
      </c>
      <c r="G8" s="58">
        <f t="shared" si="9"/>
        <v>5.6410256410256411E-2</v>
      </c>
      <c r="H8" s="59">
        <f t="shared" si="3"/>
        <v>8.71875</v>
      </c>
      <c r="I8" s="59">
        <f t="shared" si="10"/>
        <v>0.49182692307692311</v>
      </c>
      <c r="J8" s="59">
        <f t="shared" si="4"/>
        <v>14.396400000000002</v>
      </c>
      <c r="K8" s="60">
        <f t="shared" si="11"/>
        <v>0.81210461538461554</v>
      </c>
      <c r="L8" s="174" t="s">
        <v>508</v>
      </c>
      <c r="M8" s="233" t="str">
        <f t="shared" si="5"/>
        <v>Tractor (120-139 hp) 2WD 130</v>
      </c>
      <c r="N8" s="58">
        <f t="shared" si="6"/>
        <v>6.6913999999999998</v>
      </c>
      <c r="O8" s="58">
        <f t="shared" si="12"/>
        <v>0.37746358974358973</v>
      </c>
      <c r="P8" s="59">
        <f t="shared" si="7"/>
        <v>12.642857142857142</v>
      </c>
      <c r="Q8" s="59">
        <f t="shared" si="13"/>
        <v>0.71318681318681321</v>
      </c>
      <c r="R8" s="59">
        <f t="shared" si="14"/>
        <v>1.2050137362637363</v>
      </c>
      <c r="S8" s="59">
        <f t="shared" si="8"/>
        <v>37.035142857142858</v>
      </c>
      <c r="T8" s="59">
        <f t="shared" si="15"/>
        <v>2.0891619047619048</v>
      </c>
      <c r="U8" s="59">
        <f t="shared" si="16"/>
        <v>2.9012665201465202</v>
      </c>
    </row>
    <row r="9" spans="1:21" x14ac:dyDescent="0.2">
      <c r="A9" s="272"/>
      <c r="B9" s="177"/>
      <c r="C9" s="234" t="str">
        <f t="shared" si="0"/>
        <v xml:space="preserve"> </v>
      </c>
      <c r="D9" s="52">
        <f t="shared" si="1"/>
        <v>0</v>
      </c>
      <c r="E9" s="58">
        <f t="shared" si="2"/>
        <v>0</v>
      </c>
      <c r="F9" s="52">
        <v>1</v>
      </c>
      <c r="G9" s="58">
        <f t="shared" si="9"/>
        <v>0</v>
      </c>
      <c r="H9" s="59">
        <f t="shared" si="3"/>
        <v>0</v>
      </c>
      <c r="I9" s="59">
        <f t="shared" si="10"/>
        <v>0</v>
      </c>
      <c r="J9" s="59">
        <f t="shared" si="4"/>
        <v>0</v>
      </c>
      <c r="K9" s="60">
        <f t="shared" si="11"/>
        <v>0</v>
      </c>
      <c r="M9" s="233" t="str">
        <f t="shared" si="5"/>
        <v xml:space="preserve"> </v>
      </c>
      <c r="N9" s="58">
        <f t="shared" si="6"/>
        <v>0</v>
      </c>
      <c r="O9" s="58">
        <f t="shared" si="12"/>
        <v>0</v>
      </c>
      <c r="P9" s="59">
        <f t="shared" si="7"/>
        <v>0</v>
      </c>
      <c r="Q9" s="59">
        <f t="shared" si="13"/>
        <v>0</v>
      </c>
      <c r="R9" s="59">
        <f t="shared" si="14"/>
        <v>0</v>
      </c>
      <c r="S9" s="59">
        <f t="shared" si="8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72"/>
      <c r="B10" s="177"/>
      <c r="C10" s="234" t="str">
        <f t="shared" si="0"/>
        <v xml:space="preserve"> </v>
      </c>
      <c r="D10" s="52">
        <f t="shared" si="1"/>
        <v>0</v>
      </c>
      <c r="E10" s="58">
        <f t="shared" si="2"/>
        <v>0</v>
      </c>
      <c r="F10" s="52">
        <v>1</v>
      </c>
      <c r="G10" s="58">
        <f t="shared" si="9"/>
        <v>0</v>
      </c>
      <c r="H10" s="59">
        <f t="shared" si="3"/>
        <v>0</v>
      </c>
      <c r="I10" s="59">
        <f t="shared" si="10"/>
        <v>0</v>
      </c>
      <c r="J10" s="59">
        <f t="shared" si="4"/>
        <v>0</v>
      </c>
      <c r="K10" s="60">
        <f t="shared" si="11"/>
        <v>0</v>
      </c>
      <c r="M10" s="233" t="str">
        <f t="shared" si="5"/>
        <v xml:space="preserve"> </v>
      </c>
      <c r="N10" s="58">
        <f t="shared" si="6"/>
        <v>0</v>
      </c>
      <c r="O10" s="58">
        <f t="shared" si="12"/>
        <v>0</v>
      </c>
      <c r="P10" s="59">
        <f t="shared" si="7"/>
        <v>0</v>
      </c>
      <c r="Q10" s="59">
        <f t="shared" si="13"/>
        <v>0</v>
      </c>
      <c r="R10" s="59">
        <f t="shared" si="14"/>
        <v>0</v>
      </c>
      <c r="S10" s="59">
        <f t="shared" si="8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272"/>
      <c r="B11" s="177"/>
      <c r="C11" s="234" t="str">
        <f t="shared" si="0"/>
        <v xml:space="preserve"> </v>
      </c>
      <c r="D11" s="52">
        <f t="shared" si="1"/>
        <v>0</v>
      </c>
      <c r="E11" s="58">
        <f t="shared" si="2"/>
        <v>0</v>
      </c>
      <c r="F11" s="52">
        <v>1</v>
      </c>
      <c r="G11" s="58">
        <f t="shared" si="9"/>
        <v>0</v>
      </c>
      <c r="H11" s="59">
        <f t="shared" si="3"/>
        <v>0</v>
      </c>
      <c r="I11" s="59">
        <f t="shared" si="10"/>
        <v>0</v>
      </c>
      <c r="J11" s="59">
        <f t="shared" si="4"/>
        <v>0</v>
      </c>
      <c r="K11" s="60">
        <f t="shared" si="11"/>
        <v>0</v>
      </c>
      <c r="M11" s="233" t="str">
        <f t="shared" si="5"/>
        <v xml:space="preserve"> </v>
      </c>
      <c r="N11" s="58">
        <f t="shared" si="6"/>
        <v>0</v>
      </c>
      <c r="O11" s="58">
        <f t="shared" si="12"/>
        <v>0</v>
      </c>
      <c r="P11" s="59">
        <f t="shared" si="7"/>
        <v>0</v>
      </c>
      <c r="Q11" s="59">
        <f t="shared" si="13"/>
        <v>0</v>
      </c>
      <c r="R11" s="59">
        <f t="shared" si="14"/>
        <v>0</v>
      </c>
      <c r="S11" s="59">
        <f t="shared" si="8"/>
        <v>0</v>
      </c>
      <c r="T11" s="59">
        <f t="shared" si="15"/>
        <v>0</v>
      </c>
      <c r="U11" s="59">
        <f t="shared" si="16"/>
        <v>0</v>
      </c>
    </row>
    <row r="12" spans="1:21" x14ac:dyDescent="0.2">
      <c r="A12" s="272"/>
      <c r="B12" s="177"/>
      <c r="C12" s="234" t="str">
        <f t="shared" si="0"/>
        <v xml:space="preserve"> </v>
      </c>
      <c r="D12" s="52">
        <f t="shared" si="1"/>
        <v>0</v>
      </c>
      <c r="E12" s="58">
        <f t="shared" si="2"/>
        <v>0</v>
      </c>
      <c r="F12" s="52">
        <v>1</v>
      </c>
      <c r="G12" s="58">
        <f t="shared" si="9"/>
        <v>0</v>
      </c>
      <c r="H12" s="59">
        <f t="shared" si="3"/>
        <v>0</v>
      </c>
      <c r="I12" s="59">
        <f t="shared" si="10"/>
        <v>0</v>
      </c>
      <c r="J12" s="59">
        <f t="shared" si="4"/>
        <v>0</v>
      </c>
      <c r="K12" s="60">
        <f t="shared" si="11"/>
        <v>0</v>
      </c>
      <c r="M12" s="233" t="str">
        <f t="shared" si="5"/>
        <v xml:space="preserve"> </v>
      </c>
      <c r="N12" s="58">
        <f t="shared" si="6"/>
        <v>0</v>
      </c>
      <c r="O12" s="58">
        <f t="shared" si="12"/>
        <v>0</v>
      </c>
      <c r="P12" s="59">
        <f t="shared" si="7"/>
        <v>0</v>
      </c>
      <c r="Q12" s="59">
        <f t="shared" si="13"/>
        <v>0</v>
      </c>
      <c r="R12" s="59">
        <f t="shared" si="14"/>
        <v>0</v>
      </c>
      <c r="S12" s="59">
        <f t="shared" si="8"/>
        <v>0</v>
      </c>
      <c r="T12" s="59">
        <f t="shared" si="15"/>
        <v>0</v>
      </c>
      <c r="U12" s="59">
        <f t="shared" si="16"/>
        <v>0</v>
      </c>
    </row>
    <row r="13" spans="1:21" x14ac:dyDescent="0.2">
      <c r="A13" s="272"/>
      <c r="B13" s="177"/>
      <c r="C13" s="234" t="str">
        <f t="shared" si="0"/>
        <v xml:space="preserve"> </v>
      </c>
      <c r="D13" s="52">
        <f t="shared" si="1"/>
        <v>0</v>
      </c>
      <c r="E13" s="58">
        <f t="shared" si="2"/>
        <v>0</v>
      </c>
      <c r="F13" s="52">
        <v>1</v>
      </c>
      <c r="G13" s="58">
        <f t="shared" si="9"/>
        <v>0</v>
      </c>
      <c r="H13" s="59">
        <f t="shared" si="3"/>
        <v>0</v>
      </c>
      <c r="I13" s="59">
        <f t="shared" si="10"/>
        <v>0</v>
      </c>
      <c r="J13" s="59">
        <f t="shared" si="4"/>
        <v>0</v>
      </c>
      <c r="K13" s="60">
        <f t="shared" si="11"/>
        <v>0</v>
      </c>
      <c r="M13" s="233" t="str">
        <f t="shared" si="5"/>
        <v xml:space="preserve"> </v>
      </c>
      <c r="N13" s="58">
        <f t="shared" si="6"/>
        <v>0</v>
      </c>
      <c r="O13" s="58">
        <f t="shared" si="12"/>
        <v>0</v>
      </c>
      <c r="P13" s="59">
        <f t="shared" si="7"/>
        <v>0</v>
      </c>
      <c r="Q13" s="59">
        <f t="shared" si="13"/>
        <v>0</v>
      </c>
      <c r="R13" s="59">
        <f t="shared" si="14"/>
        <v>0</v>
      </c>
      <c r="S13" s="59">
        <f t="shared" si="8"/>
        <v>0</v>
      </c>
      <c r="T13" s="59">
        <f t="shared" si="15"/>
        <v>0</v>
      </c>
      <c r="U13" s="59">
        <f t="shared" si="16"/>
        <v>0</v>
      </c>
    </row>
    <row r="14" spans="1:21" x14ac:dyDescent="0.2">
      <c r="A14" s="272"/>
      <c r="B14" s="177"/>
      <c r="C14" s="234" t="str">
        <f t="shared" ref="C14" si="17">IF(B14&gt;0,VLOOKUP($B14,pre_implement,6)," ")</f>
        <v xml:space="preserve"> </v>
      </c>
      <c r="D14" s="52">
        <f t="shared" si="1"/>
        <v>0</v>
      </c>
      <c r="E14" s="58">
        <f t="shared" si="2"/>
        <v>0</v>
      </c>
      <c r="F14" s="52">
        <v>1</v>
      </c>
      <c r="G14" s="58">
        <f t="shared" si="9"/>
        <v>0</v>
      </c>
      <c r="H14" s="59">
        <f t="shared" si="3"/>
        <v>0</v>
      </c>
      <c r="I14" s="59">
        <f t="shared" si="10"/>
        <v>0</v>
      </c>
      <c r="J14" s="59">
        <f t="shared" si="4"/>
        <v>0</v>
      </c>
      <c r="K14" s="60">
        <f t="shared" si="11"/>
        <v>0</v>
      </c>
      <c r="M14" s="233" t="str">
        <f t="shared" si="5"/>
        <v xml:space="preserve"> </v>
      </c>
      <c r="N14" s="58">
        <f t="shared" si="6"/>
        <v>0</v>
      </c>
      <c r="O14" s="58">
        <f t="shared" si="12"/>
        <v>0</v>
      </c>
      <c r="P14" s="59">
        <f t="shared" si="7"/>
        <v>0</v>
      </c>
      <c r="Q14" s="59">
        <f t="shared" si="13"/>
        <v>0</v>
      </c>
      <c r="R14" s="59">
        <f t="shared" si="14"/>
        <v>0</v>
      </c>
      <c r="S14" s="59">
        <f t="shared" si="8"/>
        <v>0</v>
      </c>
      <c r="T14" s="59">
        <f t="shared" si="15"/>
        <v>0</v>
      </c>
      <c r="U14" s="59">
        <f t="shared" si="16"/>
        <v>0</v>
      </c>
    </row>
    <row r="15" spans="1:21" x14ac:dyDescent="0.2">
      <c r="A15" s="273"/>
      <c r="B15" s="47"/>
      <c r="C15" s="47"/>
      <c r="D15" s="61"/>
      <c r="E15" s="61"/>
      <c r="F15" s="61"/>
      <c r="G15" s="62">
        <f>SUM(G3:G14)</f>
        <v>0.5872085296669276</v>
      </c>
      <c r="H15" s="61"/>
      <c r="I15" s="63"/>
      <c r="J15" s="61"/>
      <c r="K15" s="63"/>
      <c r="L15" s="175"/>
      <c r="M15" s="175"/>
      <c r="N15" s="61"/>
      <c r="O15" s="62">
        <f>SUM(O3:O14)</f>
        <v>4.9079900980947375</v>
      </c>
      <c r="P15" s="61"/>
      <c r="Q15" s="63"/>
      <c r="R15" s="63">
        <f>SUM(R3:R14)</f>
        <v>13.431918065944437</v>
      </c>
      <c r="S15" s="61"/>
      <c r="T15" s="63"/>
      <c r="U15" s="63">
        <f>SUM(U3:U14)</f>
        <v>37.426512078806937</v>
      </c>
    </row>
    <row r="16" spans="1:21" x14ac:dyDescent="0.2">
      <c r="B16" s="156" t="s">
        <v>453</v>
      </c>
      <c r="C16" s="156"/>
    </row>
    <row r="17" spans="1:14" x14ac:dyDescent="0.2">
      <c r="A17" s="51"/>
      <c r="B17" s="258" t="s">
        <v>180</v>
      </c>
      <c r="C17" s="258"/>
      <c r="D17" s="258"/>
      <c r="E17" s="258"/>
      <c r="F17" s="258"/>
      <c r="G17" s="258"/>
      <c r="H17" s="258"/>
      <c r="I17" s="258"/>
      <c r="J17" s="258"/>
      <c r="K17" s="258"/>
      <c r="L17" s="258"/>
      <c r="M17" s="258"/>
      <c r="N17" s="124"/>
    </row>
    <row r="18" spans="1:14" s="48" customFormat="1" ht="42" x14ac:dyDescent="0.2">
      <c r="A18" s="270" t="s">
        <v>179</v>
      </c>
      <c r="B18" s="49" t="s">
        <v>188</v>
      </c>
      <c r="C18" s="188" t="s">
        <v>463</v>
      </c>
      <c r="D18" s="49" t="s">
        <v>181</v>
      </c>
      <c r="E18" s="42" t="s">
        <v>166</v>
      </c>
      <c r="F18" s="42" t="s">
        <v>167</v>
      </c>
      <c r="G18" s="42" t="s">
        <v>168</v>
      </c>
      <c r="H18" s="45" t="s">
        <v>175</v>
      </c>
      <c r="I18" s="45" t="s">
        <v>172</v>
      </c>
      <c r="J18" s="44" t="s">
        <v>169</v>
      </c>
      <c r="K18" s="44" t="s">
        <v>170</v>
      </c>
      <c r="L18" s="180" t="s">
        <v>182</v>
      </c>
      <c r="M18" s="180" t="s">
        <v>183</v>
      </c>
      <c r="N18" s="172"/>
    </row>
    <row r="19" spans="1:14" x14ac:dyDescent="0.2">
      <c r="A19" s="270"/>
      <c r="B19" s="178"/>
      <c r="C19" s="178" t="str">
        <f>IF(B19&lt;&gt;"",VLOOKUP($B19,selfpro_data,6)," ")</f>
        <v xml:space="preserve"> </v>
      </c>
      <c r="D19" s="64">
        <f>IF(B19&lt;&gt;"",VLOOKUP($B19,selfpro_data,5),0)</f>
        <v>0</v>
      </c>
      <c r="E19" s="191">
        <f>IF(B19&lt;&gt;"",VLOOKUP($B19,selfpro_data,12),0)</f>
        <v>0</v>
      </c>
      <c r="F19" s="189">
        <v>1</v>
      </c>
      <c r="G19" s="58">
        <f>F19*E19</f>
        <v>0</v>
      </c>
      <c r="H19" s="191">
        <f>IF(B19&lt;&gt;"",VLOOKUP($B19,selfpro_data,8),0)</f>
        <v>0</v>
      </c>
      <c r="I19" s="58">
        <f>H19*E19</f>
        <v>0</v>
      </c>
      <c r="J19" s="65">
        <f>IF(B19&lt;&gt;"",VLOOKUP($B19,selfpro_data,25),0)</f>
        <v>0</v>
      </c>
      <c r="K19" s="59">
        <f>J19*G19</f>
        <v>0</v>
      </c>
      <c r="L19" s="181">
        <f>IF(B19&lt;&gt;"",VLOOKUP($B19,selfpro_data,32),0)</f>
        <v>0</v>
      </c>
      <c r="M19" s="182">
        <f>L19*G19</f>
        <v>0</v>
      </c>
    </row>
    <row r="20" spans="1:14" x14ac:dyDescent="0.2">
      <c r="A20" s="270"/>
      <c r="B20" s="179"/>
      <c r="C20" s="235" t="str">
        <f>IF(B20&lt;&gt;"",VLOOKUP($B20,selfpro_data,6)," ")</f>
        <v xml:space="preserve"> </v>
      </c>
      <c r="D20" s="66">
        <f>IF(B20&lt;&gt;"",VLOOKUP($B20,selfpro_data,5),0)</f>
        <v>0</v>
      </c>
      <c r="E20" s="67">
        <f>IF(B20&lt;&gt;"",VLOOKUP($B20,selfpro_data,12),0)</f>
        <v>0</v>
      </c>
      <c r="F20" s="190">
        <v>1</v>
      </c>
      <c r="G20" s="67">
        <f t="shared" ref="G20:G23" si="18">F20*E20</f>
        <v>0</v>
      </c>
      <c r="H20" s="67">
        <f>IF(B20&lt;&gt;"",VLOOKUP($B20,selfpro_data,8),0)</f>
        <v>0</v>
      </c>
      <c r="I20" s="67">
        <f t="shared" ref="I20:I23" si="19">H20*E20</f>
        <v>0</v>
      </c>
      <c r="J20" s="68">
        <f>IF(B20&lt;&gt;"",VLOOKUP($B20,selfpro_data,25),0)</f>
        <v>0</v>
      </c>
      <c r="K20" s="68">
        <f t="shared" ref="K20:K23" si="20">J20*G20</f>
        <v>0</v>
      </c>
      <c r="L20" s="183">
        <f>IF(B20&lt;&gt;"",VLOOKUP($B20,selfpro_data,32),0)</f>
        <v>0</v>
      </c>
      <c r="M20" s="182">
        <f t="shared" ref="M20:M23" si="21">L20*G20</f>
        <v>0</v>
      </c>
    </row>
    <row r="21" spans="1:14" x14ac:dyDescent="0.2">
      <c r="A21" s="270"/>
      <c r="B21" s="179"/>
      <c r="C21" s="235" t="str">
        <f>IF(B21&lt;&gt;"",VLOOKUP($B21,selfpro_data,6)," ")</f>
        <v xml:space="preserve"> </v>
      </c>
      <c r="D21" s="66">
        <f>IF(B21&lt;&gt;"",VLOOKUP($B21,selfpro_data,5),0)</f>
        <v>0</v>
      </c>
      <c r="E21" s="67">
        <f>IF(B21&lt;&gt;"",VLOOKUP($B21,selfpro_data,12),0)</f>
        <v>0</v>
      </c>
      <c r="F21" s="190">
        <v>1</v>
      </c>
      <c r="G21" s="67">
        <f t="shared" si="18"/>
        <v>0</v>
      </c>
      <c r="H21" s="67">
        <f>IF(B21&lt;&gt;"",VLOOKUP($B21,selfpro_data,8),0)</f>
        <v>0</v>
      </c>
      <c r="I21" s="67">
        <f t="shared" si="19"/>
        <v>0</v>
      </c>
      <c r="J21" s="68">
        <f>IF(B21&lt;&gt;"",VLOOKUP($B21,selfpro_data,25),0)</f>
        <v>0</v>
      </c>
      <c r="K21" s="68">
        <f t="shared" si="20"/>
        <v>0</v>
      </c>
      <c r="L21" s="183">
        <f>IF(B21&lt;&gt;"",VLOOKUP($B21,selfpro_data,32),0)</f>
        <v>0</v>
      </c>
      <c r="M21" s="182">
        <f t="shared" si="21"/>
        <v>0</v>
      </c>
    </row>
    <row r="22" spans="1:14" x14ac:dyDescent="0.2">
      <c r="A22" s="270"/>
      <c r="B22" s="179"/>
      <c r="C22" s="235" t="str">
        <f>IF(B22&lt;&gt;"",VLOOKUP($B22,selfpro_data,6)," ")</f>
        <v xml:space="preserve"> </v>
      </c>
      <c r="D22" s="66">
        <f>IF(B22&lt;&gt;"",VLOOKUP($B22,selfpro_data,5),0)</f>
        <v>0</v>
      </c>
      <c r="E22" s="67">
        <f>IF(B22&lt;&gt;"",VLOOKUP($B22,selfpro_data,12),0)</f>
        <v>0</v>
      </c>
      <c r="F22" s="190">
        <v>1</v>
      </c>
      <c r="G22" s="67">
        <f t="shared" si="18"/>
        <v>0</v>
      </c>
      <c r="H22" s="67">
        <f>IF(B22&lt;&gt;"",VLOOKUP($B22,selfpro_data,8),0)</f>
        <v>0</v>
      </c>
      <c r="I22" s="67">
        <f t="shared" si="19"/>
        <v>0</v>
      </c>
      <c r="J22" s="68">
        <f>IF(B22&lt;&gt;"",VLOOKUP($B22,selfpro_data,25),0)</f>
        <v>0</v>
      </c>
      <c r="K22" s="68">
        <f t="shared" si="20"/>
        <v>0</v>
      </c>
      <c r="L22" s="183">
        <f>IF(B22&lt;&gt;"",VLOOKUP($B22,selfpro_data,32),0)</f>
        <v>0</v>
      </c>
      <c r="M22" s="182">
        <f t="shared" si="21"/>
        <v>0</v>
      </c>
    </row>
    <row r="23" spans="1:14" x14ac:dyDescent="0.2">
      <c r="A23" s="270"/>
      <c r="B23" s="179"/>
      <c r="C23" s="235" t="str">
        <f>IF(B23&lt;&gt;"",VLOOKUP($B23,selfpro_data,6)," ")</f>
        <v xml:space="preserve"> </v>
      </c>
      <c r="D23" s="66">
        <f>IF(B23&lt;&gt;"",VLOOKUP($B23,selfpro_data,5),0)</f>
        <v>0</v>
      </c>
      <c r="E23" s="67">
        <f>IF(B23&lt;&gt;"",VLOOKUP($B23,selfpro_data,12),0)</f>
        <v>0</v>
      </c>
      <c r="F23" s="189">
        <v>1</v>
      </c>
      <c r="G23" s="58">
        <f t="shared" si="18"/>
        <v>0</v>
      </c>
      <c r="H23" s="67">
        <f>IF(B23&lt;&gt;"",VLOOKUP($B23,selfpro_data,8),0)</f>
        <v>0</v>
      </c>
      <c r="I23" s="58">
        <f t="shared" si="19"/>
        <v>0</v>
      </c>
      <c r="J23" s="68">
        <f>IF(B23&lt;&gt;"",VLOOKUP($B23,selfpro_data,25),0)</f>
        <v>0</v>
      </c>
      <c r="K23" s="59">
        <f t="shared" si="20"/>
        <v>0</v>
      </c>
      <c r="L23" s="183">
        <f>IF(B23&lt;&gt;"",VLOOKUP($B23,selfpro_data,32),0)</f>
        <v>0</v>
      </c>
      <c r="M23" s="182">
        <f t="shared" si="21"/>
        <v>0</v>
      </c>
    </row>
    <row r="24" spans="1:14" x14ac:dyDescent="0.2">
      <c r="A24" s="270"/>
      <c r="B24" s="50"/>
      <c r="C24" s="50"/>
      <c r="D24" s="61"/>
      <c r="E24" s="62"/>
      <c r="F24" s="61"/>
      <c r="G24" s="62">
        <f>SUM(G19:G23)</f>
        <v>0</v>
      </c>
      <c r="H24" s="62"/>
      <c r="I24" s="62">
        <f>SUM(I19:I23)</f>
        <v>0</v>
      </c>
      <c r="J24" s="69"/>
      <c r="K24" s="69">
        <f>SUM(K19:K23)</f>
        <v>0</v>
      </c>
      <c r="L24" s="184"/>
      <c r="M24" s="184">
        <f>SUM(M19:M23)</f>
        <v>0</v>
      </c>
    </row>
    <row r="25" spans="1:14" x14ac:dyDescent="0.2">
      <c r="B25" s="156" t="s">
        <v>453</v>
      </c>
      <c r="C25" s="156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baseColWidth="10" defaultColWidth="8.83203125" defaultRowHeight="15" x14ac:dyDescent="0.2"/>
  <cols>
    <col min="1" max="1" width="10.5" customWidth="1"/>
    <col min="2" max="2" width="25.83203125" bestFit="1" customWidth="1"/>
    <col min="3" max="3" width="16.5" bestFit="1" customWidth="1"/>
    <col min="4" max="4" width="7.5" bestFit="1" customWidth="1"/>
    <col min="5" max="5" width="8" bestFit="1" customWidth="1"/>
    <col min="6" max="6" width="5.5" bestFit="1" customWidth="1"/>
    <col min="7" max="7" width="6" bestFit="1" customWidth="1"/>
    <col min="8" max="11" width="9.6640625" bestFit="1" customWidth="1"/>
    <col min="12" max="12" width="25.1640625" bestFit="1" customWidth="1"/>
    <col min="13" max="13" width="21.5" bestFit="1" customWidth="1"/>
    <col min="14" max="14" width="9.5" bestFit="1" customWidth="1"/>
    <col min="15" max="15" width="6" bestFit="1" customWidth="1"/>
    <col min="16" max="16" width="8.5" bestFit="1" customWidth="1"/>
    <col min="17" max="18" width="7.33203125" bestFit="1" customWidth="1"/>
    <col min="19" max="19" width="9.5" bestFit="1" customWidth="1"/>
    <col min="20" max="21" width="8.5" bestFit="1" customWidth="1"/>
  </cols>
  <sheetData>
    <row r="1" spans="1:21" x14ac:dyDescent="0.2">
      <c r="B1" s="258" t="s">
        <v>198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</row>
    <row r="2" spans="1:21" s="54" customFormat="1" ht="42" x14ac:dyDescent="0.2">
      <c r="A2" s="55"/>
      <c r="B2" s="42" t="s">
        <v>197</v>
      </c>
      <c r="C2" s="42" t="s">
        <v>463</v>
      </c>
      <c r="D2" s="42" t="s">
        <v>181</v>
      </c>
      <c r="E2" s="42" t="s">
        <v>166</v>
      </c>
      <c r="F2" s="42" t="s">
        <v>167</v>
      </c>
      <c r="G2" s="42" t="s">
        <v>168</v>
      </c>
      <c r="H2" s="44" t="s">
        <v>189</v>
      </c>
      <c r="I2" s="44" t="s">
        <v>190</v>
      </c>
      <c r="J2" s="44" t="s">
        <v>191</v>
      </c>
      <c r="K2" s="44" t="s">
        <v>192</v>
      </c>
      <c r="L2" s="42" t="s">
        <v>184</v>
      </c>
      <c r="M2" s="42" t="s">
        <v>463</v>
      </c>
      <c r="N2" s="45" t="s">
        <v>175</v>
      </c>
      <c r="O2" s="45" t="s">
        <v>172</v>
      </c>
      <c r="P2" s="44" t="s">
        <v>195</v>
      </c>
      <c r="Q2" s="44" t="s">
        <v>196</v>
      </c>
      <c r="R2" s="44" t="s">
        <v>439</v>
      </c>
      <c r="S2" s="44" t="s">
        <v>193</v>
      </c>
      <c r="T2" s="44" t="s">
        <v>194</v>
      </c>
      <c r="U2" s="42" t="s">
        <v>173</v>
      </c>
    </row>
    <row r="3" spans="1:21" x14ac:dyDescent="0.2">
      <c r="A3" s="74" t="s">
        <v>179</v>
      </c>
      <c r="B3" s="175"/>
      <c r="C3" s="201" t="str">
        <f t="shared" ref="C3:C10" si="0">IF(B3&lt;&gt;"",VLOOKUP($B3,harvest_info,6)," ")</f>
        <v xml:space="preserve"> </v>
      </c>
      <c r="D3" s="72">
        <f t="shared" ref="D3:D10" si="1">IF(B3&lt;&gt;"",VLOOKUP($B3,harvest_info,5),0)</f>
        <v>0</v>
      </c>
      <c r="E3" s="73">
        <f t="shared" ref="E3:E10" si="2">IF(B3&lt;&gt;"",VLOOKUP($B3,harvest_info,11),0)</f>
        <v>0</v>
      </c>
      <c r="F3" s="72">
        <v>1</v>
      </c>
      <c r="G3" s="73">
        <f>F3*E3</f>
        <v>0</v>
      </c>
      <c r="H3" s="69">
        <f t="shared" ref="H3:H10" si="3">IF(B3&lt;&gt;"",VLOOKUP($B3,harvest_info,24),0)</f>
        <v>0</v>
      </c>
      <c r="I3" s="69">
        <f>H3*G3</f>
        <v>0</v>
      </c>
      <c r="J3" s="69">
        <f t="shared" ref="J3:J10" si="4">IF(B3&lt;&gt;"",VLOOKUP($B3,harvest_info,31),0)</f>
        <v>0</v>
      </c>
      <c r="K3" s="69">
        <f>J3*G3</f>
        <v>0</v>
      </c>
      <c r="L3" s="203"/>
      <c r="M3" s="216" t="str">
        <f>IF(L3&lt;&gt;"",VLOOKUP($L3,combine_data,6)," ")</f>
        <v xml:space="preserve"> </v>
      </c>
      <c r="N3" s="73">
        <f>IF(L3&lt;&gt;"",VLOOKUP($L3,combine_data,8),0)</f>
        <v>0</v>
      </c>
      <c r="O3" s="73">
        <f>N3*G3</f>
        <v>0</v>
      </c>
      <c r="P3" s="69">
        <f>IF(L3&lt;&gt;"",VLOOKUP($L3,combine_data,17),0)</f>
        <v>0</v>
      </c>
      <c r="Q3" s="69">
        <f>G3*P3</f>
        <v>0</v>
      </c>
      <c r="R3" s="69">
        <f>I3+Q3</f>
        <v>0</v>
      </c>
      <c r="S3" s="69">
        <f>IF(L3&lt;&gt;"",VLOOKUP($L3,combine_data,24),0)</f>
        <v>0</v>
      </c>
      <c r="T3" s="69">
        <f>S3*G3</f>
        <v>0</v>
      </c>
      <c r="U3" s="69">
        <f>T3+K3</f>
        <v>0</v>
      </c>
    </row>
    <row r="4" spans="1:21" x14ac:dyDescent="0.2">
      <c r="A4" s="274" t="s">
        <v>209</v>
      </c>
      <c r="B4" s="174" t="s">
        <v>524</v>
      </c>
      <c r="C4" s="187" t="str">
        <f t="shared" si="0"/>
        <v>Header - Corn  6R-36</v>
      </c>
      <c r="D4" s="53" t="str">
        <f t="shared" si="1"/>
        <v xml:space="preserve"> 6R-36</v>
      </c>
      <c r="E4" s="70">
        <f t="shared" si="2"/>
        <v>0.15406162464985992</v>
      </c>
      <c r="F4" s="53">
        <v>1</v>
      </c>
      <c r="G4" s="70">
        <f t="shared" ref="G4:G10" si="5">F4*E4</f>
        <v>0.15406162464985992</v>
      </c>
      <c r="H4" s="59">
        <f t="shared" si="3"/>
        <v>11.675000000000001</v>
      </c>
      <c r="I4" s="59">
        <f t="shared" ref="I4:I10" si="6">H4*G4</f>
        <v>1.7986694677871147</v>
      </c>
      <c r="J4" s="59">
        <f t="shared" si="4"/>
        <v>30.308300000000003</v>
      </c>
      <c r="K4" s="59">
        <f t="shared" ref="K4:K10" si="7">J4*G4</f>
        <v>4.6693459383753497</v>
      </c>
      <c r="L4" s="177" t="s">
        <v>509</v>
      </c>
      <c r="M4" s="217" t="str">
        <f t="shared" ref="M4:M10" si="8">IF(L4&lt;&gt;"",VLOOKUP($L4,tractor_data,6)," ")</f>
        <v>Combine (200-249 hp) 240 hp</v>
      </c>
      <c r="N4" s="70">
        <f t="shared" ref="N4:N10" si="9">IF(L4&lt;&gt;"",VLOOKUP($L4,tractor_data,8),0)</f>
        <v>12.35</v>
      </c>
      <c r="O4" s="70">
        <f t="shared" ref="O4:O10" si="10">N4*G4</f>
        <v>1.90266106442577</v>
      </c>
      <c r="P4" s="59">
        <f t="shared" ref="P4:P10" si="11">IF(L4&lt;&gt;"",VLOOKUP($L4,tractor_data,17),0)</f>
        <v>32.8125</v>
      </c>
      <c r="Q4" s="59">
        <f t="shared" ref="Q4:Q10" si="12">G4*P4</f>
        <v>5.055147058823529</v>
      </c>
      <c r="R4" s="65">
        <f t="shared" ref="R4:R10" si="13">I4+Q4</f>
        <v>6.8538165266106432</v>
      </c>
      <c r="S4" s="59">
        <f t="shared" ref="S4:S10" si="14">IF(L4&lt;&gt;"",VLOOKUP($L4,tractor_data,24),0)</f>
        <v>208.58250000000001</v>
      </c>
      <c r="T4" s="59">
        <f t="shared" ref="T4:T10" si="15">S4*G4</f>
        <v>32.13455882352941</v>
      </c>
      <c r="U4" s="59">
        <f t="shared" ref="U4:U10" si="16">T4+K4</f>
        <v>36.803904761904761</v>
      </c>
    </row>
    <row r="5" spans="1:21" x14ac:dyDescent="0.2">
      <c r="A5" s="274"/>
      <c r="B5" s="174" t="s">
        <v>525</v>
      </c>
      <c r="C5" s="215" t="str">
        <f t="shared" si="0"/>
        <v>Grain Cart Corn  500 bu</v>
      </c>
      <c r="D5" s="53" t="str">
        <f t="shared" si="1"/>
        <v xml:space="preserve"> 500 bu</v>
      </c>
      <c r="E5" s="70">
        <f t="shared" si="2"/>
        <v>9.4E-2</v>
      </c>
      <c r="F5" s="53">
        <v>1</v>
      </c>
      <c r="G5" s="70">
        <f t="shared" si="5"/>
        <v>9.4E-2</v>
      </c>
      <c r="H5" s="59">
        <f t="shared" si="3"/>
        <v>6.4729166666666664</v>
      </c>
      <c r="I5" s="59">
        <f t="shared" si="6"/>
        <v>0.60845416666666663</v>
      </c>
      <c r="J5" s="59">
        <f t="shared" si="4"/>
        <v>15.825783333333334</v>
      </c>
      <c r="K5" s="59">
        <f t="shared" si="7"/>
        <v>1.4876236333333335</v>
      </c>
      <c r="L5" s="234" t="s">
        <v>508</v>
      </c>
      <c r="M5" s="238" t="str">
        <f t="shared" si="8"/>
        <v>Tractor (120-139 hp) 2WD 130</v>
      </c>
      <c r="N5" s="70">
        <f t="shared" si="9"/>
        <v>6.6913999999999998</v>
      </c>
      <c r="O5" s="70">
        <f t="shared" si="10"/>
        <v>0.62899159999999998</v>
      </c>
      <c r="P5" s="59">
        <f t="shared" si="11"/>
        <v>12.642857142857142</v>
      </c>
      <c r="Q5" s="59">
        <f t="shared" si="12"/>
        <v>1.1884285714285714</v>
      </c>
      <c r="R5" s="68">
        <f t="shared" si="13"/>
        <v>1.7968827380952379</v>
      </c>
      <c r="S5" s="59">
        <f t="shared" si="14"/>
        <v>37.035142857142858</v>
      </c>
      <c r="T5" s="59">
        <f t="shared" si="15"/>
        <v>3.4813034285714286</v>
      </c>
      <c r="U5" s="59">
        <f t="shared" si="16"/>
        <v>4.9689270619047621</v>
      </c>
    </row>
    <row r="6" spans="1:21" x14ac:dyDescent="0.2">
      <c r="A6" s="274"/>
      <c r="B6" s="174"/>
      <c r="C6" s="237" t="str">
        <f t="shared" si="0"/>
        <v xml:space="preserve"> </v>
      </c>
      <c r="D6" s="53">
        <f t="shared" si="1"/>
        <v>0</v>
      </c>
      <c r="E6" s="70">
        <f t="shared" si="2"/>
        <v>0</v>
      </c>
      <c r="F6" s="53">
        <v>1</v>
      </c>
      <c r="G6" s="70">
        <f t="shared" si="5"/>
        <v>0</v>
      </c>
      <c r="H6" s="59">
        <f t="shared" si="3"/>
        <v>0</v>
      </c>
      <c r="I6" s="59">
        <f t="shared" si="6"/>
        <v>0</v>
      </c>
      <c r="J6" s="59">
        <f t="shared" si="4"/>
        <v>0</v>
      </c>
      <c r="K6" s="59">
        <f t="shared" si="7"/>
        <v>0</v>
      </c>
      <c r="L6" s="177"/>
      <c r="M6" s="238" t="str">
        <f t="shared" si="8"/>
        <v xml:space="preserve"> </v>
      </c>
      <c r="N6" s="70">
        <f t="shared" si="9"/>
        <v>0</v>
      </c>
      <c r="O6" s="70">
        <f t="shared" si="10"/>
        <v>0</v>
      </c>
      <c r="P6" s="59">
        <f t="shared" si="11"/>
        <v>0</v>
      </c>
      <c r="Q6" s="59">
        <f t="shared" si="12"/>
        <v>0</v>
      </c>
      <c r="R6" s="68">
        <f t="shared" si="13"/>
        <v>0</v>
      </c>
      <c r="S6" s="59">
        <f t="shared" si="14"/>
        <v>0</v>
      </c>
      <c r="T6" s="59">
        <f t="shared" si="15"/>
        <v>0</v>
      </c>
      <c r="U6" s="59">
        <f t="shared" si="16"/>
        <v>0</v>
      </c>
    </row>
    <row r="7" spans="1:21" x14ac:dyDescent="0.2">
      <c r="A7" s="274"/>
      <c r="B7" s="174"/>
      <c r="C7" s="237" t="str">
        <f t="shared" si="0"/>
        <v xml:space="preserve"> </v>
      </c>
      <c r="D7" s="53">
        <f t="shared" si="1"/>
        <v>0</v>
      </c>
      <c r="E7" s="70">
        <f t="shared" si="2"/>
        <v>0</v>
      </c>
      <c r="F7" s="53">
        <v>1</v>
      </c>
      <c r="G7" s="70">
        <f t="shared" si="5"/>
        <v>0</v>
      </c>
      <c r="H7" s="59">
        <f t="shared" si="3"/>
        <v>0</v>
      </c>
      <c r="I7" s="59">
        <f t="shared" si="6"/>
        <v>0</v>
      </c>
      <c r="J7" s="59">
        <f t="shared" si="4"/>
        <v>0</v>
      </c>
      <c r="K7" s="59">
        <f t="shared" si="7"/>
        <v>0</v>
      </c>
      <c r="L7" s="177"/>
      <c r="M7" s="238" t="str">
        <f t="shared" si="8"/>
        <v xml:space="preserve"> </v>
      </c>
      <c r="N7" s="70">
        <f t="shared" si="9"/>
        <v>0</v>
      </c>
      <c r="O7" s="70">
        <f t="shared" si="10"/>
        <v>0</v>
      </c>
      <c r="P7" s="59">
        <f t="shared" si="11"/>
        <v>0</v>
      </c>
      <c r="Q7" s="59">
        <f t="shared" si="12"/>
        <v>0</v>
      </c>
      <c r="R7" s="68">
        <f t="shared" si="13"/>
        <v>0</v>
      </c>
      <c r="S7" s="59">
        <f t="shared" si="14"/>
        <v>0</v>
      </c>
      <c r="T7" s="59">
        <f t="shared" si="15"/>
        <v>0</v>
      </c>
      <c r="U7" s="59">
        <f t="shared" si="16"/>
        <v>0</v>
      </c>
    </row>
    <row r="8" spans="1:21" x14ac:dyDescent="0.2">
      <c r="A8" s="274"/>
      <c r="B8" s="174"/>
      <c r="C8" s="237" t="str">
        <f t="shared" si="0"/>
        <v xml:space="preserve"> </v>
      </c>
      <c r="D8" s="53">
        <f t="shared" si="1"/>
        <v>0</v>
      </c>
      <c r="E8" s="70">
        <f t="shared" si="2"/>
        <v>0</v>
      </c>
      <c r="F8" s="53">
        <v>1</v>
      </c>
      <c r="G8" s="70">
        <f t="shared" si="5"/>
        <v>0</v>
      </c>
      <c r="H8" s="59">
        <f t="shared" si="3"/>
        <v>0</v>
      </c>
      <c r="I8" s="59">
        <f t="shared" si="6"/>
        <v>0</v>
      </c>
      <c r="J8" s="59">
        <f t="shared" si="4"/>
        <v>0</v>
      </c>
      <c r="K8" s="59">
        <f t="shared" si="7"/>
        <v>0</v>
      </c>
      <c r="L8" s="177"/>
      <c r="M8" s="238" t="str">
        <f t="shared" si="8"/>
        <v xml:space="preserve"> </v>
      </c>
      <c r="N8" s="70">
        <f t="shared" si="9"/>
        <v>0</v>
      </c>
      <c r="O8" s="70">
        <f t="shared" si="10"/>
        <v>0</v>
      </c>
      <c r="P8" s="59">
        <f t="shared" si="11"/>
        <v>0</v>
      </c>
      <c r="Q8" s="59">
        <f t="shared" si="12"/>
        <v>0</v>
      </c>
      <c r="R8" s="68">
        <f t="shared" si="13"/>
        <v>0</v>
      </c>
      <c r="S8" s="59">
        <f t="shared" si="14"/>
        <v>0</v>
      </c>
      <c r="T8" s="59">
        <f t="shared" si="15"/>
        <v>0</v>
      </c>
      <c r="U8" s="59">
        <f t="shared" si="16"/>
        <v>0</v>
      </c>
    </row>
    <row r="9" spans="1:21" x14ac:dyDescent="0.2">
      <c r="A9" s="274"/>
      <c r="B9" s="174"/>
      <c r="C9" s="237" t="str">
        <f t="shared" si="0"/>
        <v xml:space="preserve"> </v>
      </c>
      <c r="D9" s="53">
        <f t="shared" si="1"/>
        <v>0</v>
      </c>
      <c r="E9" s="70">
        <f t="shared" si="2"/>
        <v>0</v>
      </c>
      <c r="F9" s="53">
        <v>1</v>
      </c>
      <c r="G9" s="70">
        <f t="shared" si="5"/>
        <v>0</v>
      </c>
      <c r="H9" s="59">
        <f t="shared" si="3"/>
        <v>0</v>
      </c>
      <c r="I9" s="59">
        <f t="shared" si="6"/>
        <v>0</v>
      </c>
      <c r="J9" s="59">
        <f t="shared" si="4"/>
        <v>0</v>
      </c>
      <c r="K9" s="59">
        <f t="shared" si="7"/>
        <v>0</v>
      </c>
      <c r="L9" s="177"/>
      <c r="M9" s="238" t="str">
        <f t="shared" si="8"/>
        <v xml:space="preserve"> </v>
      </c>
      <c r="N9" s="70">
        <f t="shared" si="9"/>
        <v>0</v>
      </c>
      <c r="O9" s="70">
        <f t="shared" si="10"/>
        <v>0</v>
      </c>
      <c r="P9" s="59">
        <f t="shared" si="11"/>
        <v>0</v>
      </c>
      <c r="Q9" s="59">
        <f t="shared" si="12"/>
        <v>0</v>
      </c>
      <c r="R9" s="68">
        <f t="shared" si="13"/>
        <v>0</v>
      </c>
      <c r="S9" s="59">
        <f t="shared" si="14"/>
        <v>0</v>
      </c>
      <c r="T9" s="59">
        <f t="shared" si="15"/>
        <v>0</v>
      </c>
      <c r="U9" s="59">
        <f t="shared" si="16"/>
        <v>0</v>
      </c>
    </row>
    <row r="10" spans="1:21" x14ac:dyDescent="0.2">
      <c r="A10" s="273"/>
      <c r="B10" s="202"/>
      <c r="C10" s="237" t="str">
        <f t="shared" si="0"/>
        <v xml:space="preserve"> </v>
      </c>
      <c r="D10" s="53">
        <f t="shared" si="1"/>
        <v>0</v>
      </c>
      <c r="E10" s="70">
        <f t="shared" si="2"/>
        <v>0</v>
      </c>
      <c r="F10" s="71">
        <v>1</v>
      </c>
      <c r="G10" s="70">
        <f t="shared" si="5"/>
        <v>0</v>
      </c>
      <c r="H10" s="59">
        <f t="shared" si="3"/>
        <v>0</v>
      </c>
      <c r="I10" s="59">
        <f t="shared" si="6"/>
        <v>0</v>
      </c>
      <c r="J10" s="59">
        <f t="shared" si="4"/>
        <v>0</v>
      </c>
      <c r="K10" s="59">
        <f t="shared" si="7"/>
        <v>0</v>
      </c>
      <c r="L10" s="177"/>
      <c r="M10" s="238" t="str">
        <f t="shared" si="8"/>
        <v xml:space="preserve"> </v>
      </c>
      <c r="N10" s="70">
        <f t="shared" si="9"/>
        <v>0</v>
      </c>
      <c r="O10" s="70">
        <f t="shared" si="10"/>
        <v>0</v>
      </c>
      <c r="P10" s="59">
        <f t="shared" si="11"/>
        <v>0</v>
      </c>
      <c r="Q10" s="59">
        <f t="shared" si="12"/>
        <v>0</v>
      </c>
      <c r="R10" s="155">
        <f t="shared" si="13"/>
        <v>0</v>
      </c>
      <c r="S10" s="59">
        <f t="shared" si="14"/>
        <v>0</v>
      </c>
      <c r="T10" s="59">
        <f t="shared" si="15"/>
        <v>0</v>
      </c>
      <c r="U10" s="59">
        <f t="shared" si="16"/>
        <v>0</v>
      </c>
    </row>
    <row r="11" spans="1:21" x14ac:dyDescent="0.2">
      <c r="A11" s="72"/>
      <c r="B11" s="72"/>
      <c r="C11" s="72"/>
      <c r="D11" s="72"/>
      <c r="E11" s="72"/>
      <c r="F11" s="72"/>
      <c r="G11" s="73">
        <f>SUM(G3:G10)</f>
        <v>0.24806162464985992</v>
      </c>
      <c r="H11" s="72"/>
      <c r="I11" s="75"/>
      <c r="J11" s="72"/>
      <c r="K11" s="75"/>
      <c r="L11" s="72"/>
      <c r="M11" s="72"/>
      <c r="N11" s="72"/>
      <c r="O11" s="73">
        <f>SUM(O3:O10)</f>
        <v>2.5316526644257697</v>
      </c>
      <c r="P11" s="72"/>
      <c r="Q11" s="75"/>
      <c r="R11" s="75">
        <f>SUM(R3:R10)</f>
        <v>8.6506992647058816</v>
      </c>
      <c r="S11" s="72"/>
      <c r="T11" s="75"/>
      <c r="U11" s="75">
        <f>SUM(U3:U10)</f>
        <v>41.772831823809526</v>
      </c>
    </row>
    <row r="12" spans="1:21" x14ac:dyDescent="0.2">
      <c r="B12" s="156" t="s">
        <v>453</v>
      </c>
      <c r="C12" s="156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: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F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.33203125" style="1" bestFit="1" customWidth="1"/>
    <col min="2" max="2" width="35.5" style="1" bestFit="1" customWidth="1"/>
    <col min="3" max="3" width="3.5" style="168" bestFit="1" customWidth="1"/>
    <col min="4" max="4" width="2.33203125" style="168" bestFit="1" customWidth="1"/>
    <col min="5" max="5" width="14.5" style="164" bestFit="1" customWidth="1"/>
    <col min="6" max="6" width="9.6640625" style="164" bestFit="1" customWidth="1"/>
    <col min="7" max="7" width="19.1640625" style="164" bestFit="1" customWidth="1"/>
    <col min="8" max="8" width="7.5" style="30" bestFit="1" customWidth="1"/>
    <col min="9" max="10" width="5.5" style="1" bestFit="1" customWidth="1"/>
    <col min="11" max="11" width="3.33203125" style="1" bestFit="1" customWidth="1"/>
    <col min="12" max="12" width="8.1640625" style="4" bestFit="1" customWidth="1"/>
    <col min="13" max="13" width="5.6640625" style="1" bestFit="1" customWidth="1"/>
    <col min="14" max="14" width="6.33203125" style="1" bestFit="1" customWidth="1"/>
    <col min="15" max="15" width="6" style="1" bestFit="1" customWidth="1"/>
    <col min="16" max="16" width="6.33203125" style="1" bestFit="1" customWidth="1"/>
    <col min="17" max="17" width="5.33203125" style="1" bestFit="1" customWidth="1"/>
    <col min="18" max="18" width="6" style="1" bestFit="1" customWidth="1"/>
    <col min="19" max="20" width="5.5" style="1" bestFit="1" customWidth="1"/>
    <col min="21" max="21" width="4.33203125" style="1" bestFit="1" customWidth="1"/>
    <col min="22" max="22" width="11.1640625" style="3" bestFit="1" customWidth="1"/>
    <col min="23" max="23" width="8.5" style="1" bestFit="1" customWidth="1"/>
    <col min="24" max="24" width="9.5" style="2" bestFit="1" customWidth="1"/>
    <col min="25" max="25" width="8.5" style="1" bestFit="1" customWidth="1"/>
    <col min="26" max="27" width="9.5" style="1" bestFit="1" customWidth="1"/>
    <col min="28" max="28" width="10.5" style="1" bestFit="1" customWidth="1"/>
    <col min="29" max="32" width="9.5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77" t="s">
        <v>467</v>
      </c>
      <c r="B1" s="278"/>
      <c r="C1" s="279" t="s">
        <v>132</v>
      </c>
      <c r="D1" s="280"/>
      <c r="E1" s="280"/>
      <c r="F1" s="219">
        <v>0.09</v>
      </c>
    </row>
    <row r="2" spans="1:35" ht="16" thickBot="1" x14ac:dyDescent="0.25">
      <c r="C2" s="281" t="s">
        <v>131</v>
      </c>
      <c r="D2" s="282"/>
      <c r="E2" s="282"/>
      <c r="F2" s="220">
        <v>2.4E-2</v>
      </c>
      <c r="G2" s="163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218"/>
      <c r="E3" s="1"/>
      <c r="R3" s="275" t="s">
        <v>130</v>
      </c>
      <c r="S3" s="275"/>
      <c r="T3" s="275"/>
      <c r="U3" s="275"/>
      <c r="V3" s="275"/>
      <c r="W3" s="275"/>
      <c r="X3" s="276" t="s">
        <v>129</v>
      </c>
      <c r="Y3" s="276"/>
    </row>
    <row r="4" spans="1:35" s="15" customFormat="1" ht="11" x14ac:dyDescent="0.15">
      <c r="A4" s="26"/>
      <c r="B4" s="26" t="s">
        <v>127</v>
      </c>
      <c r="C4" s="165" t="s">
        <v>128</v>
      </c>
      <c r="D4" s="166" t="s">
        <v>460</v>
      </c>
      <c r="E4" s="167" t="s">
        <v>126</v>
      </c>
      <c r="F4" s="167" t="s">
        <v>125</v>
      </c>
      <c r="G4" s="167" t="s">
        <v>461</v>
      </c>
      <c r="H4" s="17" t="s">
        <v>124</v>
      </c>
      <c r="I4" s="25" t="s">
        <v>123</v>
      </c>
      <c r="J4" s="24" t="s">
        <v>122</v>
      </c>
      <c r="K4" s="17" t="s">
        <v>121</v>
      </c>
      <c r="L4" s="23" t="s">
        <v>120</v>
      </c>
      <c r="M4" s="17" t="s">
        <v>119</v>
      </c>
      <c r="N4" s="17" t="s">
        <v>118</v>
      </c>
      <c r="O4" s="17" t="s">
        <v>117</v>
      </c>
      <c r="P4" s="17" t="s">
        <v>116</v>
      </c>
      <c r="Q4" s="18" t="s">
        <v>115</v>
      </c>
      <c r="R4" s="21" t="s">
        <v>114</v>
      </c>
      <c r="S4" s="21" t="s">
        <v>113</v>
      </c>
      <c r="T4" s="21" t="s">
        <v>112</v>
      </c>
      <c r="U4" s="21" t="s">
        <v>111</v>
      </c>
      <c r="V4" s="22" t="s">
        <v>110</v>
      </c>
      <c r="W4" s="21" t="s">
        <v>109</v>
      </c>
      <c r="X4" s="20" t="s">
        <v>108</v>
      </c>
      <c r="Y4" s="19" t="s">
        <v>107</v>
      </c>
      <c r="Z4" s="18" t="s">
        <v>106</v>
      </c>
      <c r="AA4" s="18" t="s">
        <v>105</v>
      </c>
      <c r="AB4" s="18" t="s">
        <v>104</v>
      </c>
      <c r="AC4" s="18" t="s">
        <v>103</v>
      </c>
      <c r="AD4" s="17" t="s">
        <v>102</v>
      </c>
      <c r="AE4" s="17" t="s">
        <v>101</v>
      </c>
      <c r="AF4" s="17" t="s">
        <v>100</v>
      </c>
      <c r="AI4" s="16"/>
    </row>
    <row r="5" spans="1:35" x14ac:dyDescent="0.2">
      <c r="A5" s="245">
        <v>65</v>
      </c>
      <c r="B5" s="1" t="str">
        <f t="shared" ref="B5:B68" si="0">CONCATENATE(C5,D5,E5,F5)</f>
        <v>0.01, Bed-Disk  (Hipper)  4R-36</v>
      </c>
      <c r="C5" s="168">
        <v>0.01</v>
      </c>
      <c r="D5" s="164" t="s">
        <v>459</v>
      </c>
      <c r="E5" s="164" t="s">
        <v>478</v>
      </c>
      <c r="F5" s="164" t="s">
        <v>201</v>
      </c>
      <c r="G5" s="164" t="str">
        <f t="shared" ref="G5:G68" si="1">CONCATENATE(E5,F5)</f>
        <v>Bed-Disk  (Hipper)  4R-36</v>
      </c>
      <c r="H5" s="30">
        <v>8800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182.64778592895237</v>
      </c>
      <c r="W5" s="9">
        <f t="shared" ref="W5:W68" si="5">V5/P5</f>
        <v>1.1415486620559523</v>
      </c>
      <c r="X5" s="8">
        <f t="shared" ref="X5:X68" si="6">(H5*N5/100)/O5</f>
        <v>352</v>
      </c>
      <c r="Y5" s="7">
        <f t="shared" ref="Y5:Y68" si="7">X5/P5</f>
        <v>2.2000000000000002</v>
      </c>
      <c r="Z5" s="2">
        <f t="shared" ref="Z5:Z68" si="8">H5*M5/100</f>
        <v>2640</v>
      </c>
      <c r="AA5" s="2">
        <f t="shared" ref="AA5:AA68" si="9">(H5-Z5)/O5</f>
        <v>616</v>
      </c>
      <c r="AB5" s="2">
        <f t="shared" ref="AB5:AB68" si="10">(Z5+H5)/2</f>
        <v>5720</v>
      </c>
      <c r="AC5" s="6">
        <f t="shared" ref="AC5:AC68" si="11">AB5*intir</f>
        <v>514.79999999999995</v>
      </c>
      <c r="AD5" s="6">
        <f t="shared" ref="AD5:AD68" si="12">AB5*itr</f>
        <v>137.28</v>
      </c>
      <c r="AE5" s="6">
        <f t="shared" ref="AE5:AE68" si="13">AA5+AC5+AD5</f>
        <v>1268.08</v>
      </c>
      <c r="AF5" s="5">
        <f t="shared" ref="AF5:AF68" si="14">AE5/P5</f>
        <v>7.9254999999999995</v>
      </c>
      <c r="AG5" s="1">
        <v>8015.4999999999991</v>
      </c>
    </row>
    <row r="6" spans="1:35" x14ac:dyDescent="0.2">
      <c r="A6" s="245">
        <v>66</v>
      </c>
      <c r="B6" s="1" t="str">
        <f t="shared" si="0"/>
        <v>0.02, Bed-Disk  (Hipper)  6R-30</v>
      </c>
      <c r="C6" s="168">
        <v>0.02</v>
      </c>
      <c r="D6" s="164" t="s">
        <v>459</v>
      </c>
      <c r="E6" s="164" t="s">
        <v>478</v>
      </c>
      <c r="F6" s="164" t="s">
        <v>53</v>
      </c>
      <c r="G6" s="164" t="str">
        <f t="shared" si="1"/>
        <v>Bed-Disk  (Hipper)  6R-30</v>
      </c>
      <c r="H6" s="30">
        <v>15100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313.40699630990696</v>
      </c>
      <c r="W6" s="9">
        <f t="shared" si="5"/>
        <v>1.9587937269369184</v>
      </c>
      <c r="X6" s="8">
        <f t="shared" si="6"/>
        <v>604</v>
      </c>
      <c r="Y6" s="7">
        <f t="shared" si="7"/>
        <v>3.7749999999999999</v>
      </c>
      <c r="Z6" s="2">
        <f t="shared" si="8"/>
        <v>4530</v>
      </c>
      <c r="AA6" s="2">
        <f t="shared" si="9"/>
        <v>1057</v>
      </c>
      <c r="AB6" s="2">
        <f t="shared" si="10"/>
        <v>9815</v>
      </c>
      <c r="AC6" s="6">
        <f t="shared" si="11"/>
        <v>883.35</v>
      </c>
      <c r="AD6" s="6">
        <f t="shared" si="12"/>
        <v>235.56</v>
      </c>
      <c r="AE6" s="6">
        <f t="shared" si="13"/>
        <v>2175.91</v>
      </c>
      <c r="AF6" s="5">
        <f t="shared" si="14"/>
        <v>13.599437499999999</v>
      </c>
      <c r="AG6" s="223">
        <v>13119.999999999998</v>
      </c>
    </row>
    <row r="7" spans="1:35" x14ac:dyDescent="0.2">
      <c r="A7" s="245">
        <v>67</v>
      </c>
      <c r="B7" s="1" t="str">
        <f t="shared" si="0"/>
        <v>0.03, Bed-Disk  (Hipper)  6R-36</v>
      </c>
      <c r="C7" s="168">
        <v>0.03</v>
      </c>
      <c r="D7" s="164" t="s">
        <v>459</v>
      </c>
      <c r="E7" s="164" t="s">
        <v>478</v>
      </c>
      <c r="F7" s="164" t="s">
        <v>202</v>
      </c>
      <c r="G7" s="164" t="str">
        <f t="shared" si="1"/>
        <v>Bed-Disk  (Hipper)  6R-36</v>
      </c>
      <c r="H7" s="30">
        <v>15100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313.40699630990696</v>
      </c>
      <c r="W7" s="9">
        <f t="shared" si="5"/>
        <v>1.9587937269369184</v>
      </c>
      <c r="X7" s="8">
        <f t="shared" si="6"/>
        <v>604</v>
      </c>
      <c r="Y7" s="7">
        <f t="shared" si="7"/>
        <v>3.7749999999999999</v>
      </c>
      <c r="Z7" s="2">
        <f t="shared" si="8"/>
        <v>4530</v>
      </c>
      <c r="AA7" s="2">
        <f t="shared" si="9"/>
        <v>1057</v>
      </c>
      <c r="AB7" s="2">
        <f t="shared" si="10"/>
        <v>9815</v>
      </c>
      <c r="AC7" s="6">
        <f t="shared" si="11"/>
        <v>883.35</v>
      </c>
      <c r="AD7" s="6">
        <f t="shared" si="12"/>
        <v>235.56</v>
      </c>
      <c r="AE7" s="6">
        <f t="shared" si="13"/>
        <v>2175.91</v>
      </c>
      <c r="AF7" s="5">
        <f t="shared" si="14"/>
        <v>13.599437499999999</v>
      </c>
      <c r="AG7" s="223">
        <v>13837.499999999998</v>
      </c>
    </row>
    <row r="8" spans="1:35" x14ac:dyDescent="0.2">
      <c r="A8" s="245">
        <v>68</v>
      </c>
      <c r="B8" s="1" t="str">
        <f t="shared" si="0"/>
        <v>0.04, Bed-Disk  (Hipper)  8R-30</v>
      </c>
      <c r="C8" s="168">
        <v>0.04</v>
      </c>
      <c r="D8" s="164" t="s">
        <v>459</v>
      </c>
      <c r="E8" s="164" t="s">
        <v>478</v>
      </c>
      <c r="F8" s="164" t="s">
        <v>25</v>
      </c>
      <c r="G8" s="164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  <c r="AG8" s="223">
        <v>17835</v>
      </c>
    </row>
    <row r="9" spans="1:35" x14ac:dyDescent="0.2">
      <c r="A9" s="245">
        <v>70</v>
      </c>
      <c r="B9" s="1" t="str">
        <f t="shared" si="0"/>
        <v>0.05, Bed-Disk  (Hipper) 10R-30</v>
      </c>
      <c r="C9" s="168">
        <v>0.05</v>
      </c>
      <c r="D9" s="164" t="s">
        <v>459</v>
      </c>
      <c r="E9" s="164" t="s">
        <v>478</v>
      </c>
      <c r="F9" s="164" t="s">
        <v>24</v>
      </c>
      <c r="G9" s="164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  <c r="AG9" s="223">
        <v>20397.5</v>
      </c>
    </row>
    <row r="10" spans="1:35" x14ac:dyDescent="0.2">
      <c r="A10" s="245">
        <v>298</v>
      </c>
      <c r="B10" s="1" t="str">
        <f t="shared" si="0"/>
        <v>0.06, Bed-Disk  (Hipper) 12R-30</v>
      </c>
      <c r="C10" s="168">
        <v>0.06</v>
      </c>
      <c r="D10" s="164" t="s">
        <v>459</v>
      </c>
      <c r="E10" s="164" t="s">
        <v>478</v>
      </c>
      <c r="F10" s="164" t="s">
        <v>6</v>
      </c>
      <c r="G10" s="164" t="str">
        <f t="shared" si="1"/>
        <v>Bed-Disk  (Hipper) 12R-30</v>
      </c>
      <c r="H10" s="30">
        <v>30700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637.19170772941345</v>
      </c>
      <c r="W10" s="9">
        <f t="shared" si="5"/>
        <v>3.9824481733088342</v>
      </c>
      <c r="X10" s="8">
        <f t="shared" si="6"/>
        <v>1228</v>
      </c>
      <c r="Y10" s="7">
        <f t="shared" si="7"/>
        <v>7.6749999999999998</v>
      </c>
      <c r="Z10" s="2">
        <f t="shared" si="8"/>
        <v>9210</v>
      </c>
      <c r="AA10" s="2">
        <f t="shared" si="9"/>
        <v>2149</v>
      </c>
      <c r="AB10" s="2">
        <f t="shared" si="10"/>
        <v>19955</v>
      </c>
      <c r="AC10" s="6">
        <f t="shared" si="11"/>
        <v>1795.95</v>
      </c>
      <c r="AD10" s="6">
        <f t="shared" si="12"/>
        <v>478.92</v>
      </c>
      <c r="AE10" s="6">
        <f t="shared" si="13"/>
        <v>4423.87</v>
      </c>
      <c r="AF10" s="5">
        <f t="shared" si="14"/>
        <v>27.6491875</v>
      </c>
      <c r="AG10" s="223">
        <v>29827.499999999996</v>
      </c>
    </row>
    <row r="11" spans="1:35" x14ac:dyDescent="0.2">
      <c r="A11" s="245">
        <v>71</v>
      </c>
      <c r="B11" s="1" t="str">
        <f t="shared" si="0"/>
        <v>0.07, Bed-Disk  (Hipper) 10R-36</v>
      </c>
      <c r="C11" s="168">
        <v>7.0000000000000007E-2</v>
      </c>
      <c r="D11" s="164" t="s">
        <v>459</v>
      </c>
      <c r="E11" s="164" t="s">
        <v>478</v>
      </c>
      <c r="F11" s="164" t="s">
        <v>204</v>
      </c>
      <c r="G11" s="164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  <c r="AG11" s="223">
        <v>23677.499999999996</v>
      </c>
    </row>
    <row r="12" spans="1:35" x14ac:dyDescent="0.2">
      <c r="A12" s="245">
        <v>240</v>
      </c>
      <c r="B12" s="1" t="str">
        <f t="shared" si="0"/>
        <v>0.08, Bed-Disk  (Hipper)  8R-36 2x1</v>
      </c>
      <c r="C12" s="168">
        <v>0.08</v>
      </c>
      <c r="D12" s="164" t="s">
        <v>459</v>
      </c>
      <c r="E12" s="164" t="s">
        <v>478</v>
      </c>
      <c r="F12" s="164" t="s">
        <v>203</v>
      </c>
      <c r="G12" s="164" t="str">
        <f t="shared" si="1"/>
        <v>Bed-Disk  (Hipper)  8R-36 2x1</v>
      </c>
      <c r="H12" s="30">
        <v>33600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697.38245536509089</v>
      </c>
      <c r="W12" s="9">
        <f t="shared" si="5"/>
        <v>4.3586403460318177</v>
      </c>
      <c r="X12" s="8">
        <f t="shared" si="6"/>
        <v>1344</v>
      </c>
      <c r="Y12" s="7">
        <f t="shared" si="7"/>
        <v>8.4</v>
      </c>
      <c r="Z12" s="2">
        <f t="shared" si="8"/>
        <v>10080</v>
      </c>
      <c r="AA12" s="2">
        <f t="shared" si="9"/>
        <v>2352</v>
      </c>
      <c r="AB12" s="2">
        <f t="shared" si="10"/>
        <v>21840</v>
      </c>
      <c r="AC12" s="6">
        <f t="shared" si="11"/>
        <v>1965.6</v>
      </c>
      <c r="AD12" s="6">
        <f t="shared" si="12"/>
        <v>524.16</v>
      </c>
      <c r="AE12" s="6">
        <f t="shared" si="13"/>
        <v>4841.76</v>
      </c>
      <c r="AF12" s="5">
        <f t="shared" si="14"/>
        <v>30.261000000000003</v>
      </c>
      <c r="AG12" s="223">
        <v>32697.499999999996</v>
      </c>
    </row>
    <row r="13" spans="1:35" x14ac:dyDescent="0.2">
      <c r="A13" s="245">
        <v>241</v>
      </c>
      <c r="B13" s="1" t="str">
        <f t="shared" si="0"/>
        <v>0.09, Bed-Disk  (Hipper) 12R-36</v>
      </c>
      <c r="C13" s="168">
        <v>0.09</v>
      </c>
      <c r="D13" s="164" t="s">
        <v>459</v>
      </c>
      <c r="E13" s="164" t="s">
        <v>478</v>
      </c>
      <c r="F13" s="164" t="s">
        <v>200</v>
      </c>
      <c r="G13" s="164" t="str">
        <f t="shared" si="1"/>
        <v>Bed-Disk  (Hipper) 12R-36</v>
      </c>
      <c r="H13" s="30">
        <v>33600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697.38245536509089</v>
      </c>
      <c r="W13" s="9">
        <f t="shared" si="5"/>
        <v>4.3586403460318177</v>
      </c>
      <c r="X13" s="8">
        <f t="shared" si="6"/>
        <v>1344</v>
      </c>
      <c r="Y13" s="7">
        <f t="shared" si="7"/>
        <v>8.4</v>
      </c>
      <c r="Z13" s="2">
        <f t="shared" si="8"/>
        <v>10080</v>
      </c>
      <c r="AA13" s="2">
        <f t="shared" si="9"/>
        <v>2352</v>
      </c>
      <c r="AB13" s="2">
        <f t="shared" si="10"/>
        <v>21840</v>
      </c>
      <c r="AC13" s="6">
        <f t="shared" si="11"/>
        <v>1965.6</v>
      </c>
      <c r="AD13" s="6">
        <f t="shared" si="12"/>
        <v>524.16</v>
      </c>
      <c r="AE13" s="6">
        <f t="shared" si="13"/>
        <v>4841.76</v>
      </c>
      <c r="AF13" s="5">
        <f t="shared" si="14"/>
        <v>30.261000000000003</v>
      </c>
      <c r="AG13" s="223">
        <v>32697.499999999996</v>
      </c>
    </row>
    <row r="14" spans="1:35" x14ac:dyDescent="0.2">
      <c r="A14" s="245">
        <v>411</v>
      </c>
      <c r="B14" s="1" t="str">
        <f t="shared" si="0"/>
        <v>0.1, Bed-Disk  (Hipper) Fl  8R-36</v>
      </c>
      <c r="C14" s="168">
        <v>0.1</v>
      </c>
      <c r="D14" s="164" t="s">
        <v>459</v>
      </c>
      <c r="E14" s="164" t="s">
        <v>479</v>
      </c>
      <c r="F14" s="164" t="s">
        <v>199</v>
      </c>
      <c r="G14" s="164" t="str">
        <f t="shared" si="1"/>
        <v>Bed-Disk  (Hipper) Fl  8R-36</v>
      </c>
      <c r="H14" s="30">
        <v>20200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419.25969042782248</v>
      </c>
      <c r="W14" s="9">
        <f t="shared" si="5"/>
        <v>2.6203730651738906</v>
      </c>
      <c r="X14" s="8">
        <f t="shared" si="6"/>
        <v>808</v>
      </c>
      <c r="Y14" s="7">
        <f t="shared" si="7"/>
        <v>5.05</v>
      </c>
      <c r="Z14" s="2">
        <f t="shared" si="8"/>
        <v>6060</v>
      </c>
      <c r="AA14" s="2">
        <f t="shared" si="9"/>
        <v>1414</v>
      </c>
      <c r="AB14" s="2">
        <f t="shared" si="10"/>
        <v>13130</v>
      </c>
      <c r="AC14" s="6">
        <f t="shared" si="11"/>
        <v>1181.7</v>
      </c>
      <c r="AD14" s="6">
        <f t="shared" si="12"/>
        <v>315.12</v>
      </c>
      <c r="AE14" s="6">
        <f t="shared" si="13"/>
        <v>2910.8199999999997</v>
      </c>
      <c r="AF14" s="5">
        <f t="shared" si="14"/>
        <v>18.192625</v>
      </c>
      <c r="AG14" s="223">
        <v>21832.499999999996</v>
      </c>
    </row>
    <row r="15" spans="1:35" x14ac:dyDescent="0.2">
      <c r="A15" s="245">
        <v>69</v>
      </c>
      <c r="B15" s="1" t="str">
        <f t="shared" si="0"/>
        <v>0.11, Bed-Disk  (Hipper) Rd  8R-36</v>
      </c>
      <c r="C15" s="168">
        <v>0.11</v>
      </c>
      <c r="D15" s="164" t="s">
        <v>459</v>
      </c>
      <c r="E15" s="164" t="s">
        <v>480</v>
      </c>
      <c r="F15" s="164" t="s">
        <v>199</v>
      </c>
      <c r="G15" s="164" t="str">
        <f t="shared" si="1"/>
        <v>Bed-Disk  (Hipper) Rd  8R-36</v>
      </c>
      <c r="H15" s="30">
        <v>27400</v>
      </c>
      <c r="I15" s="1">
        <v>24</v>
      </c>
      <c r="J15" s="223">
        <v>5.5</v>
      </c>
      <c r="K15" s="223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568.69878800605636</v>
      </c>
      <c r="W15" s="9">
        <f t="shared" si="5"/>
        <v>3.5543674250378521</v>
      </c>
      <c r="X15" s="8">
        <f t="shared" si="6"/>
        <v>1096</v>
      </c>
      <c r="Y15" s="7">
        <f t="shared" si="7"/>
        <v>6.85</v>
      </c>
      <c r="Z15" s="2">
        <f t="shared" si="8"/>
        <v>8220</v>
      </c>
      <c r="AA15" s="2">
        <f t="shared" si="9"/>
        <v>1918</v>
      </c>
      <c r="AB15" s="2">
        <f t="shared" si="10"/>
        <v>17810</v>
      </c>
      <c r="AC15" s="6">
        <f t="shared" si="11"/>
        <v>1602.8999999999999</v>
      </c>
      <c r="AD15" s="6">
        <f t="shared" si="12"/>
        <v>427.44</v>
      </c>
      <c r="AE15" s="6">
        <f t="shared" si="13"/>
        <v>3948.3399999999997</v>
      </c>
      <c r="AF15" s="5">
        <f t="shared" si="14"/>
        <v>24.677124999999997</v>
      </c>
      <c r="AG15" s="223">
        <v>20295</v>
      </c>
    </row>
    <row r="16" spans="1:35" x14ac:dyDescent="0.2">
      <c r="A16" s="245">
        <v>611</v>
      </c>
      <c r="B16" s="1" t="str">
        <f t="shared" si="0"/>
        <v>0.12, Bed-Disk  w/roller 8R-30</v>
      </c>
      <c r="C16" s="168">
        <v>0.12</v>
      </c>
      <c r="D16" s="164" t="s">
        <v>459</v>
      </c>
      <c r="E16" s="164" t="s">
        <v>476</v>
      </c>
      <c r="F16" s="164" t="s">
        <v>25</v>
      </c>
      <c r="G16" s="164" t="str">
        <f t="shared" si="1"/>
        <v>Bed-Disk  w/roller 8R-30</v>
      </c>
      <c r="H16" s="30">
        <v>22880.129999999997</v>
      </c>
      <c r="I16" s="1">
        <v>20</v>
      </c>
      <c r="J16" s="223">
        <v>5.5</v>
      </c>
      <c r="K16" s="223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  <c r="AG16" s="223">
        <v>22652.499999999996</v>
      </c>
    </row>
    <row r="17" spans="1:35" x14ac:dyDescent="0.2">
      <c r="A17" s="245">
        <v>732</v>
      </c>
      <c r="B17" s="1" t="str">
        <f t="shared" si="0"/>
        <v>0.13, Bed-Disk  w/roller 8R-36</v>
      </c>
      <c r="C17" s="168">
        <v>0.13</v>
      </c>
      <c r="D17" s="164" t="s">
        <v>459</v>
      </c>
      <c r="E17" s="164" t="s">
        <v>476</v>
      </c>
      <c r="F17" s="164" t="s">
        <v>199</v>
      </c>
      <c r="G17" s="164" t="str">
        <f t="shared" si="1"/>
        <v>Bed-Disk  w/roller 8R-36</v>
      </c>
      <c r="H17" s="30">
        <v>26296.62</v>
      </c>
      <c r="I17" s="1">
        <v>24</v>
      </c>
      <c r="J17" s="223">
        <v>5.5</v>
      </c>
      <c r="K17" s="223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  <c r="AG17" s="223">
        <v>26034.999999999996</v>
      </c>
    </row>
    <row r="18" spans="1:35" x14ac:dyDescent="0.2">
      <c r="A18" s="245">
        <v>301</v>
      </c>
      <c r="B18" s="1" t="str">
        <f t="shared" si="0"/>
        <v>0.14, Bed-Disk  w/roller 12R-30</v>
      </c>
      <c r="C18" s="168">
        <v>0.14000000000000001</v>
      </c>
      <c r="D18" s="164" t="s">
        <v>459</v>
      </c>
      <c r="E18" s="164" t="s">
        <v>476</v>
      </c>
      <c r="F18" s="164" t="s">
        <v>477</v>
      </c>
      <c r="G18" s="164" t="str">
        <f t="shared" si="1"/>
        <v>Bed-Disk  w/roller 12R-30</v>
      </c>
      <c r="H18" s="30">
        <v>48866.159999999996</v>
      </c>
      <c r="I18" s="1">
        <v>30</v>
      </c>
      <c r="J18" s="223">
        <v>5.5</v>
      </c>
      <c r="K18" s="223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  <c r="AG18" s="223">
        <v>48379.999999999993</v>
      </c>
    </row>
    <row r="19" spans="1:35" x14ac:dyDescent="0.2">
      <c r="A19" s="245">
        <v>594</v>
      </c>
      <c r="B19" s="1" t="str">
        <f t="shared" si="0"/>
        <v>0.15, Bed-Middle Buster 4R-36</v>
      </c>
      <c r="C19" s="168">
        <v>0.15</v>
      </c>
      <c r="D19" s="164" t="s">
        <v>459</v>
      </c>
      <c r="E19" s="164" t="s">
        <v>481</v>
      </c>
      <c r="F19" s="164" t="s">
        <v>201</v>
      </c>
      <c r="G19" s="164" t="str">
        <f t="shared" si="1"/>
        <v>Bed-Middle Buster 4R-36</v>
      </c>
      <c r="H19" s="30">
        <v>18842.46</v>
      </c>
      <c r="I19" s="1">
        <v>10</v>
      </c>
      <c r="J19" s="223">
        <v>4.25</v>
      </c>
      <c r="K19" s="223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  <c r="AG19" s="223">
        <v>18655</v>
      </c>
    </row>
    <row r="20" spans="1:35" x14ac:dyDescent="0.2">
      <c r="A20" s="245">
        <v>119</v>
      </c>
      <c r="B20" s="1" t="str">
        <f t="shared" si="0"/>
        <v>0.16, Bed-Middle Buster 6R-36</v>
      </c>
      <c r="C20" s="168">
        <v>0.16</v>
      </c>
      <c r="D20" s="164" t="s">
        <v>459</v>
      </c>
      <c r="E20" s="164" t="s">
        <v>481</v>
      </c>
      <c r="F20" s="164" t="s">
        <v>202</v>
      </c>
      <c r="G20" s="164" t="str">
        <f t="shared" si="1"/>
        <v>Bed-Middle Buster 6R-36</v>
      </c>
      <c r="H20" s="30">
        <v>16047.149999999998</v>
      </c>
      <c r="I20" s="1">
        <v>18</v>
      </c>
      <c r="J20" s="223">
        <v>4.25</v>
      </c>
      <c r="K20" s="223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  <c r="AG20" s="223">
        <v>15887.499999999998</v>
      </c>
    </row>
    <row r="21" spans="1:35" s="13" customFormat="1" x14ac:dyDescent="0.2">
      <c r="A21" s="245">
        <v>120</v>
      </c>
      <c r="B21" s="1" t="str">
        <f t="shared" si="0"/>
        <v>0.17, Bed-Middle Buster 8R-30</v>
      </c>
      <c r="C21" s="168">
        <v>0.17</v>
      </c>
      <c r="D21" s="164" t="s">
        <v>459</v>
      </c>
      <c r="E21" s="164" t="s">
        <v>481</v>
      </c>
      <c r="F21" s="164" t="s">
        <v>25</v>
      </c>
      <c r="G21" s="164" t="str">
        <f t="shared" si="1"/>
        <v>Bed-Middle Buster 8R-30</v>
      </c>
      <c r="H21" s="251">
        <v>23190.719999999998</v>
      </c>
      <c r="I21" s="223">
        <v>20</v>
      </c>
      <c r="J21" s="223">
        <v>4.25</v>
      </c>
      <c r="K21" s="223">
        <v>85</v>
      </c>
      <c r="L21" s="224">
        <f t="shared" si="2"/>
        <v>0.11418685121107267</v>
      </c>
      <c r="M21" s="223">
        <v>35</v>
      </c>
      <c r="N21" s="223">
        <v>30</v>
      </c>
      <c r="O21" s="223">
        <v>8</v>
      </c>
      <c r="P21" s="223">
        <v>160</v>
      </c>
      <c r="Q21" s="223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223">
        <v>22959.999999999996</v>
      </c>
      <c r="AH21" s="223"/>
      <c r="AI21" s="223"/>
    </row>
    <row r="22" spans="1:35" x14ac:dyDescent="0.2">
      <c r="A22" s="245">
        <v>121</v>
      </c>
      <c r="B22" s="1" t="str">
        <f t="shared" si="0"/>
        <v>0.18, Bed-Middle Buster 8R-36</v>
      </c>
      <c r="C22" s="168">
        <v>0.18</v>
      </c>
      <c r="D22" s="164" t="s">
        <v>459</v>
      </c>
      <c r="E22" s="164" t="s">
        <v>481</v>
      </c>
      <c r="F22" s="164" t="s">
        <v>199</v>
      </c>
      <c r="G22" s="164" t="str">
        <f t="shared" si="1"/>
        <v>Bed-Middle Buster 8R-36</v>
      </c>
      <c r="H22" s="251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  <c r="AG22" s="223">
        <v>23369.999999999996</v>
      </c>
    </row>
    <row r="23" spans="1:35" x14ac:dyDescent="0.2">
      <c r="A23" s="245">
        <v>246</v>
      </c>
      <c r="B23" s="1" t="str">
        <f t="shared" si="0"/>
        <v>0.19, Bed-Middle Buster 8R-36 2x1</v>
      </c>
      <c r="C23" s="168">
        <v>0.19</v>
      </c>
      <c r="D23" s="164" t="s">
        <v>459</v>
      </c>
      <c r="E23" s="164" t="s">
        <v>481</v>
      </c>
      <c r="F23" s="164" t="s">
        <v>203</v>
      </c>
      <c r="G23" s="164" t="str">
        <f t="shared" si="1"/>
        <v>Bed-Middle Buster 8R-36 2x1</v>
      </c>
      <c r="H23" s="251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  <c r="AG23" s="223">
        <v>36592.5</v>
      </c>
    </row>
    <row r="24" spans="1:35" x14ac:dyDescent="0.2">
      <c r="A24" s="245">
        <v>122</v>
      </c>
      <c r="B24" s="1" t="str">
        <f t="shared" si="0"/>
        <v>0.2, Bed-Middle Buster 10R-30</v>
      </c>
      <c r="C24" s="168">
        <v>0.2</v>
      </c>
      <c r="D24" s="164" t="s">
        <v>459</v>
      </c>
      <c r="E24" s="164" t="s">
        <v>482</v>
      </c>
      <c r="F24" s="164" t="s">
        <v>24</v>
      </c>
      <c r="G24" s="164" t="str">
        <f t="shared" si="1"/>
        <v>Bed-Middle Buster 10R-30</v>
      </c>
      <c r="H24" s="251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  <c r="AG24" s="223">
        <v>30852.499999999996</v>
      </c>
    </row>
    <row r="25" spans="1:35" x14ac:dyDescent="0.2">
      <c r="A25" s="245">
        <v>123</v>
      </c>
      <c r="B25" s="1" t="str">
        <f t="shared" si="0"/>
        <v>0.21, Bed-Middle Buster 10R-36</v>
      </c>
      <c r="C25" s="168">
        <v>0.21</v>
      </c>
      <c r="D25" s="164" t="s">
        <v>459</v>
      </c>
      <c r="E25" s="164" t="s">
        <v>482</v>
      </c>
      <c r="F25" s="164" t="s">
        <v>204</v>
      </c>
      <c r="G25" s="164" t="str">
        <f t="shared" si="1"/>
        <v>Bed-Middle Buster 10R-36</v>
      </c>
      <c r="H25" s="251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  <c r="AG25" s="223">
        <v>33927.5</v>
      </c>
    </row>
    <row r="26" spans="1:35" x14ac:dyDescent="0.2">
      <c r="A26" s="245">
        <v>247</v>
      </c>
      <c r="B26" s="1" t="str">
        <f t="shared" si="0"/>
        <v>0.22, Bed-Middle Buster 12R-36</v>
      </c>
      <c r="C26" s="168">
        <v>0.22</v>
      </c>
      <c r="D26" s="164" t="s">
        <v>459</v>
      </c>
      <c r="E26" s="164" t="s">
        <v>482</v>
      </c>
      <c r="F26" s="164" t="s">
        <v>200</v>
      </c>
      <c r="G26" s="164" t="str">
        <f t="shared" si="1"/>
        <v>Bed-Middle Buster 12R-36</v>
      </c>
      <c r="H26" s="251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  <c r="AG26" s="223">
        <v>36592.5</v>
      </c>
    </row>
    <row r="27" spans="1:35" x14ac:dyDescent="0.2">
      <c r="A27" s="245">
        <v>416</v>
      </c>
      <c r="B27" s="1" t="str">
        <f t="shared" si="0"/>
        <v>0.23, Bed-Paratill   Fold 8R-36</v>
      </c>
      <c r="C27" s="168">
        <v>0.23</v>
      </c>
      <c r="D27" s="164" t="s">
        <v>459</v>
      </c>
      <c r="E27" s="164" t="s">
        <v>483</v>
      </c>
      <c r="F27" s="164" t="s">
        <v>199</v>
      </c>
      <c r="G27" s="164" t="str">
        <f t="shared" si="1"/>
        <v>Bed-Paratill   Fold 8R-36</v>
      </c>
      <c r="H27" s="251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  <c r="AG27" s="223">
        <v>55759.999999999993</v>
      </c>
    </row>
    <row r="28" spans="1:35" x14ac:dyDescent="0.2">
      <c r="A28" s="245">
        <v>610</v>
      </c>
      <c r="B28" s="1" t="str">
        <f t="shared" si="0"/>
        <v>0.24, Bed-Paratill   Fold10R-30</v>
      </c>
      <c r="C28" s="168">
        <v>0.24</v>
      </c>
      <c r="D28" s="164" t="s">
        <v>459</v>
      </c>
      <c r="E28" s="164" t="s">
        <v>483</v>
      </c>
      <c r="F28" s="164" t="s">
        <v>24</v>
      </c>
      <c r="G28" s="164" t="str">
        <f t="shared" si="1"/>
        <v>Bed-Paratill   Fold10R-30</v>
      </c>
      <c r="H28" s="247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  <c r="AG28" s="223">
        <v>63293.749999999993</v>
      </c>
    </row>
    <row r="29" spans="1:35" x14ac:dyDescent="0.2">
      <c r="A29" s="245">
        <v>486</v>
      </c>
      <c r="B29" s="1" t="str">
        <f t="shared" si="0"/>
        <v>0.25, Bed-Paratill   Fold 8R-36 2x1</v>
      </c>
      <c r="C29" s="168">
        <v>0.25</v>
      </c>
      <c r="D29" s="164" t="s">
        <v>459</v>
      </c>
      <c r="E29" s="164" t="s">
        <v>483</v>
      </c>
      <c r="F29" s="164" t="s">
        <v>203</v>
      </c>
      <c r="G29" s="164" t="str">
        <f t="shared" si="1"/>
        <v>Bed-Paratill   Fold 8R-36 2x1</v>
      </c>
      <c r="H29" s="251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  <c r="AG29" s="223">
        <v>70827.5</v>
      </c>
    </row>
    <row r="30" spans="1:35" x14ac:dyDescent="0.2">
      <c r="A30" s="245">
        <v>417</v>
      </c>
      <c r="B30" s="1" t="str">
        <f t="shared" si="0"/>
        <v>0.26, Bed-Paratill   Fold12R-36</v>
      </c>
      <c r="C30" s="168">
        <v>0.26</v>
      </c>
      <c r="D30" s="164" t="s">
        <v>459</v>
      </c>
      <c r="E30" s="164" t="s">
        <v>483</v>
      </c>
      <c r="F30" s="164" t="s">
        <v>200</v>
      </c>
      <c r="G30" s="164" t="str">
        <f t="shared" si="1"/>
        <v>Bed-Paratill   Fold12R-36</v>
      </c>
      <c r="H30" s="251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  <c r="AG30" s="223">
        <v>70827.5</v>
      </c>
    </row>
    <row r="31" spans="1:35" x14ac:dyDescent="0.2">
      <c r="A31" s="245">
        <v>409</v>
      </c>
      <c r="B31" s="1" t="str">
        <f t="shared" si="0"/>
        <v>0.27, Bed-Paratill   Rigid 4R-30</v>
      </c>
      <c r="C31" s="168">
        <v>0.27</v>
      </c>
      <c r="D31" s="164" t="s">
        <v>459</v>
      </c>
      <c r="E31" s="164" t="s">
        <v>484</v>
      </c>
      <c r="F31" s="164" t="s">
        <v>48</v>
      </c>
      <c r="G31" s="164" t="str">
        <f t="shared" si="1"/>
        <v>Bed-Paratill   Rigid 4R-30</v>
      </c>
      <c r="H31" s="251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  <c r="AG31" s="223">
        <v>16912.5</v>
      </c>
    </row>
    <row r="32" spans="1:35" x14ac:dyDescent="0.2">
      <c r="A32" s="245">
        <v>142</v>
      </c>
      <c r="B32" s="1" t="str">
        <f t="shared" si="0"/>
        <v>0.28, Bed-Paratill   Rigid 4R-36</v>
      </c>
      <c r="C32" s="168">
        <v>0.28000000000000003</v>
      </c>
      <c r="D32" s="164" t="s">
        <v>459</v>
      </c>
      <c r="E32" s="164" t="s">
        <v>484</v>
      </c>
      <c r="F32" s="164" t="s">
        <v>201</v>
      </c>
      <c r="G32" s="164" t="str">
        <f t="shared" si="1"/>
        <v>Bed-Paratill   Rigid 4R-36</v>
      </c>
      <c r="H32" s="251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  <c r="AG32" s="223">
        <v>15579.999999999998</v>
      </c>
    </row>
    <row r="33" spans="1:33" x14ac:dyDescent="0.2">
      <c r="A33" s="245">
        <v>410</v>
      </c>
      <c r="B33" s="1" t="str">
        <f t="shared" si="0"/>
        <v>0.29, Bed-Paratill   Rigid 6R-30</v>
      </c>
      <c r="C33" s="168">
        <v>0.28999999999999998</v>
      </c>
      <c r="D33" s="164" t="s">
        <v>459</v>
      </c>
      <c r="E33" s="164" t="s">
        <v>484</v>
      </c>
      <c r="F33" s="164" t="s">
        <v>53</v>
      </c>
      <c r="G33" s="164" t="str">
        <f t="shared" si="1"/>
        <v>Bed-Paratill   Rigid 6R-30</v>
      </c>
      <c r="H33" s="251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  <c r="AG33" s="223">
        <v>23164.999999999996</v>
      </c>
    </row>
    <row r="34" spans="1:33" x14ac:dyDescent="0.2">
      <c r="A34" s="245">
        <v>258</v>
      </c>
      <c r="B34" s="1" t="str">
        <f t="shared" si="0"/>
        <v>0.3, Bed-Paratill   Rigid 6R-36</v>
      </c>
      <c r="C34" s="168">
        <v>0.3</v>
      </c>
      <c r="D34" s="164" t="s">
        <v>459</v>
      </c>
      <c r="E34" s="164" t="s">
        <v>484</v>
      </c>
      <c r="F34" s="164" t="s">
        <v>202</v>
      </c>
      <c r="G34" s="164" t="str">
        <f t="shared" si="1"/>
        <v>Bed-Paratill   Rigid 6R-36</v>
      </c>
      <c r="H34" s="251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  <c r="AG34" s="223">
        <v>20807.5</v>
      </c>
    </row>
    <row r="35" spans="1:33" x14ac:dyDescent="0.2">
      <c r="A35" s="245">
        <v>414</v>
      </c>
      <c r="B35" s="1" t="str">
        <f t="shared" si="0"/>
        <v>0.31, Bed-Paratill   Rigid 8R-30</v>
      </c>
      <c r="C35" s="168">
        <v>0.31</v>
      </c>
      <c r="D35" s="164" t="s">
        <v>459</v>
      </c>
      <c r="E35" s="164" t="s">
        <v>484</v>
      </c>
      <c r="F35" s="164" t="s">
        <v>25</v>
      </c>
      <c r="G35" s="164" t="str">
        <f t="shared" si="1"/>
        <v>Bed-Paratill   Rigid 8R-30</v>
      </c>
      <c r="H35" s="251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  <c r="AG35" s="223">
        <v>27879.999999999996</v>
      </c>
    </row>
    <row r="36" spans="1:33" x14ac:dyDescent="0.2">
      <c r="A36" s="245">
        <v>415</v>
      </c>
      <c r="B36" s="1" t="str">
        <f t="shared" si="0"/>
        <v>0.32, Bed-Paratill   Rigid 8R-36</v>
      </c>
      <c r="C36" s="168">
        <v>0.32</v>
      </c>
      <c r="D36" s="164" t="s">
        <v>459</v>
      </c>
      <c r="E36" s="164" t="s">
        <v>484</v>
      </c>
      <c r="F36" s="164" t="s">
        <v>199</v>
      </c>
      <c r="G36" s="164" t="str">
        <f t="shared" si="1"/>
        <v>Bed-Paratill   Rigid 8R-36</v>
      </c>
      <c r="H36" s="251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  <c r="AG36" s="223">
        <v>25112.499999999996</v>
      </c>
    </row>
    <row r="37" spans="1:33" x14ac:dyDescent="0.2">
      <c r="A37" s="245">
        <v>609</v>
      </c>
      <c r="B37" s="1" t="str">
        <f t="shared" si="0"/>
        <v>0.33, Bed-Paratill   Rigid10R-30</v>
      </c>
      <c r="C37" s="168">
        <v>0.33</v>
      </c>
      <c r="D37" s="164" t="s">
        <v>459</v>
      </c>
      <c r="E37" s="164" t="s">
        <v>484</v>
      </c>
      <c r="F37" s="164" t="s">
        <v>24</v>
      </c>
      <c r="G37" s="164" t="str">
        <f t="shared" si="1"/>
        <v>Bed-Paratill   Rigid10R-30</v>
      </c>
      <c r="H37" s="251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  <c r="AG37" s="223">
        <v>30749.999999999996</v>
      </c>
    </row>
    <row r="38" spans="1:33" x14ac:dyDescent="0.2">
      <c r="A38" s="245">
        <v>401</v>
      </c>
      <c r="B38" s="1" t="str">
        <f t="shared" si="0"/>
        <v>0.34, Bed-Paratill  w/rol4R-30</v>
      </c>
      <c r="C38" s="168">
        <v>0.34</v>
      </c>
      <c r="D38" s="164" t="s">
        <v>459</v>
      </c>
      <c r="E38" s="164" t="s">
        <v>485</v>
      </c>
      <c r="F38" s="164" t="s">
        <v>0</v>
      </c>
      <c r="G38" s="164" t="str">
        <f t="shared" si="1"/>
        <v>Bed-Paratill  w/rol4R-30</v>
      </c>
      <c r="H38" s="251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  <c r="AG38" s="223">
        <v>18040</v>
      </c>
    </row>
    <row r="39" spans="1:33" x14ac:dyDescent="0.2">
      <c r="A39" s="245">
        <v>290</v>
      </c>
      <c r="B39" s="1" t="str">
        <f t="shared" si="0"/>
        <v>0.35, Bed-Paratill  w/roll 4R-36</v>
      </c>
      <c r="C39" s="168">
        <v>0.35</v>
      </c>
      <c r="D39" s="164" t="s">
        <v>459</v>
      </c>
      <c r="E39" s="164" t="s">
        <v>493</v>
      </c>
      <c r="F39" s="164" t="s">
        <v>73</v>
      </c>
      <c r="G39" s="164" t="str">
        <f t="shared" si="1"/>
        <v>Bed-Paratill  w/roll 4R-36</v>
      </c>
      <c r="H39" s="251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  <c r="AG39" s="223">
        <v>18040</v>
      </c>
    </row>
    <row r="40" spans="1:33" x14ac:dyDescent="0.2">
      <c r="A40" s="245">
        <v>289</v>
      </c>
      <c r="B40" s="1" t="str">
        <f t="shared" si="0"/>
        <v>0.36, Bed-Paratill  w/roll 6R-36</v>
      </c>
      <c r="C40" s="168">
        <v>0.36</v>
      </c>
      <c r="D40" s="164" t="s">
        <v>459</v>
      </c>
      <c r="E40" s="164" t="s">
        <v>493</v>
      </c>
      <c r="F40" s="164" t="s">
        <v>206</v>
      </c>
      <c r="G40" s="164" t="str">
        <f t="shared" si="1"/>
        <v>Bed-Paratill  w/roll 6R-36</v>
      </c>
      <c r="H40" s="251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  <c r="AG40" s="223">
        <v>23267.499999999996</v>
      </c>
    </row>
    <row r="41" spans="1:33" x14ac:dyDescent="0.2">
      <c r="A41" s="245">
        <v>574</v>
      </c>
      <c r="B41" s="1" t="str">
        <f t="shared" si="0"/>
        <v>0.37, Bed-Rip/Disk Fold. 8R-36</v>
      </c>
      <c r="C41" s="168">
        <v>0.37</v>
      </c>
      <c r="D41" s="164" t="s">
        <v>459</v>
      </c>
      <c r="E41" s="164" t="s">
        <v>486</v>
      </c>
      <c r="F41" s="164" t="s">
        <v>199</v>
      </c>
      <c r="G41" s="164" t="str">
        <f t="shared" si="1"/>
        <v>Bed-Rip/Disk Fold. 8R-36</v>
      </c>
      <c r="H41" s="251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  <c r="AG41" s="223">
        <v>38950</v>
      </c>
    </row>
    <row r="42" spans="1:33" x14ac:dyDescent="0.2">
      <c r="A42" s="245">
        <v>622</v>
      </c>
      <c r="B42" s="1" t="str">
        <f t="shared" si="0"/>
        <v>0.38, Bed-Rip/Disk Fold.12R-30</v>
      </c>
      <c r="C42" s="168">
        <v>0.38</v>
      </c>
      <c r="D42" s="164" t="s">
        <v>459</v>
      </c>
      <c r="E42" s="164" t="s">
        <v>486</v>
      </c>
      <c r="F42" s="164" t="s">
        <v>6</v>
      </c>
      <c r="G42" s="164" t="str">
        <f t="shared" si="1"/>
        <v>Bed-Rip/Disk Fold.12R-30</v>
      </c>
      <c r="H42" s="251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  <c r="AG42" s="223">
        <v>54529.999999999993</v>
      </c>
    </row>
    <row r="43" spans="1:33" x14ac:dyDescent="0.2">
      <c r="A43" s="245">
        <v>571</v>
      </c>
      <c r="B43" s="1" t="str">
        <f t="shared" si="0"/>
        <v>0.39, Bed-Rip/Disk Fold.12R-36</v>
      </c>
      <c r="C43" s="168">
        <v>0.39</v>
      </c>
      <c r="D43" s="164" t="s">
        <v>459</v>
      </c>
      <c r="E43" s="164" t="s">
        <v>486</v>
      </c>
      <c r="F43" s="164" t="s">
        <v>200</v>
      </c>
      <c r="G43" s="164" t="str">
        <f t="shared" si="1"/>
        <v>Bed-Rip/Disk Fold.12R-36</v>
      </c>
      <c r="H43" s="251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  <c r="AG43" s="223">
        <v>54529.999999999993</v>
      </c>
    </row>
    <row r="44" spans="1:33" x14ac:dyDescent="0.2">
      <c r="A44" s="245">
        <v>607</v>
      </c>
      <c r="B44" s="1" t="str">
        <f t="shared" si="0"/>
        <v>0.4, Bed-Rip/Disk Rigid 4R-30</v>
      </c>
      <c r="C44" s="168">
        <v>0.4</v>
      </c>
      <c r="D44" s="164" t="s">
        <v>459</v>
      </c>
      <c r="E44" s="164" t="s">
        <v>487</v>
      </c>
      <c r="F44" s="164" t="s">
        <v>48</v>
      </c>
      <c r="G44" s="164" t="str">
        <f t="shared" si="1"/>
        <v>Bed-Rip/Disk Rigid 4R-30</v>
      </c>
      <c r="H44" s="251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  <c r="AG44" s="223">
        <v>17117.5</v>
      </c>
    </row>
    <row r="45" spans="1:33" x14ac:dyDescent="0.2">
      <c r="A45" s="245">
        <v>608</v>
      </c>
      <c r="B45" s="1" t="str">
        <f t="shared" si="0"/>
        <v>0.41, Bed-Rip/Disk Rigid 4R-36</v>
      </c>
      <c r="C45" s="168">
        <v>0.41</v>
      </c>
      <c r="D45" s="164" t="s">
        <v>459</v>
      </c>
      <c r="E45" s="164" t="s">
        <v>487</v>
      </c>
      <c r="F45" s="164" t="s">
        <v>201</v>
      </c>
      <c r="G45" s="164" t="str">
        <f t="shared" si="1"/>
        <v>Bed-Rip/Disk Rigid 4R-36</v>
      </c>
      <c r="H45" s="251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  <c r="AG45" s="223">
        <v>17117.5</v>
      </c>
    </row>
    <row r="46" spans="1:33" x14ac:dyDescent="0.2">
      <c r="A46" s="245">
        <v>573</v>
      </c>
      <c r="B46" s="1" t="str">
        <f t="shared" si="0"/>
        <v>0.42, Bed-Rip/Disk Rigid 8R-30</v>
      </c>
      <c r="C46" s="168">
        <v>0.42</v>
      </c>
      <c r="D46" s="164" t="s">
        <v>459</v>
      </c>
      <c r="E46" s="164" t="s">
        <v>487</v>
      </c>
      <c r="F46" s="164" t="s">
        <v>25</v>
      </c>
      <c r="G46" s="164" t="str">
        <f t="shared" si="1"/>
        <v>Bed-Rip/Disk Rigid 8R-30</v>
      </c>
      <c r="H46" s="251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  <c r="AG46" s="223">
        <v>30544.999999999996</v>
      </c>
    </row>
    <row r="47" spans="1:33" x14ac:dyDescent="0.2">
      <c r="A47" s="245">
        <v>572</v>
      </c>
      <c r="B47" s="1" t="str">
        <f t="shared" si="0"/>
        <v>0.43, Bed-Rip/Disk Rigid 6R-36</v>
      </c>
      <c r="C47" s="168">
        <v>0.43</v>
      </c>
      <c r="D47" s="164" t="s">
        <v>459</v>
      </c>
      <c r="E47" s="164" t="s">
        <v>487</v>
      </c>
      <c r="F47" s="164" t="s">
        <v>202</v>
      </c>
      <c r="G47" s="164" t="str">
        <f t="shared" si="1"/>
        <v>Bed-Rip/Disk Rigid 6R-36</v>
      </c>
      <c r="H47" s="251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  <c r="AG47" s="223">
        <v>23574.999999999996</v>
      </c>
    </row>
    <row r="48" spans="1:33" x14ac:dyDescent="0.2">
      <c r="A48" s="245">
        <v>623</v>
      </c>
      <c r="B48" s="1" t="str">
        <f t="shared" si="0"/>
        <v>0.44, Bed-Rip/Disk Rigid 8R-36</v>
      </c>
      <c r="C48" s="168">
        <v>0.44</v>
      </c>
      <c r="D48" s="164" t="s">
        <v>459</v>
      </c>
      <c r="E48" s="164" t="s">
        <v>487</v>
      </c>
      <c r="F48" s="164" t="s">
        <v>199</v>
      </c>
      <c r="G48" s="164" t="str">
        <f t="shared" si="1"/>
        <v>Bed-Rip/Disk Rigid 8R-36</v>
      </c>
      <c r="H48" s="251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  <c r="AG48" s="223">
        <v>23574.999999999996</v>
      </c>
    </row>
    <row r="49" spans="1:35" x14ac:dyDescent="0.2">
      <c r="A49" s="245">
        <v>624</v>
      </c>
      <c r="B49" s="1" t="str">
        <f t="shared" si="0"/>
        <v>0.45, Bed-Rip/Disk Rigid 6R-30</v>
      </c>
      <c r="C49" s="168">
        <v>0.45</v>
      </c>
      <c r="D49" s="164" t="s">
        <v>459</v>
      </c>
      <c r="E49" s="164" t="s">
        <v>488</v>
      </c>
      <c r="F49" s="164" t="s">
        <v>47</v>
      </c>
      <c r="G49" s="164" t="str">
        <f t="shared" si="1"/>
        <v>Bed-Rip/Disk Rigid 6R-30</v>
      </c>
      <c r="H49" s="251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  <c r="AG49" s="223">
        <v>30544.999999999996</v>
      </c>
    </row>
    <row r="50" spans="1:35" x14ac:dyDescent="0.2">
      <c r="A50" s="245">
        <v>516</v>
      </c>
      <c r="B50" s="1" t="str">
        <f t="shared" si="0"/>
        <v>0.46, Bed-Rip/Disk/Cond. 6-Row</v>
      </c>
      <c r="C50" s="168">
        <v>0.46</v>
      </c>
      <c r="D50" s="164" t="s">
        <v>459</v>
      </c>
      <c r="E50" s="164" t="s">
        <v>489</v>
      </c>
      <c r="F50" s="164" t="s">
        <v>46</v>
      </c>
      <c r="G50" s="164" t="str">
        <f t="shared" si="1"/>
        <v>Bed-Rip/Disk/Cond. 6-Row</v>
      </c>
      <c r="H50" s="251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  <c r="AG50" s="223">
        <v>24497.499999999996</v>
      </c>
    </row>
    <row r="51" spans="1:35" x14ac:dyDescent="0.2">
      <c r="A51" s="245">
        <v>517</v>
      </c>
      <c r="B51" s="1" t="str">
        <f t="shared" si="0"/>
        <v>0.47, Bed-Rip/Disk/Cond. 8-Row</v>
      </c>
      <c r="C51" s="168">
        <v>0.47</v>
      </c>
      <c r="D51" s="164" t="s">
        <v>459</v>
      </c>
      <c r="E51" s="164" t="s">
        <v>489</v>
      </c>
      <c r="F51" s="164" t="s">
        <v>45</v>
      </c>
      <c r="G51" s="164" t="str">
        <f t="shared" si="1"/>
        <v>Bed-Rip/Disk/Cond. 8-Row</v>
      </c>
      <c r="H51" s="251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  <c r="AG51" s="223">
        <v>32184.999999999996</v>
      </c>
    </row>
    <row r="52" spans="1:35" x14ac:dyDescent="0.2">
      <c r="A52" s="245">
        <v>510</v>
      </c>
      <c r="B52" s="1" t="str">
        <f t="shared" si="0"/>
        <v>0.48, Bed-Roll-Fold. 8R-36</v>
      </c>
      <c r="C52" s="168">
        <v>0.48</v>
      </c>
      <c r="D52" s="164" t="s">
        <v>459</v>
      </c>
      <c r="E52" s="164" t="s">
        <v>490</v>
      </c>
      <c r="F52" s="164" t="s">
        <v>199</v>
      </c>
      <c r="G52" s="164" t="str">
        <f t="shared" si="1"/>
        <v>Bed-Roll-Fold. 8R-36</v>
      </c>
      <c r="H52" s="247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  <c r="AG52" s="223">
        <v>27674.999999999996</v>
      </c>
    </row>
    <row r="53" spans="1:35" x14ac:dyDescent="0.2">
      <c r="A53" s="245">
        <v>512</v>
      </c>
      <c r="B53" s="1" t="str">
        <f t="shared" si="0"/>
        <v>0.49, Bed-Roll-Fold. 12R-30</v>
      </c>
      <c r="C53" s="168">
        <v>0.49</v>
      </c>
      <c r="D53" s="164" t="s">
        <v>459</v>
      </c>
      <c r="E53" s="164" t="s">
        <v>491</v>
      </c>
      <c r="F53" s="164" t="s">
        <v>6</v>
      </c>
      <c r="G53" s="164" t="str">
        <f t="shared" si="1"/>
        <v>Bed-Roll-Fold. 12R-30</v>
      </c>
      <c r="H53" s="247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  <c r="AG53" s="223">
        <v>29519.999999999996</v>
      </c>
    </row>
    <row r="54" spans="1:35" x14ac:dyDescent="0.2">
      <c r="A54" s="245">
        <v>513</v>
      </c>
      <c r="B54" s="1" t="str">
        <f t="shared" si="0"/>
        <v>0.5, Bed-Roll-Fold. 12R-36</v>
      </c>
      <c r="C54" s="168">
        <v>0.5</v>
      </c>
      <c r="D54" s="164" t="s">
        <v>459</v>
      </c>
      <c r="E54" s="164" t="s">
        <v>491</v>
      </c>
      <c r="F54" s="164" t="s">
        <v>200</v>
      </c>
      <c r="G54" s="164" t="str">
        <f t="shared" si="1"/>
        <v>Bed-Roll-Fold. 12R-36</v>
      </c>
      <c r="H54" s="247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  <c r="AG54" s="223">
        <v>33210</v>
      </c>
    </row>
    <row r="55" spans="1:35" x14ac:dyDescent="0.2">
      <c r="A55" s="245">
        <v>514</v>
      </c>
      <c r="B55" s="1" t="str">
        <f t="shared" si="0"/>
        <v>0.51, Bed-Roll-Fold. 16R-30</v>
      </c>
      <c r="C55" s="168">
        <v>0.51</v>
      </c>
      <c r="D55" s="164" t="s">
        <v>459</v>
      </c>
      <c r="E55" s="164" t="s">
        <v>491</v>
      </c>
      <c r="F55" s="164" t="s">
        <v>59</v>
      </c>
      <c r="G55" s="164" t="str">
        <f t="shared" si="1"/>
        <v>Bed-Roll-Fold. 16R-30</v>
      </c>
      <c r="H55" s="247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  <c r="AG55" s="223">
        <v>34440</v>
      </c>
    </row>
    <row r="56" spans="1:35" x14ac:dyDescent="0.2">
      <c r="A56" s="245">
        <v>511</v>
      </c>
      <c r="B56" s="1" t="str">
        <f t="shared" si="0"/>
        <v>0.52, Bed-Roll-Rigid  8R-36</v>
      </c>
      <c r="C56" s="168">
        <v>0.52</v>
      </c>
      <c r="D56" s="164" t="s">
        <v>459</v>
      </c>
      <c r="E56" s="164" t="s">
        <v>492</v>
      </c>
      <c r="F56" s="164" t="s">
        <v>199</v>
      </c>
      <c r="G56" s="164" t="str">
        <f t="shared" si="1"/>
        <v>Bed-Roll-Rigid  8R-36</v>
      </c>
      <c r="H56" s="247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  <c r="AG56" s="223">
        <v>20705</v>
      </c>
    </row>
    <row r="57" spans="1:35" x14ac:dyDescent="0.2">
      <c r="A57" s="245">
        <v>418</v>
      </c>
      <c r="B57" s="1" t="str">
        <f t="shared" si="0"/>
        <v>0.53, Blade-Box  6'-7'</v>
      </c>
      <c r="C57" s="168">
        <v>0.53</v>
      </c>
      <c r="D57" s="164" t="s">
        <v>459</v>
      </c>
      <c r="E57" s="164" t="s">
        <v>267</v>
      </c>
      <c r="F57" s="164" t="s">
        <v>99</v>
      </c>
      <c r="G57" s="164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  <c r="AG57" s="223">
        <v>1117.25</v>
      </c>
    </row>
    <row r="58" spans="1:35" x14ac:dyDescent="0.2">
      <c r="A58" s="245">
        <v>473</v>
      </c>
      <c r="B58" s="1" t="str">
        <f t="shared" si="0"/>
        <v>0.54, Blade-Box  8'-10'</v>
      </c>
      <c r="C58" s="168">
        <v>0.54</v>
      </c>
      <c r="D58" s="164" t="s">
        <v>459</v>
      </c>
      <c r="E58" s="164" t="s">
        <v>267</v>
      </c>
      <c r="F58" s="164" t="s">
        <v>98</v>
      </c>
      <c r="G58" s="164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  <c r="AG58" s="223">
        <v>5186.5</v>
      </c>
    </row>
    <row r="59" spans="1:35" x14ac:dyDescent="0.2">
      <c r="A59" s="245">
        <v>506</v>
      </c>
      <c r="B59" s="1" t="str">
        <f t="shared" si="0"/>
        <v>0.55, Blade-Box 12'-16'</v>
      </c>
      <c r="C59" s="168">
        <v>0.55000000000000004</v>
      </c>
      <c r="D59" s="164" t="s">
        <v>459</v>
      </c>
      <c r="E59" s="164" t="s">
        <v>267</v>
      </c>
      <c r="F59" s="164" t="s">
        <v>97</v>
      </c>
      <c r="G59" s="164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  <c r="AG59" s="223">
        <v>7738.7499999999991</v>
      </c>
    </row>
    <row r="60" spans="1:35" x14ac:dyDescent="0.2">
      <c r="A60" s="245">
        <v>475</v>
      </c>
      <c r="B60" s="1" t="str">
        <f t="shared" si="0"/>
        <v>0.56, Blade-Scraper  6'-7'</v>
      </c>
      <c r="C60" s="168">
        <v>0.56000000000000005</v>
      </c>
      <c r="D60" s="164" t="s">
        <v>459</v>
      </c>
      <c r="E60" s="164" t="s">
        <v>268</v>
      </c>
      <c r="F60" s="164" t="s">
        <v>99</v>
      </c>
      <c r="G60" s="164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  <c r="AG60" s="223">
        <v>1178.75</v>
      </c>
    </row>
    <row r="61" spans="1:35" x14ac:dyDescent="0.2">
      <c r="A61" s="245">
        <v>476</v>
      </c>
      <c r="B61" s="1" t="str">
        <f t="shared" si="0"/>
        <v>0.57, Blade-Scraper  8'-10'</v>
      </c>
      <c r="C61" s="168">
        <v>0.56999999999999995</v>
      </c>
      <c r="D61" s="164" t="s">
        <v>459</v>
      </c>
      <c r="E61" s="164" t="s">
        <v>268</v>
      </c>
      <c r="F61" s="164" t="s">
        <v>98</v>
      </c>
      <c r="G61" s="164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  <c r="AG61" s="223">
        <v>3392.7499999999995</v>
      </c>
    </row>
    <row r="62" spans="1:35" x14ac:dyDescent="0.2">
      <c r="A62" s="245">
        <v>477</v>
      </c>
      <c r="B62" s="1" t="str">
        <f t="shared" si="0"/>
        <v>0.58, Blade-Scraper 12'-16'</v>
      </c>
      <c r="C62" s="168">
        <v>0.57999999999999996</v>
      </c>
      <c r="D62" s="164" t="s">
        <v>459</v>
      </c>
      <c r="E62" s="164" t="s">
        <v>268</v>
      </c>
      <c r="F62" s="164" t="s">
        <v>97</v>
      </c>
      <c r="G62" s="164" t="str">
        <f t="shared" si="1"/>
        <v>Blade-Scraper 12'-16'</v>
      </c>
      <c r="H62" s="252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  <c r="AG62" s="223">
        <v>6898.2499999999991</v>
      </c>
    </row>
    <row r="63" spans="1:35" x14ac:dyDescent="0.2">
      <c r="A63" s="245">
        <v>5</v>
      </c>
      <c r="B63" s="1" t="str">
        <f t="shared" si="0"/>
        <v>0.59, Chisel Plow-Folding 16'</v>
      </c>
      <c r="C63" s="168">
        <v>0.59</v>
      </c>
      <c r="D63" s="164" t="s">
        <v>459</v>
      </c>
      <c r="E63" s="169" t="s">
        <v>269</v>
      </c>
      <c r="F63" s="169" t="s">
        <v>85</v>
      </c>
      <c r="G63" s="164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223">
        <v>23062.499999999996</v>
      </c>
      <c r="AH63" s="13"/>
      <c r="AI63" s="13"/>
    </row>
    <row r="64" spans="1:35" x14ac:dyDescent="0.2">
      <c r="A64" s="245">
        <v>408</v>
      </c>
      <c r="B64" s="1" t="str">
        <f t="shared" si="0"/>
        <v>0.6, Chisel Plow-Folding 24'</v>
      </c>
      <c r="C64" s="168">
        <v>0.6</v>
      </c>
      <c r="D64" s="164" t="s">
        <v>459</v>
      </c>
      <c r="E64" s="164" t="s">
        <v>269</v>
      </c>
      <c r="F64" s="164" t="s">
        <v>65</v>
      </c>
      <c r="G64" s="164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  <c r="AG64" s="223">
        <v>38130</v>
      </c>
    </row>
    <row r="65" spans="1:33" x14ac:dyDescent="0.2">
      <c r="A65" s="245">
        <v>7</v>
      </c>
      <c r="B65" s="1" t="str">
        <f t="shared" si="0"/>
        <v>0.61, Chisel Plow-Folding 32'</v>
      </c>
      <c r="C65" s="168">
        <v>0.61</v>
      </c>
      <c r="D65" s="164" t="s">
        <v>459</v>
      </c>
      <c r="E65" s="164" t="s">
        <v>269</v>
      </c>
      <c r="F65" s="164" t="s">
        <v>43</v>
      </c>
      <c r="G65" s="164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  <c r="AG65" s="223">
        <v>49199.999999999993</v>
      </c>
    </row>
    <row r="66" spans="1:33" x14ac:dyDescent="0.2">
      <c r="A66" s="245">
        <v>230</v>
      </c>
      <c r="B66" s="1" t="str">
        <f t="shared" si="0"/>
        <v>0.62, Chisel Plow-Folding 42'</v>
      </c>
      <c r="C66" s="168">
        <v>0.62</v>
      </c>
      <c r="D66" s="164" t="s">
        <v>459</v>
      </c>
      <c r="E66" s="164" t="s">
        <v>269</v>
      </c>
      <c r="F66" s="164" t="s">
        <v>91</v>
      </c>
      <c r="G66" s="164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  <c r="AG66" s="223">
        <v>56579.999999999993</v>
      </c>
    </row>
    <row r="67" spans="1:33" x14ac:dyDescent="0.2">
      <c r="A67" s="245">
        <v>651</v>
      </c>
      <c r="B67" s="1" t="str">
        <f t="shared" si="0"/>
        <v>0.63, Chisel Plow-Folding 50'</v>
      </c>
      <c r="C67" s="168">
        <v>0.63</v>
      </c>
      <c r="D67" s="164" t="s">
        <v>459</v>
      </c>
      <c r="E67" s="164" t="s">
        <v>269</v>
      </c>
      <c r="F67" s="164" t="s">
        <v>15</v>
      </c>
      <c r="G67" s="164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  <c r="AG67" s="223">
        <v>77387.5</v>
      </c>
    </row>
    <row r="68" spans="1:33" x14ac:dyDescent="0.2">
      <c r="A68" s="245">
        <v>702</v>
      </c>
      <c r="B68" s="1" t="str">
        <f t="shared" si="0"/>
        <v>0.64, Chisel Plow-Folding 61'</v>
      </c>
      <c r="C68" s="168">
        <v>0.64</v>
      </c>
      <c r="D68" s="164" t="s">
        <v>459</v>
      </c>
      <c r="E68" s="164" t="s">
        <v>269</v>
      </c>
      <c r="F68" s="164" t="s">
        <v>95</v>
      </c>
      <c r="G68" s="164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  <c r="AG68" s="223">
        <v>87227.499999999985</v>
      </c>
    </row>
    <row r="69" spans="1:33" x14ac:dyDescent="0.2">
      <c r="A69" s="245">
        <v>698</v>
      </c>
      <c r="B69" s="1" t="str">
        <f t="shared" ref="B69:B132" si="15">CONCATENATE(C69,D69,E69,F69)</f>
        <v>0.65, Chisel Plow-Rigid 10'</v>
      </c>
      <c r="C69" s="168">
        <v>0.65</v>
      </c>
      <c r="D69" s="164" t="s">
        <v>459</v>
      </c>
      <c r="E69" s="164" t="s">
        <v>270</v>
      </c>
      <c r="F69" s="164" t="s">
        <v>66</v>
      </c>
      <c r="G69" s="164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  <c r="AG69" s="223">
        <v>6149.9999999999991</v>
      </c>
    </row>
    <row r="70" spans="1:33" x14ac:dyDescent="0.2">
      <c r="A70" s="245">
        <v>4</v>
      </c>
      <c r="B70" s="1" t="str">
        <f t="shared" si="15"/>
        <v>0.66, Chisel Plow-Rigid 15'</v>
      </c>
      <c r="C70" s="168">
        <v>0.66</v>
      </c>
      <c r="D70" s="164" t="s">
        <v>459</v>
      </c>
      <c r="E70" s="164" t="s">
        <v>270</v>
      </c>
      <c r="F70" s="164" t="s">
        <v>10</v>
      </c>
      <c r="G70" s="164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  <c r="AG70" s="223">
        <v>12197.499999999998</v>
      </c>
    </row>
    <row r="71" spans="1:33" x14ac:dyDescent="0.2">
      <c r="A71" s="245">
        <v>701</v>
      </c>
      <c r="B71" s="1" t="str">
        <f t="shared" si="15"/>
        <v>0.67, Chisel Plow-Rigid 20'</v>
      </c>
      <c r="C71" s="168">
        <v>0.67</v>
      </c>
      <c r="D71" s="164" t="s">
        <v>459</v>
      </c>
      <c r="E71" s="164" t="s">
        <v>270</v>
      </c>
      <c r="F71" s="164" t="s">
        <v>8</v>
      </c>
      <c r="G71" s="164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  <c r="AG71" s="223">
        <v>12299.999999999998</v>
      </c>
    </row>
    <row r="72" spans="1:33" x14ac:dyDescent="0.2">
      <c r="A72" s="245">
        <v>6</v>
      </c>
      <c r="B72" s="1" t="str">
        <f t="shared" si="15"/>
        <v>0.68, Chisel Plow-Rigid 24'</v>
      </c>
      <c r="C72" s="168">
        <v>0.68</v>
      </c>
      <c r="D72" s="164" t="s">
        <v>459</v>
      </c>
      <c r="E72" s="164" t="s">
        <v>270</v>
      </c>
      <c r="F72" s="164" t="s">
        <v>65</v>
      </c>
      <c r="G72" s="164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  <c r="AG72" s="223">
        <v>13427.499999999998</v>
      </c>
    </row>
    <row r="73" spans="1:33" x14ac:dyDescent="0.2">
      <c r="A73" s="245">
        <v>294</v>
      </c>
      <c r="B73" s="1" t="str">
        <f t="shared" si="15"/>
        <v>0.69, Chisel-Harrow 21 shank</v>
      </c>
      <c r="C73" s="168">
        <v>0.69</v>
      </c>
      <c r="D73" s="164" t="s">
        <v>459</v>
      </c>
      <c r="E73" s="164" t="s">
        <v>271</v>
      </c>
      <c r="F73" s="164" t="s">
        <v>94</v>
      </c>
      <c r="G73" s="164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  <c r="AG73" s="223">
        <v>12812.499999999998</v>
      </c>
    </row>
    <row r="74" spans="1:33" x14ac:dyDescent="0.2">
      <c r="A74" s="245">
        <v>293</v>
      </c>
      <c r="B74" s="1" t="str">
        <f t="shared" si="15"/>
        <v>0.7, Chisel-Harrow 27 shank</v>
      </c>
      <c r="C74" s="168">
        <v>0.7</v>
      </c>
      <c r="D74" s="164" t="s">
        <v>459</v>
      </c>
      <c r="E74" s="164" t="s">
        <v>271</v>
      </c>
      <c r="F74" s="164" t="s">
        <v>93</v>
      </c>
      <c r="G74" s="164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  <c r="AG74" s="223">
        <v>14452.499999999998</v>
      </c>
    </row>
    <row r="75" spans="1:33" x14ac:dyDescent="0.2">
      <c r="A75" s="245">
        <v>296</v>
      </c>
      <c r="B75" s="1" t="str">
        <f t="shared" si="15"/>
        <v>0.71, Coulter-Chisel-Harrow 21 shank</v>
      </c>
      <c r="C75" s="168">
        <v>0.71</v>
      </c>
      <c r="D75" s="164" t="s">
        <v>459</v>
      </c>
      <c r="E75" s="164" t="s">
        <v>272</v>
      </c>
      <c r="F75" s="164" t="s">
        <v>94</v>
      </c>
      <c r="G75" s="164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  <c r="AG75" s="223">
        <v>19680</v>
      </c>
    </row>
    <row r="76" spans="1:33" x14ac:dyDescent="0.2">
      <c r="A76" s="245">
        <v>295</v>
      </c>
      <c r="B76" s="1" t="str">
        <f t="shared" si="15"/>
        <v>0.72, Coulter-Chisel-Harrow 27 shank</v>
      </c>
      <c r="C76" s="168">
        <v>0.72</v>
      </c>
      <c r="D76" s="164" t="s">
        <v>459</v>
      </c>
      <c r="E76" s="164" t="s">
        <v>272</v>
      </c>
      <c r="F76" s="164" t="s">
        <v>93</v>
      </c>
      <c r="G76" s="164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  <c r="AG76" s="223">
        <v>24599.999999999996</v>
      </c>
    </row>
    <row r="77" spans="1:33" x14ac:dyDescent="0.2">
      <c r="A77" s="245">
        <v>315</v>
      </c>
      <c r="B77" s="1" t="str">
        <f t="shared" si="15"/>
        <v>0.73, Cult &amp; PD Ridge Till 8R-30</v>
      </c>
      <c r="C77" s="168">
        <v>0.73</v>
      </c>
      <c r="D77" s="164" t="s">
        <v>459</v>
      </c>
      <c r="E77" s="164" t="s">
        <v>496</v>
      </c>
      <c r="F77" s="164" t="s">
        <v>25</v>
      </c>
      <c r="G77" s="164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  <c r="AG77" s="223">
        <v>30852.499999999996</v>
      </c>
    </row>
    <row r="78" spans="1:33" x14ac:dyDescent="0.2">
      <c r="A78" s="245">
        <v>314</v>
      </c>
      <c r="B78" s="1" t="str">
        <f t="shared" si="15"/>
        <v>0.74, Cult &amp; PD Ridge Till 12R-30</v>
      </c>
      <c r="C78" s="168">
        <v>0.74</v>
      </c>
      <c r="D78" s="164" t="s">
        <v>459</v>
      </c>
      <c r="E78" s="164" t="s">
        <v>498</v>
      </c>
      <c r="F78" s="164" t="s">
        <v>6</v>
      </c>
      <c r="G78" s="164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  <c r="AG78" s="223">
        <v>42332.499999999993</v>
      </c>
    </row>
    <row r="79" spans="1:33" x14ac:dyDescent="0.2">
      <c r="A79" s="245">
        <v>579</v>
      </c>
      <c r="B79" s="1" t="str">
        <f t="shared" si="15"/>
        <v>0.75, Cultivate  4R-30</v>
      </c>
      <c r="C79" s="168">
        <v>0.75</v>
      </c>
      <c r="D79" s="164" t="s">
        <v>459</v>
      </c>
      <c r="E79" s="164" t="s">
        <v>273</v>
      </c>
      <c r="F79" s="164" t="s">
        <v>48</v>
      </c>
      <c r="G79" s="164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  <c r="AG79" s="223">
        <v>11377.499999999998</v>
      </c>
    </row>
    <row r="80" spans="1:33" x14ac:dyDescent="0.2">
      <c r="A80" s="245">
        <v>31</v>
      </c>
      <c r="B80" s="1" t="str">
        <f t="shared" si="15"/>
        <v>0.76, Cultivate  4R-36</v>
      </c>
      <c r="C80" s="168">
        <v>0.76</v>
      </c>
      <c r="D80" s="164" t="s">
        <v>459</v>
      </c>
      <c r="E80" s="164" t="s">
        <v>273</v>
      </c>
      <c r="F80" s="164" t="s">
        <v>201</v>
      </c>
      <c r="G80" s="164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  <c r="AG80" s="223">
        <v>12197.499999999998</v>
      </c>
    </row>
    <row r="81" spans="1:33" x14ac:dyDescent="0.2">
      <c r="A81" s="245">
        <v>32</v>
      </c>
      <c r="B81" s="1" t="str">
        <f t="shared" si="15"/>
        <v>0.77, Cultivate  6R-30</v>
      </c>
      <c r="C81" s="168">
        <v>0.77</v>
      </c>
      <c r="D81" s="164" t="s">
        <v>459</v>
      </c>
      <c r="E81" s="164" t="s">
        <v>273</v>
      </c>
      <c r="F81" s="164" t="s">
        <v>53</v>
      </c>
      <c r="G81" s="164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  <c r="AG81" s="223">
        <v>16297.499999999998</v>
      </c>
    </row>
    <row r="82" spans="1:33" x14ac:dyDescent="0.2">
      <c r="A82" s="245">
        <v>33</v>
      </c>
      <c r="B82" s="1" t="str">
        <f t="shared" si="15"/>
        <v>0.78, Cultivate  6R-36</v>
      </c>
      <c r="C82" s="168">
        <v>0.78</v>
      </c>
      <c r="D82" s="164" t="s">
        <v>459</v>
      </c>
      <c r="E82" s="164" t="s">
        <v>273</v>
      </c>
      <c r="F82" s="164" t="s">
        <v>202</v>
      </c>
      <c r="G82" s="164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  <c r="AG82" s="223">
        <v>16092.499999999998</v>
      </c>
    </row>
    <row r="83" spans="1:33" x14ac:dyDescent="0.2">
      <c r="A83" s="245">
        <v>34</v>
      </c>
      <c r="B83" s="1" t="str">
        <f t="shared" si="15"/>
        <v>0.79, Cultivate  8R-30</v>
      </c>
      <c r="C83" s="168">
        <v>0.79</v>
      </c>
      <c r="D83" s="164" t="s">
        <v>459</v>
      </c>
      <c r="E83" s="164" t="s">
        <v>273</v>
      </c>
      <c r="F83" s="164" t="s">
        <v>25</v>
      </c>
      <c r="G83" s="164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  <c r="AG83" s="223">
        <v>21114.999999999996</v>
      </c>
    </row>
    <row r="84" spans="1:33" x14ac:dyDescent="0.2">
      <c r="A84" s="245">
        <v>35</v>
      </c>
      <c r="B84" s="1" t="str">
        <f t="shared" si="15"/>
        <v>0.8, Cultivate  8R-36</v>
      </c>
      <c r="C84" s="168">
        <v>0.8</v>
      </c>
      <c r="D84" s="164" t="s">
        <v>459</v>
      </c>
      <c r="E84" s="164" t="s">
        <v>273</v>
      </c>
      <c r="F84" s="164" t="s">
        <v>199</v>
      </c>
      <c r="G84" s="164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  <c r="AG84" s="223">
        <v>22344.999999999996</v>
      </c>
    </row>
    <row r="85" spans="1:33" x14ac:dyDescent="0.2">
      <c r="A85" s="245">
        <v>36</v>
      </c>
      <c r="B85" s="1" t="str">
        <f t="shared" si="15"/>
        <v>0.81, Cultivate 10R-30</v>
      </c>
      <c r="C85" s="168">
        <v>0.81</v>
      </c>
      <c r="D85" s="164" t="s">
        <v>459</v>
      </c>
      <c r="E85" s="164" t="s">
        <v>273</v>
      </c>
      <c r="F85" s="164" t="s">
        <v>24</v>
      </c>
      <c r="G85" s="164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  <c r="AG85" s="223">
        <v>28904.999999999996</v>
      </c>
    </row>
    <row r="86" spans="1:33" x14ac:dyDescent="0.2">
      <c r="A86" s="245">
        <v>508</v>
      </c>
      <c r="B86" s="1" t="str">
        <f t="shared" si="15"/>
        <v>0.82, Cultivate 12R-30</v>
      </c>
      <c r="C86" s="168">
        <v>0.82</v>
      </c>
      <c r="D86" s="164" t="s">
        <v>459</v>
      </c>
      <c r="E86" s="164" t="s">
        <v>273</v>
      </c>
      <c r="F86" s="164" t="s">
        <v>6</v>
      </c>
      <c r="G86" s="164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  <c r="AG86" s="223">
        <v>37207.5</v>
      </c>
    </row>
    <row r="87" spans="1:33" x14ac:dyDescent="0.2">
      <c r="A87" s="245">
        <v>235</v>
      </c>
      <c r="B87" s="1" t="str">
        <f t="shared" si="15"/>
        <v>0.83, Cultivate  8R-36 2x1</v>
      </c>
      <c r="C87" s="168">
        <v>0.83</v>
      </c>
      <c r="D87" s="164" t="s">
        <v>459</v>
      </c>
      <c r="E87" s="164" t="s">
        <v>273</v>
      </c>
      <c r="F87" s="164" t="s">
        <v>203</v>
      </c>
      <c r="G87" s="164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  <c r="AG87" s="223">
        <v>30442.499999999996</v>
      </c>
    </row>
    <row r="88" spans="1:33" x14ac:dyDescent="0.2">
      <c r="A88" s="245">
        <v>236</v>
      </c>
      <c r="B88" s="1" t="str">
        <f t="shared" si="15"/>
        <v>0.84, Cultivate 12R-36</v>
      </c>
      <c r="C88" s="168">
        <v>0.84</v>
      </c>
      <c r="D88" s="164" t="s">
        <v>459</v>
      </c>
      <c r="E88" s="164" t="s">
        <v>273</v>
      </c>
      <c r="F88" s="164" t="s">
        <v>200</v>
      </c>
      <c r="G88" s="164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  <c r="AG88" s="223">
        <v>38335</v>
      </c>
    </row>
    <row r="89" spans="1:33" x14ac:dyDescent="0.2">
      <c r="A89" s="245">
        <v>580</v>
      </c>
      <c r="B89" s="1" t="str">
        <f t="shared" si="15"/>
        <v>0.85, Cultivate 16R-30</v>
      </c>
      <c r="C89" s="168">
        <v>0.85</v>
      </c>
      <c r="D89" s="164" t="s">
        <v>459</v>
      </c>
      <c r="E89" s="164" t="s">
        <v>273</v>
      </c>
      <c r="F89" s="164" t="s">
        <v>59</v>
      </c>
      <c r="G89" s="164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  <c r="AG89" s="223">
        <v>46329.999999999993</v>
      </c>
    </row>
    <row r="90" spans="1:33" x14ac:dyDescent="0.2">
      <c r="A90" s="245">
        <v>578</v>
      </c>
      <c r="B90" s="1" t="str">
        <f t="shared" si="15"/>
        <v>0.86, Cultivate &amp; Post  4R-30</v>
      </c>
      <c r="C90" s="168">
        <v>0.86</v>
      </c>
      <c r="D90" s="164" t="s">
        <v>459</v>
      </c>
      <c r="E90" s="164" t="s">
        <v>274</v>
      </c>
      <c r="F90" s="164" t="s">
        <v>48</v>
      </c>
      <c r="G90" s="164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  <c r="AG90" s="223">
        <v>17527.5</v>
      </c>
    </row>
    <row r="91" spans="1:33" x14ac:dyDescent="0.2">
      <c r="A91" s="245">
        <v>15</v>
      </c>
      <c r="B91" s="1" t="str">
        <f t="shared" si="15"/>
        <v>0.87, Cultivate &amp; Post  4R-36</v>
      </c>
      <c r="C91" s="168">
        <v>0.87</v>
      </c>
      <c r="D91" s="164" t="s">
        <v>459</v>
      </c>
      <c r="E91" s="164" t="s">
        <v>274</v>
      </c>
      <c r="F91" s="164" t="s">
        <v>201</v>
      </c>
      <c r="G91" s="164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  <c r="AG91" s="223">
        <v>18245</v>
      </c>
    </row>
    <row r="92" spans="1:33" x14ac:dyDescent="0.2">
      <c r="A92" s="245">
        <v>16</v>
      </c>
      <c r="B92" s="1" t="str">
        <f t="shared" si="15"/>
        <v>0.88, Cultivate &amp; Post  6R-30</v>
      </c>
      <c r="C92" s="168">
        <v>0.88</v>
      </c>
      <c r="D92" s="164" t="s">
        <v>459</v>
      </c>
      <c r="E92" s="164" t="s">
        <v>274</v>
      </c>
      <c r="F92" s="164" t="s">
        <v>53</v>
      </c>
      <c r="G92" s="164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  <c r="AG92" s="223">
        <v>22447.499999999996</v>
      </c>
    </row>
    <row r="93" spans="1:33" x14ac:dyDescent="0.2">
      <c r="A93" s="245">
        <v>17</v>
      </c>
      <c r="B93" s="1" t="str">
        <f t="shared" si="15"/>
        <v>0.89, Cultivate &amp; Post  6R-36</v>
      </c>
      <c r="C93" s="168">
        <v>0.89</v>
      </c>
      <c r="D93" s="164" t="s">
        <v>459</v>
      </c>
      <c r="E93" s="164" t="s">
        <v>274</v>
      </c>
      <c r="F93" s="164" t="s">
        <v>202</v>
      </c>
      <c r="G93" s="164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  <c r="AG93" s="223">
        <v>22242.499999999996</v>
      </c>
    </row>
    <row r="94" spans="1:33" x14ac:dyDescent="0.2">
      <c r="A94" s="245">
        <v>18</v>
      </c>
      <c r="B94" s="1" t="str">
        <f t="shared" si="15"/>
        <v>0.9, Cultivate &amp; Post  8R-30</v>
      </c>
      <c r="C94" s="168">
        <v>0.9</v>
      </c>
      <c r="D94" s="164" t="s">
        <v>459</v>
      </c>
      <c r="E94" s="164" t="s">
        <v>274</v>
      </c>
      <c r="F94" s="164" t="s">
        <v>25</v>
      </c>
      <c r="G94" s="164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  <c r="AG94" s="223">
        <v>27162.499999999996</v>
      </c>
    </row>
    <row r="95" spans="1:33" x14ac:dyDescent="0.2">
      <c r="A95" s="245">
        <v>19</v>
      </c>
      <c r="B95" s="1" t="str">
        <f t="shared" si="15"/>
        <v>0.91, Cultivate &amp; Post  8R-36</v>
      </c>
      <c r="C95" s="168">
        <v>0.91</v>
      </c>
      <c r="D95" s="164" t="s">
        <v>459</v>
      </c>
      <c r="E95" s="164" t="s">
        <v>274</v>
      </c>
      <c r="F95" s="164" t="s">
        <v>199</v>
      </c>
      <c r="G95" s="164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  <c r="AG95" s="223">
        <v>28494.999999999996</v>
      </c>
    </row>
    <row r="96" spans="1:33" x14ac:dyDescent="0.2">
      <c r="A96" s="245">
        <v>20</v>
      </c>
      <c r="B96" s="1" t="str">
        <f t="shared" si="15"/>
        <v>0.92, Cultivate &amp; Post 10R-30</v>
      </c>
      <c r="C96" s="168">
        <v>0.92</v>
      </c>
      <c r="D96" s="164" t="s">
        <v>459</v>
      </c>
      <c r="E96" s="164" t="s">
        <v>274</v>
      </c>
      <c r="F96" s="164" t="s">
        <v>24</v>
      </c>
      <c r="G96" s="164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  <c r="AG96" s="223">
        <v>34952.5</v>
      </c>
    </row>
    <row r="97" spans="1:33" x14ac:dyDescent="0.2">
      <c r="A97" s="245">
        <v>310</v>
      </c>
      <c r="B97" s="1" t="str">
        <f t="shared" si="15"/>
        <v>0.93, Cultivate &amp; Post 12R-30</v>
      </c>
      <c r="C97" s="168">
        <v>0.93</v>
      </c>
      <c r="D97" s="164" t="s">
        <v>459</v>
      </c>
      <c r="E97" s="164" t="s">
        <v>274</v>
      </c>
      <c r="F97" s="164" t="s">
        <v>6</v>
      </c>
      <c r="G97" s="164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  <c r="AG97" s="223">
        <v>43254.999999999993</v>
      </c>
    </row>
    <row r="98" spans="1:33" x14ac:dyDescent="0.2">
      <c r="A98" s="245">
        <v>231</v>
      </c>
      <c r="B98" s="1" t="str">
        <f t="shared" si="15"/>
        <v>0.94, Cultivate &amp; Post  8R-36 2x1</v>
      </c>
      <c r="C98" s="168">
        <v>0.94</v>
      </c>
      <c r="D98" s="164" t="s">
        <v>459</v>
      </c>
      <c r="E98" s="164" t="s">
        <v>274</v>
      </c>
      <c r="F98" s="164" t="s">
        <v>203</v>
      </c>
      <c r="G98" s="164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  <c r="AG98" s="223">
        <v>38027.5</v>
      </c>
    </row>
    <row r="99" spans="1:33" x14ac:dyDescent="0.2">
      <c r="A99" s="245">
        <v>232</v>
      </c>
      <c r="B99" s="1" t="str">
        <f t="shared" si="15"/>
        <v>0.95, Cultivate &amp; Post 12R-36</v>
      </c>
      <c r="C99" s="168">
        <v>0.95</v>
      </c>
      <c r="D99" s="164" t="s">
        <v>459</v>
      </c>
      <c r="E99" s="164" t="s">
        <v>274</v>
      </c>
      <c r="F99" s="164" t="s">
        <v>200</v>
      </c>
      <c r="G99" s="164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  <c r="AG99" s="223">
        <v>45817.499999999993</v>
      </c>
    </row>
    <row r="100" spans="1:33" x14ac:dyDescent="0.2">
      <c r="A100" s="245">
        <v>581</v>
      </c>
      <c r="B100" s="1" t="str">
        <f t="shared" si="15"/>
        <v>0.96, Cultivate &amp; Post 16R-30</v>
      </c>
      <c r="C100" s="168">
        <v>0.96</v>
      </c>
      <c r="D100" s="164" t="s">
        <v>459</v>
      </c>
      <c r="E100" s="164" t="s">
        <v>274</v>
      </c>
      <c r="F100" s="164" t="s">
        <v>59</v>
      </c>
      <c r="G100" s="164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  <c r="AG100" s="223">
        <v>53914.999999999993</v>
      </c>
    </row>
    <row r="101" spans="1:33" x14ac:dyDescent="0.2">
      <c r="A101" s="245">
        <v>322</v>
      </c>
      <c r="B101" s="1" t="str">
        <f t="shared" si="15"/>
        <v>0.97, Cultivate Ridge Till 8R-30</v>
      </c>
      <c r="C101" s="168">
        <v>0.97</v>
      </c>
      <c r="D101" s="164" t="s">
        <v>459</v>
      </c>
      <c r="E101" s="164" t="s">
        <v>497</v>
      </c>
      <c r="F101" s="164" t="s">
        <v>25</v>
      </c>
      <c r="G101" s="164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  <c r="AG101" s="223">
        <v>25624.999999999996</v>
      </c>
    </row>
    <row r="102" spans="1:33" x14ac:dyDescent="0.2">
      <c r="A102" s="245">
        <v>320</v>
      </c>
      <c r="B102" s="1" t="str">
        <f t="shared" si="15"/>
        <v>0.98, Cultivate Ridge Till 12R-30</v>
      </c>
      <c r="C102" s="168">
        <v>0.98</v>
      </c>
      <c r="D102" s="164" t="s">
        <v>459</v>
      </c>
      <c r="E102" s="164" t="s">
        <v>499</v>
      </c>
      <c r="F102" s="164" t="s">
        <v>6</v>
      </c>
      <c r="G102" s="164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  <c r="AG102" s="223">
        <v>36285</v>
      </c>
    </row>
    <row r="103" spans="1:33" x14ac:dyDescent="0.2">
      <c r="A103" s="245">
        <v>47</v>
      </c>
      <c r="B103" s="1" t="str">
        <f t="shared" si="15"/>
        <v>0.99, Disk &amp; Incorporate 14'</v>
      </c>
      <c r="C103" s="168">
        <v>0.99</v>
      </c>
      <c r="D103" s="164" t="s">
        <v>459</v>
      </c>
      <c r="E103" s="164" t="s">
        <v>275</v>
      </c>
      <c r="F103" s="164" t="s">
        <v>12</v>
      </c>
      <c r="G103" s="164" t="str">
        <f t="shared" si="16"/>
        <v>Disk &amp; Incorporate 14'</v>
      </c>
      <c r="H103" s="30">
        <v>28781.339999999997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816.42588938638187</v>
      </c>
      <c r="W103" s="9">
        <f t="shared" si="20"/>
        <v>4.0821294469319094</v>
      </c>
      <c r="X103" s="8">
        <f t="shared" si="21"/>
        <v>1726.8804</v>
      </c>
      <c r="Y103" s="7">
        <f t="shared" si="22"/>
        <v>8.6344019999999997</v>
      </c>
      <c r="Z103" s="2">
        <f t="shared" si="23"/>
        <v>8634.402</v>
      </c>
      <c r="AA103" s="2">
        <f t="shared" si="24"/>
        <v>2014.6937999999996</v>
      </c>
      <c r="AB103" s="2">
        <f t="shared" si="25"/>
        <v>18707.870999999999</v>
      </c>
      <c r="AC103" s="6">
        <f t="shared" si="26"/>
        <v>1683.7083899999998</v>
      </c>
      <c r="AD103" s="6">
        <f t="shared" si="27"/>
        <v>448.98890399999999</v>
      </c>
      <c r="AE103" s="6">
        <f t="shared" si="28"/>
        <v>4147.3910939999996</v>
      </c>
      <c r="AF103" s="5">
        <f t="shared" si="29"/>
        <v>20.736955469999998</v>
      </c>
      <c r="AG103" s="223">
        <v>28494.999999999996</v>
      </c>
    </row>
    <row r="104" spans="1:33" x14ac:dyDescent="0.2">
      <c r="A104" s="245">
        <v>744</v>
      </c>
      <c r="B104" s="1" t="str">
        <f t="shared" si="15"/>
        <v>1, Disk &amp; Incorporate 20'</v>
      </c>
      <c r="C104" s="168">
        <v>1</v>
      </c>
      <c r="D104" s="164" t="s">
        <v>459</v>
      </c>
      <c r="E104" s="164" t="s">
        <v>275</v>
      </c>
      <c r="F104" s="164" t="s">
        <v>8</v>
      </c>
      <c r="G104" s="164" t="str">
        <f t="shared" si="16"/>
        <v>Disk &amp; Incorporate 20'</v>
      </c>
      <c r="H104" s="30">
        <v>45139.079999999994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1104.8364012401848</v>
      </c>
      <c r="W104" s="9">
        <f t="shared" si="20"/>
        <v>6.137980006889916</v>
      </c>
      <c r="X104" s="8">
        <f t="shared" si="21"/>
        <v>2708.3447999999999</v>
      </c>
      <c r="Y104" s="7">
        <f t="shared" si="22"/>
        <v>15.04636</v>
      </c>
      <c r="Z104" s="2">
        <f t="shared" si="23"/>
        <v>13541.723999999998</v>
      </c>
      <c r="AA104" s="2">
        <f t="shared" si="24"/>
        <v>3159.7355999999995</v>
      </c>
      <c r="AB104" s="2">
        <f t="shared" si="25"/>
        <v>29340.401999999995</v>
      </c>
      <c r="AC104" s="6">
        <f t="shared" si="26"/>
        <v>2640.6361799999995</v>
      </c>
      <c r="AD104" s="6">
        <f t="shared" si="27"/>
        <v>704.16964799999994</v>
      </c>
      <c r="AE104" s="6">
        <f t="shared" si="28"/>
        <v>6504.5414279999995</v>
      </c>
      <c r="AF104" s="5">
        <f t="shared" si="29"/>
        <v>36.136341266666662</v>
      </c>
      <c r="AG104" s="223">
        <v>44689.999999999993</v>
      </c>
    </row>
    <row r="105" spans="1:33" x14ac:dyDescent="0.2">
      <c r="A105" s="245">
        <v>48</v>
      </c>
      <c r="B105" s="1" t="str">
        <f t="shared" si="15"/>
        <v>1.01, Disk &amp; Incorporate 24'</v>
      </c>
      <c r="C105" s="168">
        <v>1.01</v>
      </c>
      <c r="D105" s="164" t="s">
        <v>459</v>
      </c>
      <c r="E105" s="164" t="s">
        <v>275</v>
      </c>
      <c r="F105" s="164" t="s">
        <v>65</v>
      </c>
      <c r="G105" s="164" t="str">
        <f t="shared" si="16"/>
        <v>Disk &amp; Incorporate 24'</v>
      </c>
      <c r="H105" s="30">
        <v>50212.049999999996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1424.3401307640115</v>
      </c>
      <c r="W105" s="9">
        <f t="shared" si="20"/>
        <v>7.1217006538200573</v>
      </c>
      <c r="X105" s="8">
        <f t="shared" si="21"/>
        <v>3012.7229999999995</v>
      </c>
      <c r="Y105" s="7">
        <f t="shared" si="22"/>
        <v>15.063614999999997</v>
      </c>
      <c r="Z105" s="2">
        <f t="shared" si="23"/>
        <v>15063.614999999998</v>
      </c>
      <c r="AA105" s="2">
        <f t="shared" si="24"/>
        <v>3514.8434999999999</v>
      </c>
      <c r="AB105" s="2">
        <f t="shared" si="25"/>
        <v>32637.832499999997</v>
      </c>
      <c r="AC105" s="6">
        <f t="shared" si="26"/>
        <v>2937.4049249999998</v>
      </c>
      <c r="AD105" s="6">
        <f t="shared" si="27"/>
        <v>783.30797999999993</v>
      </c>
      <c r="AE105" s="6">
        <f t="shared" si="28"/>
        <v>7235.5564049999994</v>
      </c>
      <c r="AF105" s="5">
        <f t="shared" si="29"/>
        <v>36.177782024999999</v>
      </c>
      <c r="AG105" s="223">
        <v>49712.499999999993</v>
      </c>
    </row>
    <row r="106" spans="1:33" x14ac:dyDescent="0.2">
      <c r="A106" s="245">
        <v>582</v>
      </c>
      <c r="B106" s="1" t="str">
        <f t="shared" si="15"/>
        <v>1.02, Disk &amp; Incorporate 28'</v>
      </c>
      <c r="C106" s="168">
        <v>1.02</v>
      </c>
      <c r="D106" s="164" t="s">
        <v>459</v>
      </c>
      <c r="E106" s="164" t="s">
        <v>275</v>
      </c>
      <c r="F106" s="164" t="s">
        <v>92</v>
      </c>
      <c r="G106" s="164" t="str">
        <f t="shared" si="16"/>
        <v>Disk &amp; Incorporate 28'</v>
      </c>
      <c r="H106" s="30">
        <v>53007.359999999993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1503.6332926828329</v>
      </c>
      <c r="W106" s="9">
        <f t="shared" si="20"/>
        <v>7.5181664634141647</v>
      </c>
      <c r="X106" s="8">
        <f t="shared" si="21"/>
        <v>3180.4415999999997</v>
      </c>
      <c r="Y106" s="7">
        <f t="shared" si="22"/>
        <v>15.902207999999998</v>
      </c>
      <c r="Z106" s="2">
        <f t="shared" si="23"/>
        <v>15902.207999999999</v>
      </c>
      <c r="AA106" s="2">
        <f t="shared" si="24"/>
        <v>3710.5151999999994</v>
      </c>
      <c r="AB106" s="2">
        <f t="shared" si="25"/>
        <v>34454.784</v>
      </c>
      <c r="AC106" s="6">
        <f t="shared" si="26"/>
        <v>3100.9305599999998</v>
      </c>
      <c r="AD106" s="6">
        <f t="shared" si="27"/>
        <v>826.91481599999997</v>
      </c>
      <c r="AE106" s="6">
        <f t="shared" si="28"/>
        <v>7638.3605759999991</v>
      </c>
      <c r="AF106" s="5">
        <f t="shared" si="29"/>
        <v>38.191802879999997</v>
      </c>
      <c r="AG106" s="223">
        <v>52479.999999999993</v>
      </c>
    </row>
    <row r="107" spans="1:33" x14ac:dyDescent="0.2">
      <c r="A107" s="245">
        <v>49</v>
      </c>
      <c r="B107" s="1" t="str">
        <f t="shared" si="15"/>
        <v>1.03, Disk &amp; Incorporate 32'</v>
      </c>
      <c r="C107" s="168">
        <v>1.03</v>
      </c>
      <c r="D107" s="164" t="s">
        <v>459</v>
      </c>
      <c r="E107" s="164" t="s">
        <v>275</v>
      </c>
      <c r="F107" s="164" t="s">
        <v>43</v>
      </c>
      <c r="G107" s="164" t="str">
        <f t="shared" si="16"/>
        <v>Disk &amp; Incorporate 32'</v>
      </c>
      <c r="H107" s="30">
        <v>58805.039999999994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1668.0931840700177</v>
      </c>
      <c r="W107" s="9">
        <f t="shared" si="20"/>
        <v>8.3404659203500895</v>
      </c>
      <c r="X107" s="8">
        <f t="shared" si="21"/>
        <v>3528.3023999999996</v>
      </c>
      <c r="Y107" s="7">
        <f t="shared" si="22"/>
        <v>17.641511999999999</v>
      </c>
      <c r="Z107" s="2">
        <f t="shared" si="23"/>
        <v>17641.511999999999</v>
      </c>
      <c r="AA107" s="2">
        <f t="shared" si="24"/>
        <v>4116.3527999999988</v>
      </c>
      <c r="AB107" s="2">
        <f t="shared" si="25"/>
        <v>38223.275999999998</v>
      </c>
      <c r="AC107" s="6">
        <f t="shared" si="26"/>
        <v>3440.0948399999997</v>
      </c>
      <c r="AD107" s="6">
        <f t="shared" si="27"/>
        <v>917.35862399999996</v>
      </c>
      <c r="AE107" s="6">
        <f t="shared" si="28"/>
        <v>8473.8062639999989</v>
      </c>
      <c r="AF107" s="5">
        <f t="shared" si="29"/>
        <v>42.369031319999998</v>
      </c>
      <c r="AG107" s="223">
        <v>58219.999999999993</v>
      </c>
    </row>
    <row r="108" spans="1:33" x14ac:dyDescent="0.2">
      <c r="A108" s="245">
        <v>72</v>
      </c>
      <c r="B108" s="1" t="str">
        <f t="shared" si="15"/>
        <v>1.04, Disk Harrow 14'</v>
      </c>
      <c r="C108" s="168">
        <v>1.04</v>
      </c>
      <c r="D108" s="164" t="s">
        <v>459</v>
      </c>
      <c r="E108" s="164" t="s">
        <v>276</v>
      </c>
      <c r="F108" s="164" t="s">
        <v>12</v>
      </c>
      <c r="G108" s="164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  <c r="AG108" s="223">
        <v>22344.999999999996</v>
      </c>
    </row>
    <row r="109" spans="1:33" x14ac:dyDescent="0.2">
      <c r="A109" s="245">
        <v>743</v>
      </c>
      <c r="B109" s="1" t="str">
        <f t="shared" si="15"/>
        <v>1.05, Disk Harrow 20'</v>
      </c>
      <c r="C109" s="168">
        <v>1.05</v>
      </c>
      <c r="D109" s="164" t="s">
        <v>459</v>
      </c>
      <c r="E109" s="164" t="s">
        <v>276</v>
      </c>
      <c r="F109" s="164" t="s">
        <v>8</v>
      </c>
      <c r="G109" s="164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  <c r="AG109" s="223">
        <v>38642.5</v>
      </c>
    </row>
    <row r="110" spans="1:33" x14ac:dyDescent="0.2">
      <c r="A110" s="245">
        <v>73</v>
      </c>
      <c r="B110" s="1" t="str">
        <f t="shared" si="15"/>
        <v>1.06, Disk Harrow 24'</v>
      </c>
      <c r="C110" s="168">
        <v>1.06</v>
      </c>
      <c r="D110" s="164" t="s">
        <v>459</v>
      </c>
      <c r="E110" s="164" t="s">
        <v>276</v>
      </c>
      <c r="F110" s="164" t="s">
        <v>65</v>
      </c>
      <c r="G110" s="164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  <c r="AG110" s="223">
        <v>43664.999999999993</v>
      </c>
    </row>
    <row r="111" spans="1:33" x14ac:dyDescent="0.2">
      <c r="A111" s="245">
        <v>291</v>
      </c>
      <c r="B111" s="1" t="str">
        <f t="shared" si="15"/>
        <v>1.07, Disk Harrow 28'</v>
      </c>
      <c r="C111" s="168">
        <v>1.07</v>
      </c>
      <c r="D111" s="164" t="s">
        <v>459</v>
      </c>
      <c r="E111" s="164" t="s">
        <v>276</v>
      </c>
      <c r="F111" s="164" t="s">
        <v>92</v>
      </c>
      <c r="G111" s="164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  <c r="AG111" s="223">
        <v>46329.999999999993</v>
      </c>
    </row>
    <row r="112" spans="1:33" x14ac:dyDescent="0.2">
      <c r="A112" s="245">
        <v>74</v>
      </c>
      <c r="B112" s="1" t="str">
        <f t="shared" si="15"/>
        <v>1.08, Disk Harrow 32'</v>
      </c>
      <c r="C112" s="168">
        <v>1.08</v>
      </c>
      <c r="D112" s="164" t="s">
        <v>459</v>
      </c>
      <c r="E112" s="164" t="s">
        <v>276</v>
      </c>
      <c r="F112" s="164" t="s">
        <v>43</v>
      </c>
      <c r="G112" s="164" t="str">
        <f t="shared" si="16"/>
        <v>Disk Harrow 32'</v>
      </c>
      <c r="H112" s="30">
        <v>53900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1319.2710623886435</v>
      </c>
      <c r="W112" s="9">
        <f t="shared" si="20"/>
        <v>7.3292836799369079</v>
      </c>
      <c r="X112" s="8">
        <f t="shared" si="21"/>
        <v>2695</v>
      </c>
      <c r="Y112" s="7">
        <f t="shared" si="22"/>
        <v>14.972222222222221</v>
      </c>
      <c r="Z112" s="2">
        <f t="shared" si="23"/>
        <v>16170</v>
      </c>
      <c r="AA112" s="2">
        <f t="shared" si="24"/>
        <v>3773</v>
      </c>
      <c r="AB112" s="2">
        <f t="shared" si="25"/>
        <v>35035</v>
      </c>
      <c r="AC112" s="6">
        <f t="shared" si="26"/>
        <v>3153.15</v>
      </c>
      <c r="AD112" s="6">
        <f t="shared" si="27"/>
        <v>840.84</v>
      </c>
      <c r="AE112" s="6">
        <f t="shared" si="28"/>
        <v>7766.99</v>
      </c>
      <c r="AF112" s="5">
        <f t="shared" si="29"/>
        <v>43.149944444444444</v>
      </c>
      <c r="AG112" s="223">
        <v>52069.999999999993</v>
      </c>
    </row>
    <row r="113" spans="1:33" x14ac:dyDescent="0.2">
      <c r="A113" s="245">
        <v>721</v>
      </c>
      <c r="B113" s="1" t="str">
        <f t="shared" si="15"/>
        <v>1.09, Disk Harrow 42'</v>
      </c>
      <c r="C113" s="168">
        <v>1.0900000000000001</v>
      </c>
      <c r="D113" s="164" t="s">
        <v>459</v>
      </c>
      <c r="E113" s="164" t="s">
        <v>276</v>
      </c>
      <c r="F113" s="164" t="s">
        <v>91</v>
      </c>
      <c r="G113" s="164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  <c r="AG113" s="223">
        <v>101987.49999999999</v>
      </c>
    </row>
    <row r="114" spans="1:33" x14ac:dyDescent="0.2">
      <c r="A114" s="245">
        <v>742</v>
      </c>
      <c r="B114" s="1" t="str">
        <f t="shared" si="15"/>
        <v>1.1, Disk Harrow 40-100 hp 14'</v>
      </c>
      <c r="C114" s="168">
        <v>1.1000000000000001</v>
      </c>
      <c r="D114" s="164" t="s">
        <v>459</v>
      </c>
      <c r="E114" s="164" t="s">
        <v>277</v>
      </c>
      <c r="F114" s="164" t="s">
        <v>12</v>
      </c>
      <c r="G114" s="164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  <c r="AG114" s="223">
        <v>14452.499999999998</v>
      </c>
    </row>
    <row r="115" spans="1:33" x14ac:dyDescent="0.2">
      <c r="A115" s="245">
        <v>722</v>
      </c>
      <c r="B115" s="1" t="str">
        <f t="shared" si="15"/>
        <v>1.11, Disk Ripper 15'</v>
      </c>
      <c r="C115" s="168">
        <v>1.1100000000000001</v>
      </c>
      <c r="D115" s="164" t="s">
        <v>459</v>
      </c>
      <c r="E115" s="164" t="s">
        <v>278</v>
      </c>
      <c r="F115" s="164" t="s">
        <v>10</v>
      </c>
      <c r="G115" s="164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  <c r="AG115" s="223">
        <v>41410</v>
      </c>
    </row>
    <row r="116" spans="1:33" x14ac:dyDescent="0.2">
      <c r="A116" s="245">
        <v>419</v>
      </c>
      <c r="B116" s="1" t="str">
        <f t="shared" si="15"/>
        <v xml:space="preserve">1.12, Ditcher  </v>
      </c>
      <c r="C116" s="168">
        <v>1.1200000000000001</v>
      </c>
      <c r="D116" s="164" t="s">
        <v>459</v>
      </c>
      <c r="E116" s="164" t="s">
        <v>279</v>
      </c>
      <c r="F116" s="164" t="s">
        <v>63</v>
      </c>
      <c r="G116" s="164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  <c r="AG116" s="223">
        <v>5032.75</v>
      </c>
    </row>
    <row r="117" spans="1:33" x14ac:dyDescent="0.2">
      <c r="A117" s="245">
        <v>76</v>
      </c>
      <c r="B117" s="1" t="str">
        <f t="shared" si="15"/>
        <v xml:space="preserve">1.13, Ditcher (1m/160a)  </v>
      </c>
      <c r="C117" s="168">
        <v>1.1299999999999999</v>
      </c>
      <c r="D117" s="164" t="s">
        <v>459</v>
      </c>
      <c r="E117" s="164" t="s">
        <v>280</v>
      </c>
      <c r="F117" s="164" t="s">
        <v>63</v>
      </c>
      <c r="G117" s="164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  <c r="AG117" s="223">
        <v>5032.75</v>
      </c>
    </row>
    <row r="118" spans="1:33" x14ac:dyDescent="0.2">
      <c r="A118" s="245">
        <v>83</v>
      </c>
      <c r="B118" s="1" t="str">
        <f t="shared" si="15"/>
        <v>1.14, Fert Appl (Liquid)  4R-36</v>
      </c>
      <c r="C118" s="168">
        <v>1.1399999999999999</v>
      </c>
      <c r="D118" s="164" t="s">
        <v>459</v>
      </c>
      <c r="E118" s="164" t="s">
        <v>281</v>
      </c>
      <c r="F118" s="164" t="s">
        <v>201</v>
      </c>
      <c r="G118" s="164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  <c r="AG118" s="223">
        <v>13837.499999999998</v>
      </c>
    </row>
    <row r="119" spans="1:33" x14ac:dyDescent="0.2">
      <c r="A119" s="245">
        <v>84</v>
      </c>
      <c r="B119" s="1" t="str">
        <f t="shared" si="15"/>
        <v>1.15, Fert Appl (Liquid)  6R-30</v>
      </c>
      <c r="C119" s="168">
        <v>1.1499999999999999</v>
      </c>
      <c r="D119" s="164" t="s">
        <v>459</v>
      </c>
      <c r="E119" s="164" t="s">
        <v>281</v>
      </c>
      <c r="F119" s="164" t="s">
        <v>53</v>
      </c>
      <c r="G119" s="164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  <c r="AG119" s="223">
        <v>16707.5</v>
      </c>
    </row>
    <row r="120" spans="1:33" x14ac:dyDescent="0.2">
      <c r="A120" s="245">
        <v>85</v>
      </c>
      <c r="B120" s="1" t="str">
        <f t="shared" si="15"/>
        <v>1.16, Fert Appl (Liquid)  6R-36</v>
      </c>
      <c r="C120" s="168">
        <v>1.1599999999999999</v>
      </c>
      <c r="D120" s="164" t="s">
        <v>459</v>
      </c>
      <c r="E120" s="164" t="s">
        <v>281</v>
      </c>
      <c r="F120" s="164" t="s">
        <v>202</v>
      </c>
      <c r="G120" s="164" t="str">
        <f t="shared" si="16"/>
        <v>Fert Appl (Liquid)  6R-36</v>
      </c>
      <c r="H120" s="30">
        <v>11600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219.96294014377077</v>
      </c>
      <c r="W120" s="9">
        <f t="shared" si="20"/>
        <v>1.4664196009584718</v>
      </c>
      <c r="X120" s="8">
        <f t="shared" si="21"/>
        <v>1160</v>
      </c>
      <c r="Y120" s="7">
        <f t="shared" si="22"/>
        <v>7.7333333333333334</v>
      </c>
      <c r="Z120" s="2">
        <f t="shared" si="23"/>
        <v>4640</v>
      </c>
      <c r="AA120" s="2">
        <f t="shared" si="24"/>
        <v>870</v>
      </c>
      <c r="AB120" s="2">
        <f t="shared" si="25"/>
        <v>8120</v>
      </c>
      <c r="AC120" s="6">
        <f t="shared" si="26"/>
        <v>730.8</v>
      </c>
      <c r="AD120" s="6">
        <f t="shared" si="27"/>
        <v>194.88</v>
      </c>
      <c r="AE120" s="6">
        <f t="shared" si="28"/>
        <v>1795.6799999999998</v>
      </c>
      <c r="AF120" s="5">
        <f t="shared" si="29"/>
        <v>11.9712</v>
      </c>
      <c r="AG120" s="223">
        <v>14862.499999999998</v>
      </c>
    </row>
    <row r="121" spans="1:33" x14ac:dyDescent="0.2">
      <c r="A121" s="245">
        <v>86</v>
      </c>
      <c r="B121" s="1" t="str">
        <f t="shared" si="15"/>
        <v>1.17, Fert Appl (Liquid)  8R-30</v>
      </c>
      <c r="C121" s="168">
        <v>1.17</v>
      </c>
      <c r="D121" s="164" t="s">
        <v>459</v>
      </c>
      <c r="E121" s="164" t="s">
        <v>281</v>
      </c>
      <c r="F121" s="164" t="s">
        <v>25</v>
      </c>
      <c r="G121" s="164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  <c r="AG121" s="223">
        <v>15579.999999999998</v>
      </c>
    </row>
    <row r="122" spans="1:33" x14ac:dyDescent="0.2">
      <c r="A122" s="245">
        <v>87</v>
      </c>
      <c r="B122" s="1" t="str">
        <f t="shared" si="15"/>
        <v>1.18, Fert Appl (Liquid)  8R-36</v>
      </c>
      <c r="C122" s="168">
        <v>1.18</v>
      </c>
      <c r="D122" s="164" t="s">
        <v>459</v>
      </c>
      <c r="E122" s="164" t="s">
        <v>281</v>
      </c>
      <c r="F122" s="164" t="s">
        <v>199</v>
      </c>
      <c r="G122" s="164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  <c r="AG122" s="223">
        <v>17732.5</v>
      </c>
    </row>
    <row r="123" spans="1:33" x14ac:dyDescent="0.2">
      <c r="A123" s="245">
        <v>88</v>
      </c>
      <c r="B123" s="1" t="str">
        <f t="shared" si="15"/>
        <v>1.19, Fert Appl (Liquid) 10R-30</v>
      </c>
      <c r="C123" s="168">
        <v>1.19</v>
      </c>
      <c r="D123" s="164" t="s">
        <v>459</v>
      </c>
      <c r="E123" s="164" t="s">
        <v>281</v>
      </c>
      <c r="F123" s="164" t="s">
        <v>24</v>
      </c>
      <c r="G123" s="164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  <c r="AG123" s="223">
        <v>19065</v>
      </c>
    </row>
    <row r="124" spans="1:33" x14ac:dyDescent="0.2">
      <c r="A124" s="245">
        <v>308</v>
      </c>
      <c r="B124" s="1" t="str">
        <f t="shared" si="15"/>
        <v>1.2, Fert Appl (Liquid) 12R-30</v>
      </c>
      <c r="C124" s="168">
        <v>1.2</v>
      </c>
      <c r="D124" s="164" t="s">
        <v>459</v>
      </c>
      <c r="E124" s="164" t="s">
        <v>281</v>
      </c>
      <c r="F124" s="164" t="s">
        <v>6</v>
      </c>
      <c r="G124" s="164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  <c r="AG124" s="223">
        <v>19885</v>
      </c>
    </row>
    <row r="125" spans="1:33" x14ac:dyDescent="0.2">
      <c r="A125" s="245">
        <v>89</v>
      </c>
      <c r="B125" s="1" t="str">
        <f t="shared" si="15"/>
        <v>1.21, Fert Appl (Liquid) 10R-36</v>
      </c>
      <c r="C125" s="168">
        <v>1.21</v>
      </c>
      <c r="D125" s="164" t="s">
        <v>459</v>
      </c>
      <c r="E125" s="164" t="s">
        <v>281</v>
      </c>
      <c r="F125" s="164" t="s">
        <v>204</v>
      </c>
      <c r="G125" s="164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  <c r="AG125" s="223">
        <v>20807.5</v>
      </c>
    </row>
    <row r="126" spans="1:33" x14ac:dyDescent="0.2">
      <c r="A126" s="245">
        <v>244</v>
      </c>
      <c r="B126" s="1" t="str">
        <f t="shared" si="15"/>
        <v>1.22, Fert Appl (Liquid)  8R-36 2x1</v>
      </c>
      <c r="C126" s="168">
        <v>1.22</v>
      </c>
      <c r="D126" s="164" t="s">
        <v>459</v>
      </c>
      <c r="E126" s="164" t="s">
        <v>281</v>
      </c>
      <c r="F126" s="164" t="s">
        <v>203</v>
      </c>
      <c r="G126" s="164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  <c r="AG126" s="223">
        <v>17322.5</v>
      </c>
    </row>
    <row r="127" spans="1:33" x14ac:dyDescent="0.2">
      <c r="A127" s="245">
        <v>245</v>
      </c>
      <c r="B127" s="1" t="str">
        <f t="shared" si="15"/>
        <v>1.23, Fert Appl (Liquid) 12R-36</v>
      </c>
      <c r="C127" s="168">
        <v>1.23</v>
      </c>
      <c r="D127" s="164" t="s">
        <v>459</v>
      </c>
      <c r="E127" s="164" t="s">
        <v>281</v>
      </c>
      <c r="F127" s="164" t="s">
        <v>200</v>
      </c>
      <c r="G127" s="164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  <c r="AG127" s="223">
        <v>18962.5</v>
      </c>
    </row>
    <row r="128" spans="1:33" x14ac:dyDescent="0.2">
      <c r="A128" s="245">
        <v>100</v>
      </c>
      <c r="B128" s="1" t="str">
        <f t="shared" si="15"/>
        <v>1.24, Field Cult &amp; Inc 42'</v>
      </c>
      <c r="C128" s="168">
        <v>1.24</v>
      </c>
      <c r="D128" s="164" t="s">
        <v>459</v>
      </c>
      <c r="E128" s="164" t="s">
        <v>282</v>
      </c>
      <c r="F128" s="164" t="s">
        <v>91</v>
      </c>
      <c r="G128" s="164" t="str">
        <f t="shared" si="16"/>
        <v>Field Cult &amp; Inc 42'</v>
      </c>
      <c r="H128" s="30">
        <v>62532.119999999995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672.15110477161784</v>
      </c>
      <c r="W128" s="9">
        <f t="shared" si="20"/>
        <v>6.7215110477161781</v>
      </c>
      <c r="X128" s="8">
        <f t="shared" si="21"/>
        <v>1563.3030000000001</v>
      </c>
      <c r="Y128" s="7">
        <f t="shared" si="22"/>
        <v>15.633030000000002</v>
      </c>
      <c r="Z128" s="2">
        <f t="shared" si="23"/>
        <v>18759.635999999999</v>
      </c>
      <c r="AA128" s="2">
        <f t="shared" si="24"/>
        <v>4377.2483999999995</v>
      </c>
      <c r="AB128" s="2">
        <f t="shared" si="25"/>
        <v>40645.877999999997</v>
      </c>
      <c r="AC128" s="6">
        <f t="shared" si="26"/>
        <v>3658.1290199999994</v>
      </c>
      <c r="AD128" s="6">
        <f t="shared" si="27"/>
        <v>975.50107199999991</v>
      </c>
      <c r="AE128" s="6">
        <f t="shared" si="28"/>
        <v>9010.878491999998</v>
      </c>
      <c r="AF128" s="5">
        <f t="shared" si="29"/>
        <v>90.108784919999977</v>
      </c>
      <c r="AG128" s="223">
        <v>61909.999999999993</v>
      </c>
    </row>
    <row r="129" spans="1:33" x14ac:dyDescent="0.2">
      <c r="A129" s="245">
        <v>583</v>
      </c>
      <c r="B129" s="1" t="str">
        <f t="shared" si="15"/>
        <v>1.25, Field Cult &amp; Inc 50'</v>
      </c>
      <c r="C129" s="168">
        <v>1.25</v>
      </c>
      <c r="D129" s="164" t="s">
        <v>459</v>
      </c>
      <c r="E129" s="164" t="s">
        <v>282</v>
      </c>
      <c r="F129" s="164" t="s">
        <v>15</v>
      </c>
      <c r="G129" s="164" t="str">
        <f t="shared" si="16"/>
        <v>Field Cult &amp; Inc 50'</v>
      </c>
      <c r="H129" s="30">
        <v>73402.76999999999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788.99856503820695</v>
      </c>
      <c r="W129" s="9">
        <f t="shared" si="20"/>
        <v>7.8899856503820693</v>
      </c>
      <c r="X129" s="8">
        <f t="shared" si="21"/>
        <v>1835.0692499999998</v>
      </c>
      <c r="Y129" s="7">
        <f t="shared" si="22"/>
        <v>18.350692499999997</v>
      </c>
      <c r="Z129" s="2">
        <f t="shared" si="23"/>
        <v>22020.830999999995</v>
      </c>
      <c r="AA129" s="2">
        <f t="shared" si="24"/>
        <v>5138.1939000000002</v>
      </c>
      <c r="AB129" s="2">
        <f t="shared" si="25"/>
        <v>47711.80049999999</v>
      </c>
      <c r="AC129" s="6">
        <f t="shared" si="26"/>
        <v>4294.0620449999988</v>
      </c>
      <c r="AD129" s="6">
        <f t="shared" si="27"/>
        <v>1145.0832119999998</v>
      </c>
      <c r="AE129" s="6">
        <f t="shared" si="28"/>
        <v>10577.339156999999</v>
      </c>
      <c r="AF129" s="5">
        <f t="shared" si="29"/>
        <v>105.77339156999999</v>
      </c>
      <c r="AG129" s="223">
        <v>72672.5</v>
      </c>
    </row>
    <row r="130" spans="1:33" x14ac:dyDescent="0.2">
      <c r="A130" s="245">
        <v>98</v>
      </c>
      <c r="B130" s="1" t="str">
        <f t="shared" si="15"/>
        <v>1.26, Field Cult &amp; Inc Fld 24'</v>
      </c>
      <c r="C130" s="168">
        <v>1.26</v>
      </c>
      <c r="D130" s="164" t="s">
        <v>459</v>
      </c>
      <c r="E130" s="164" t="s">
        <v>283</v>
      </c>
      <c r="F130" s="164" t="s">
        <v>65</v>
      </c>
      <c r="G130" s="164" t="str">
        <f t="shared" si="16"/>
        <v>Field Cult &amp; Inc Fld 24'</v>
      </c>
      <c r="H130" s="30">
        <v>33336.659999999996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358.33221148420682</v>
      </c>
      <c r="W130" s="9">
        <f t="shared" si="20"/>
        <v>3.5833221148420682</v>
      </c>
      <c r="X130" s="8">
        <f t="shared" si="21"/>
        <v>833.41649999999993</v>
      </c>
      <c r="Y130" s="7">
        <f t="shared" si="22"/>
        <v>8.3341649999999987</v>
      </c>
      <c r="Z130" s="2">
        <f t="shared" si="23"/>
        <v>10000.998</v>
      </c>
      <c r="AA130" s="2">
        <f t="shared" si="24"/>
        <v>2333.5661999999998</v>
      </c>
      <c r="AB130" s="2">
        <f t="shared" si="25"/>
        <v>21668.828999999998</v>
      </c>
      <c r="AC130" s="6">
        <f t="shared" si="26"/>
        <v>1950.1946099999998</v>
      </c>
      <c r="AD130" s="6">
        <f t="shared" si="27"/>
        <v>520.05189599999994</v>
      </c>
      <c r="AE130" s="6">
        <f t="shared" si="28"/>
        <v>4803.8127059999997</v>
      </c>
      <c r="AF130" s="5">
        <f t="shared" si="29"/>
        <v>48.038127059999994</v>
      </c>
      <c r="AG130" s="223">
        <v>33005</v>
      </c>
    </row>
    <row r="131" spans="1:33" x14ac:dyDescent="0.2">
      <c r="A131" s="245">
        <v>99</v>
      </c>
      <c r="B131" s="1" t="str">
        <f t="shared" si="15"/>
        <v>1.27, Field Cult &amp; Inc Fld 32'</v>
      </c>
      <c r="C131" s="168">
        <v>1.27</v>
      </c>
      <c r="D131" s="164" t="s">
        <v>459</v>
      </c>
      <c r="E131" s="164" t="s">
        <v>283</v>
      </c>
      <c r="F131" s="164" t="s">
        <v>43</v>
      </c>
      <c r="G131" s="164" t="str">
        <f t="shared" si="16"/>
        <v>Field Cult &amp; Inc Fld 32'</v>
      </c>
      <c r="H131" s="30">
        <v>46277.909999999996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497.43633084919401</v>
      </c>
      <c r="W131" s="9">
        <f t="shared" si="20"/>
        <v>4.9743633084919399</v>
      </c>
      <c r="X131" s="8">
        <f t="shared" si="21"/>
        <v>1156.94775</v>
      </c>
      <c r="Y131" s="7">
        <f t="shared" si="22"/>
        <v>11.5694775</v>
      </c>
      <c r="Z131" s="2">
        <f t="shared" si="23"/>
        <v>13883.372999999998</v>
      </c>
      <c r="AA131" s="2">
        <f t="shared" si="24"/>
        <v>3239.4536999999996</v>
      </c>
      <c r="AB131" s="2">
        <f t="shared" si="25"/>
        <v>30080.641499999998</v>
      </c>
      <c r="AC131" s="6">
        <f t="shared" si="26"/>
        <v>2707.2577349999997</v>
      </c>
      <c r="AD131" s="6">
        <f t="shared" si="27"/>
        <v>721.93539599999997</v>
      </c>
      <c r="AE131" s="6">
        <f t="shared" si="28"/>
        <v>6668.6468309999991</v>
      </c>
      <c r="AF131" s="5">
        <f t="shared" si="29"/>
        <v>66.686468309999995</v>
      </c>
      <c r="AG131" s="223">
        <v>45817.499999999993</v>
      </c>
    </row>
    <row r="132" spans="1:33" x14ac:dyDescent="0.2">
      <c r="A132" s="245">
        <v>97</v>
      </c>
      <c r="B132" s="1" t="str">
        <f t="shared" si="15"/>
        <v>1.28, Field Cult &amp; Inc Rdg 12'</v>
      </c>
      <c r="C132" s="168">
        <v>1.28</v>
      </c>
      <c r="D132" s="164" t="s">
        <v>459</v>
      </c>
      <c r="E132" s="164" t="s">
        <v>284</v>
      </c>
      <c r="F132" s="164" t="s">
        <v>11</v>
      </c>
      <c r="G132" s="164" t="str">
        <f t="shared" si="16"/>
        <v>Field Cult &amp; Inc Rdg 12'</v>
      </c>
      <c r="H132" s="30">
        <v>18117.75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194.745767110982</v>
      </c>
      <c r="W132" s="9">
        <f t="shared" si="20"/>
        <v>1.9474576711098199</v>
      </c>
      <c r="X132" s="8">
        <f t="shared" si="21"/>
        <v>452.94375000000002</v>
      </c>
      <c r="Y132" s="7">
        <f t="shared" si="22"/>
        <v>4.5294375000000002</v>
      </c>
      <c r="Z132" s="2">
        <f t="shared" si="23"/>
        <v>5435.3249999999998</v>
      </c>
      <c r="AA132" s="2">
        <f t="shared" si="24"/>
        <v>1268.2424999999998</v>
      </c>
      <c r="AB132" s="2">
        <f t="shared" si="25"/>
        <v>11776.5375</v>
      </c>
      <c r="AC132" s="6">
        <f t="shared" si="26"/>
        <v>1059.888375</v>
      </c>
      <c r="AD132" s="6">
        <f t="shared" si="27"/>
        <v>282.63690000000003</v>
      </c>
      <c r="AE132" s="6">
        <f t="shared" si="28"/>
        <v>2610.7677749999998</v>
      </c>
      <c r="AF132" s="5">
        <f t="shared" si="29"/>
        <v>26.107677749999997</v>
      </c>
      <c r="AG132" s="223">
        <v>17937.5</v>
      </c>
    </row>
    <row r="133" spans="1:33" x14ac:dyDescent="0.2">
      <c r="A133" s="245">
        <v>102</v>
      </c>
      <c r="B133" s="1" t="str">
        <f t="shared" ref="B133:B196" si="30">CONCATENATE(C133,D133,E133,F133)</f>
        <v>1.29, Field Cultivate Fld 24'</v>
      </c>
      <c r="C133" s="168">
        <v>1.29</v>
      </c>
      <c r="D133" s="164" t="s">
        <v>459</v>
      </c>
      <c r="E133" s="164" t="s">
        <v>285</v>
      </c>
      <c r="F133" s="164" t="s">
        <v>65</v>
      </c>
      <c r="G133" s="164" t="str">
        <f t="shared" ref="G133:G196" si="31">CONCATENATE(E133,F133)</f>
        <v>Field Cultivate Fld 24'</v>
      </c>
      <c r="H133" s="30">
        <v>27124.859999999997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291.562234189013</v>
      </c>
      <c r="W133" s="9">
        <f t="shared" ref="W133:W196" si="35">V133/P133</f>
        <v>2.9156223418901299</v>
      </c>
      <c r="X133" s="8">
        <f t="shared" ref="X133:X196" si="36">(H133*N133/100)/O133</f>
        <v>678.12149999999997</v>
      </c>
      <c r="Y133" s="7">
        <f t="shared" ref="Y133:Y196" si="37">X133/P133</f>
        <v>6.7812149999999995</v>
      </c>
      <c r="Z133" s="2">
        <f t="shared" ref="Z133:Z196" si="38">H133*M133/100</f>
        <v>8137.4579999999996</v>
      </c>
      <c r="AA133" s="2">
        <f t="shared" ref="AA133:AA196" si="39">(H133-Z133)/O133</f>
        <v>1898.7401999999997</v>
      </c>
      <c r="AB133" s="2">
        <f t="shared" ref="AB133:AB196" si="40">(Z133+H133)/2</f>
        <v>17631.159</v>
      </c>
      <c r="AC133" s="6">
        <f t="shared" ref="AC133:AC196" si="41">AB133*intir</f>
        <v>1586.80431</v>
      </c>
      <c r="AD133" s="6">
        <f t="shared" ref="AD133:AD196" si="42">AB133*itr</f>
        <v>423.14781599999998</v>
      </c>
      <c r="AE133" s="6">
        <f t="shared" ref="AE133:AE196" si="43">AA133+AC133+AD133</f>
        <v>3908.6923259999999</v>
      </c>
      <c r="AF133" s="5">
        <f t="shared" ref="AF133:AF196" si="44">AE133/P133</f>
        <v>39.086923259999999</v>
      </c>
      <c r="AG133" s="223">
        <v>26854.999999999996</v>
      </c>
    </row>
    <row r="134" spans="1:33" x14ac:dyDescent="0.2">
      <c r="A134" s="245">
        <v>103</v>
      </c>
      <c r="B134" s="1" t="str">
        <f t="shared" si="30"/>
        <v>1.3, Field Cultivate Fld 32'</v>
      </c>
      <c r="C134" s="168">
        <v>1.3</v>
      </c>
      <c r="D134" s="164" t="s">
        <v>459</v>
      </c>
      <c r="E134" s="164" t="s">
        <v>285</v>
      </c>
      <c r="F134" s="164" t="s">
        <v>43</v>
      </c>
      <c r="G134" s="164" t="str">
        <f t="shared" si="31"/>
        <v>Field Cultivate Fld 32'</v>
      </c>
      <c r="H134" s="30">
        <v>38616.689999999995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415.08669218512154</v>
      </c>
      <c r="W134" s="9">
        <f t="shared" si="35"/>
        <v>4.1508669218512155</v>
      </c>
      <c r="X134" s="8">
        <f t="shared" si="36"/>
        <v>965.41724999999985</v>
      </c>
      <c r="Y134" s="7">
        <f t="shared" si="37"/>
        <v>9.6541724999999978</v>
      </c>
      <c r="Z134" s="2">
        <f t="shared" si="38"/>
        <v>11585.007</v>
      </c>
      <c r="AA134" s="2">
        <f t="shared" si="39"/>
        <v>2703.1682999999998</v>
      </c>
      <c r="AB134" s="2">
        <f t="shared" si="40"/>
        <v>25100.848499999996</v>
      </c>
      <c r="AC134" s="6">
        <f t="shared" si="41"/>
        <v>2259.0763649999994</v>
      </c>
      <c r="AD134" s="6">
        <f t="shared" si="42"/>
        <v>602.42036399999995</v>
      </c>
      <c r="AE134" s="6">
        <f t="shared" si="43"/>
        <v>5564.6650289999989</v>
      </c>
      <c r="AF134" s="5">
        <f t="shared" si="44"/>
        <v>55.64665028999999</v>
      </c>
      <c r="AG134" s="223">
        <v>38232.5</v>
      </c>
    </row>
    <row r="135" spans="1:33" x14ac:dyDescent="0.2">
      <c r="A135" s="245">
        <v>104</v>
      </c>
      <c r="B135" s="1" t="str">
        <f t="shared" si="30"/>
        <v>1.31, Field Cultivate Fld 42'</v>
      </c>
      <c r="C135" s="168">
        <v>1.31</v>
      </c>
      <c r="D135" s="164" t="s">
        <v>459</v>
      </c>
      <c r="E135" s="164" t="s">
        <v>285</v>
      </c>
      <c r="F135" s="164" t="s">
        <v>91</v>
      </c>
      <c r="G135" s="164" t="str">
        <f t="shared" si="31"/>
        <v>Field Cultivate Fld 42'</v>
      </c>
      <c r="H135" s="30">
        <v>54870.899999999994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589.80146610754548</v>
      </c>
      <c r="W135" s="9">
        <f t="shared" si="35"/>
        <v>5.8980146610754547</v>
      </c>
      <c r="X135" s="8">
        <f t="shared" si="36"/>
        <v>1371.7724999999998</v>
      </c>
      <c r="Y135" s="7">
        <f t="shared" si="37"/>
        <v>13.717724999999998</v>
      </c>
      <c r="Z135" s="2">
        <f t="shared" si="38"/>
        <v>16461.269999999997</v>
      </c>
      <c r="AA135" s="2">
        <f t="shared" si="39"/>
        <v>3840.9629999999997</v>
      </c>
      <c r="AB135" s="2">
        <f t="shared" si="40"/>
        <v>35666.084999999992</v>
      </c>
      <c r="AC135" s="6">
        <f t="shared" si="41"/>
        <v>3209.9476499999992</v>
      </c>
      <c r="AD135" s="6">
        <f t="shared" si="42"/>
        <v>855.98603999999978</v>
      </c>
      <c r="AE135" s="6">
        <f t="shared" si="43"/>
        <v>7906.8966899999987</v>
      </c>
      <c r="AF135" s="5">
        <f t="shared" si="44"/>
        <v>79.068966899999992</v>
      </c>
      <c r="AG135" s="223">
        <v>54324.999999999993</v>
      </c>
    </row>
    <row r="136" spans="1:33" x14ac:dyDescent="0.2">
      <c r="A136" s="245">
        <v>215</v>
      </c>
      <c r="B136" s="1" t="str">
        <f t="shared" si="30"/>
        <v>1.32, Field Cultivate Fld 50'</v>
      </c>
      <c r="C136" s="168">
        <v>1.32</v>
      </c>
      <c r="D136" s="164" t="s">
        <v>459</v>
      </c>
      <c r="E136" s="164" t="s">
        <v>285</v>
      </c>
      <c r="F136" s="164" t="s">
        <v>15</v>
      </c>
      <c r="G136" s="164" t="str">
        <f t="shared" si="31"/>
        <v>Field Cultivate Fld 50'</v>
      </c>
      <c r="H136" s="30">
        <v>65534.489999999991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704.42326046429469</v>
      </c>
      <c r="W136" s="9">
        <f t="shared" si="35"/>
        <v>7.0442326046429464</v>
      </c>
      <c r="X136" s="8">
        <f t="shared" si="36"/>
        <v>1638.3622499999997</v>
      </c>
      <c r="Y136" s="7">
        <f t="shared" si="37"/>
        <v>16.383622499999998</v>
      </c>
      <c r="Z136" s="2">
        <f t="shared" si="38"/>
        <v>19660.346999999998</v>
      </c>
      <c r="AA136" s="2">
        <f t="shared" si="39"/>
        <v>4587.4142999999995</v>
      </c>
      <c r="AB136" s="2">
        <f t="shared" si="40"/>
        <v>42597.418499999992</v>
      </c>
      <c r="AC136" s="6">
        <f t="shared" si="41"/>
        <v>3833.7676649999994</v>
      </c>
      <c r="AD136" s="6">
        <f t="shared" si="42"/>
        <v>1022.3380439999999</v>
      </c>
      <c r="AE136" s="6">
        <f t="shared" si="43"/>
        <v>9443.5200089999998</v>
      </c>
      <c r="AF136" s="5">
        <f t="shared" si="44"/>
        <v>94.435200089999995</v>
      </c>
      <c r="AG136" s="223">
        <v>64882.499999999993</v>
      </c>
    </row>
    <row r="137" spans="1:33" x14ac:dyDescent="0.2">
      <c r="A137" s="245">
        <v>101</v>
      </c>
      <c r="B137" s="1" t="str">
        <f t="shared" si="30"/>
        <v>1.33, Field Cultivate Rdg 12'</v>
      </c>
      <c r="C137" s="168">
        <v>1.33</v>
      </c>
      <c r="D137" s="164" t="s">
        <v>459</v>
      </c>
      <c r="E137" s="164" t="s">
        <v>286</v>
      </c>
      <c r="F137" s="164" t="s">
        <v>11</v>
      </c>
      <c r="G137" s="164" t="str">
        <f t="shared" si="31"/>
        <v>Field Cultivate Rdg 12'</v>
      </c>
      <c r="H137" s="30">
        <v>11905.949999999999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127.97578981578816</v>
      </c>
      <c r="W137" s="9">
        <f t="shared" si="35"/>
        <v>1.2797578981578817</v>
      </c>
      <c r="X137" s="8">
        <f t="shared" si="36"/>
        <v>297.64875000000001</v>
      </c>
      <c r="Y137" s="7">
        <f t="shared" si="37"/>
        <v>2.9764875000000002</v>
      </c>
      <c r="Z137" s="2">
        <f t="shared" si="38"/>
        <v>3571.7849999999994</v>
      </c>
      <c r="AA137" s="2">
        <f t="shared" si="39"/>
        <v>833.41649999999993</v>
      </c>
      <c r="AB137" s="2">
        <f t="shared" si="40"/>
        <v>7738.8674999999994</v>
      </c>
      <c r="AC137" s="6">
        <f t="shared" si="41"/>
        <v>696.49807499999997</v>
      </c>
      <c r="AD137" s="6">
        <f t="shared" si="42"/>
        <v>185.73281999999998</v>
      </c>
      <c r="AE137" s="6">
        <f t="shared" si="43"/>
        <v>1715.6473949999997</v>
      </c>
      <c r="AF137" s="5">
        <f t="shared" si="44"/>
        <v>17.156473949999999</v>
      </c>
      <c r="AG137" s="223">
        <v>11787.499999999998</v>
      </c>
    </row>
    <row r="138" spans="1:33" x14ac:dyDescent="0.2">
      <c r="A138" s="245">
        <v>556</v>
      </c>
      <c r="B138" s="1" t="str">
        <f t="shared" si="30"/>
        <v>1.34, Grain Drill  8'</v>
      </c>
      <c r="C138" s="168">
        <v>1.34</v>
      </c>
      <c r="D138" s="164" t="s">
        <v>459</v>
      </c>
      <c r="E138" s="164" t="s">
        <v>287</v>
      </c>
      <c r="F138" s="164" t="s">
        <v>87</v>
      </c>
      <c r="G138" s="164" t="str">
        <f t="shared" si="31"/>
        <v>Grain Drill  8'</v>
      </c>
      <c r="H138" s="30">
        <v>24018.959999999999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455.45526386169178</v>
      </c>
      <c r="W138" s="9">
        <f t="shared" si="35"/>
        <v>3.036368425744612</v>
      </c>
      <c r="X138" s="8">
        <f t="shared" si="36"/>
        <v>1351.0664999999999</v>
      </c>
      <c r="Y138" s="7">
        <f t="shared" si="37"/>
        <v>9.0071099999999991</v>
      </c>
      <c r="Z138" s="2">
        <f t="shared" si="38"/>
        <v>10808.531999999999</v>
      </c>
      <c r="AA138" s="2">
        <f t="shared" si="39"/>
        <v>1651.3035</v>
      </c>
      <c r="AB138" s="2">
        <f t="shared" si="40"/>
        <v>17413.745999999999</v>
      </c>
      <c r="AC138" s="6">
        <f t="shared" si="41"/>
        <v>1567.23714</v>
      </c>
      <c r="AD138" s="6">
        <f t="shared" si="42"/>
        <v>417.92990399999996</v>
      </c>
      <c r="AE138" s="6">
        <f t="shared" si="43"/>
        <v>3636.4705440000002</v>
      </c>
      <c r="AF138" s="5">
        <f t="shared" si="44"/>
        <v>24.243136960000001</v>
      </c>
      <c r="AG138" s="223">
        <v>23779.999999999996</v>
      </c>
    </row>
    <row r="139" spans="1:33" x14ac:dyDescent="0.2">
      <c r="A139" s="245">
        <v>558</v>
      </c>
      <c r="B139" s="1" t="str">
        <f t="shared" si="30"/>
        <v>1.35, Grain Drill 10'</v>
      </c>
      <c r="C139" s="168">
        <v>1.35</v>
      </c>
      <c r="D139" s="164" t="s">
        <v>459</v>
      </c>
      <c r="E139" s="164" t="s">
        <v>287</v>
      </c>
      <c r="F139" s="164" t="s">
        <v>66</v>
      </c>
      <c r="G139" s="164" t="str">
        <f t="shared" si="31"/>
        <v>Grain Drill 10'</v>
      </c>
      <c r="H139" s="30">
        <v>26814.269999999997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508.46083336283692</v>
      </c>
      <c r="W139" s="9">
        <f t="shared" si="35"/>
        <v>3.3897388890855793</v>
      </c>
      <c r="X139" s="8">
        <f t="shared" si="36"/>
        <v>1508.3026874999998</v>
      </c>
      <c r="Y139" s="7">
        <f t="shared" si="37"/>
        <v>10.055351249999999</v>
      </c>
      <c r="Z139" s="2">
        <f t="shared" si="38"/>
        <v>12066.421499999999</v>
      </c>
      <c r="AA139" s="2">
        <f t="shared" si="39"/>
        <v>1843.4810624999998</v>
      </c>
      <c r="AB139" s="2">
        <f t="shared" si="40"/>
        <v>19440.345749999997</v>
      </c>
      <c r="AC139" s="6">
        <f t="shared" si="41"/>
        <v>1749.6311174999996</v>
      </c>
      <c r="AD139" s="6">
        <f t="shared" si="42"/>
        <v>466.56829799999991</v>
      </c>
      <c r="AE139" s="6">
        <f t="shared" si="43"/>
        <v>4059.6804779999993</v>
      </c>
      <c r="AF139" s="5">
        <f t="shared" si="44"/>
        <v>27.064536519999994</v>
      </c>
      <c r="AG139" s="223">
        <v>26547.499999999996</v>
      </c>
    </row>
    <row r="140" spans="1:33" x14ac:dyDescent="0.2">
      <c r="A140" s="245">
        <v>106</v>
      </c>
      <c r="B140" s="1" t="str">
        <f t="shared" si="30"/>
        <v>1.36, Grain Drill 12'</v>
      </c>
      <c r="C140" s="168">
        <v>1.36</v>
      </c>
      <c r="D140" s="164" t="s">
        <v>459</v>
      </c>
      <c r="E140" s="164" t="s">
        <v>287</v>
      </c>
      <c r="F140" s="164" t="s">
        <v>11</v>
      </c>
      <c r="G140" s="164" t="str">
        <f t="shared" si="31"/>
        <v>Grain Drill 12'</v>
      </c>
      <c r="H140" s="30">
        <v>23501.309999999998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445.63941765777594</v>
      </c>
      <c r="W140" s="9">
        <f t="shared" si="35"/>
        <v>2.9709294510518394</v>
      </c>
      <c r="X140" s="8">
        <f t="shared" si="36"/>
        <v>1321.9486875</v>
      </c>
      <c r="Y140" s="7">
        <f t="shared" si="37"/>
        <v>8.8129912499999996</v>
      </c>
      <c r="Z140" s="2">
        <f t="shared" si="38"/>
        <v>10575.5895</v>
      </c>
      <c r="AA140" s="2">
        <f t="shared" si="39"/>
        <v>1615.7150624999997</v>
      </c>
      <c r="AB140" s="2">
        <f t="shared" si="40"/>
        <v>17038.44975</v>
      </c>
      <c r="AC140" s="6">
        <f t="shared" si="41"/>
        <v>1533.4604775</v>
      </c>
      <c r="AD140" s="6">
        <f t="shared" si="42"/>
        <v>408.92279400000001</v>
      </c>
      <c r="AE140" s="6">
        <f t="shared" si="43"/>
        <v>3558.0983339999998</v>
      </c>
      <c r="AF140" s="5">
        <f t="shared" si="44"/>
        <v>23.720655559999997</v>
      </c>
      <c r="AG140" s="223">
        <v>23267.499999999996</v>
      </c>
    </row>
    <row r="141" spans="1:33" x14ac:dyDescent="0.2">
      <c r="A141" s="245">
        <v>208</v>
      </c>
      <c r="B141" s="1" t="str">
        <f t="shared" si="30"/>
        <v>1.37, Grain Drill 15'</v>
      </c>
      <c r="C141" s="168">
        <v>1.37</v>
      </c>
      <c r="D141" s="164" t="s">
        <v>459</v>
      </c>
      <c r="E141" s="164" t="s">
        <v>287</v>
      </c>
      <c r="F141" s="164" t="s">
        <v>10</v>
      </c>
      <c r="G141" s="164" t="str">
        <f t="shared" si="31"/>
        <v>Grain Drill 15'</v>
      </c>
      <c r="H141" s="30">
        <v>31576.649999999998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598.766618438862</v>
      </c>
      <c r="W141" s="9">
        <f t="shared" si="35"/>
        <v>3.9917774562590798</v>
      </c>
      <c r="X141" s="8">
        <f t="shared" si="36"/>
        <v>1776.1865625</v>
      </c>
      <c r="Y141" s="7">
        <f t="shared" si="37"/>
        <v>11.84124375</v>
      </c>
      <c r="Z141" s="2">
        <f t="shared" si="38"/>
        <v>14209.4925</v>
      </c>
      <c r="AA141" s="2">
        <f t="shared" si="39"/>
        <v>2170.8946874999997</v>
      </c>
      <c r="AB141" s="2">
        <f t="shared" si="40"/>
        <v>22893.071250000001</v>
      </c>
      <c r="AC141" s="6">
        <f t="shared" si="41"/>
        <v>2060.3764124999998</v>
      </c>
      <c r="AD141" s="6">
        <f t="shared" si="42"/>
        <v>549.43371000000002</v>
      </c>
      <c r="AE141" s="6">
        <f t="shared" si="43"/>
        <v>4780.7048100000002</v>
      </c>
      <c r="AF141" s="5">
        <f t="shared" si="44"/>
        <v>31.871365400000002</v>
      </c>
      <c r="AG141" s="223">
        <v>31262.499999999996</v>
      </c>
    </row>
    <row r="142" spans="1:33" x14ac:dyDescent="0.2">
      <c r="A142" s="245">
        <v>107</v>
      </c>
      <c r="B142" s="1" t="str">
        <f t="shared" si="30"/>
        <v>1.38, Grain Drill 20'</v>
      </c>
      <c r="C142" s="168">
        <v>1.38</v>
      </c>
      <c r="D142" s="164" t="s">
        <v>459</v>
      </c>
      <c r="E142" s="164" t="s">
        <v>287</v>
      </c>
      <c r="F142" s="164" t="s">
        <v>8</v>
      </c>
      <c r="G142" s="164" t="str">
        <f t="shared" si="31"/>
        <v>Grain Drill 20'</v>
      </c>
      <c r="H142" s="30">
        <v>38927.279999999999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738.15163453446598</v>
      </c>
      <c r="W142" s="9">
        <f t="shared" si="35"/>
        <v>4.9210108968964397</v>
      </c>
      <c r="X142" s="8">
        <f t="shared" si="36"/>
        <v>2189.6594999999998</v>
      </c>
      <c r="Y142" s="7">
        <f t="shared" si="37"/>
        <v>14.597729999999999</v>
      </c>
      <c r="Z142" s="2">
        <f t="shared" si="38"/>
        <v>17517.275999999998</v>
      </c>
      <c r="AA142" s="2">
        <f t="shared" si="39"/>
        <v>2676.2505000000001</v>
      </c>
      <c r="AB142" s="2">
        <f t="shared" si="40"/>
        <v>28222.277999999998</v>
      </c>
      <c r="AC142" s="6">
        <f t="shared" si="41"/>
        <v>2540.0050199999996</v>
      </c>
      <c r="AD142" s="6">
        <f t="shared" si="42"/>
        <v>677.33467199999996</v>
      </c>
      <c r="AE142" s="6">
        <f t="shared" si="43"/>
        <v>5893.5901919999997</v>
      </c>
      <c r="AF142" s="5">
        <f t="shared" si="44"/>
        <v>39.290601279999997</v>
      </c>
      <c r="AG142" s="223">
        <v>38540</v>
      </c>
    </row>
    <row r="143" spans="1:33" x14ac:dyDescent="0.2">
      <c r="A143" s="245">
        <v>209</v>
      </c>
      <c r="B143" s="1" t="str">
        <f t="shared" si="30"/>
        <v>1.39, Grain Drill 24'</v>
      </c>
      <c r="C143" s="168">
        <v>1.39</v>
      </c>
      <c r="D143" s="164" t="s">
        <v>459</v>
      </c>
      <c r="E143" s="164" t="s">
        <v>287</v>
      </c>
      <c r="F143" s="164" t="s">
        <v>65</v>
      </c>
      <c r="G143" s="164" t="str">
        <f t="shared" si="31"/>
        <v>Grain Drill 24'</v>
      </c>
      <c r="H143" s="30">
        <v>58701.509999999995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1113.1169595240483</v>
      </c>
      <c r="W143" s="9">
        <f t="shared" si="35"/>
        <v>7.420779730160322</v>
      </c>
      <c r="X143" s="8">
        <f t="shared" si="36"/>
        <v>3301.9599374999998</v>
      </c>
      <c r="Y143" s="7">
        <f t="shared" si="37"/>
        <v>22.013066249999998</v>
      </c>
      <c r="Z143" s="2">
        <f t="shared" si="38"/>
        <v>26415.679499999998</v>
      </c>
      <c r="AA143" s="2">
        <f t="shared" si="39"/>
        <v>4035.7288124999995</v>
      </c>
      <c r="AB143" s="2">
        <f t="shared" si="40"/>
        <v>42558.594749999997</v>
      </c>
      <c r="AC143" s="6">
        <f t="shared" si="41"/>
        <v>3830.2735274999995</v>
      </c>
      <c r="AD143" s="6">
        <f t="shared" si="42"/>
        <v>1021.4062739999999</v>
      </c>
      <c r="AE143" s="6">
        <f t="shared" si="43"/>
        <v>8887.4086139999999</v>
      </c>
      <c r="AF143" s="5">
        <f t="shared" si="44"/>
        <v>59.249390759999997</v>
      </c>
      <c r="AG143" s="223">
        <v>58117.499999999993</v>
      </c>
    </row>
    <row r="144" spans="1:33" x14ac:dyDescent="0.2">
      <c r="A144" s="245">
        <v>108</v>
      </c>
      <c r="B144" s="1" t="str">
        <f t="shared" si="30"/>
        <v>1.4, Grain Drill 30'</v>
      </c>
      <c r="C144" s="168">
        <v>1.4</v>
      </c>
      <c r="D144" s="164" t="s">
        <v>459</v>
      </c>
      <c r="E144" s="164" t="s">
        <v>287</v>
      </c>
      <c r="F144" s="164" t="s">
        <v>44</v>
      </c>
      <c r="G144" s="164" t="str">
        <f t="shared" si="31"/>
        <v>Grain Drill 30'</v>
      </c>
      <c r="H144" s="30">
        <v>63463.889999999992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1203.4227446000734</v>
      </c>
      <c r="W144" s="9">
        <f t="shared" si="35"/>
        <v>8.0228182973338225</v>
      </c>
      <c r="X144" s="8">
        <f t="shared" si="36"/>
        <v>3569.8438124999998</v>
      </c>
      <c r="Y144" s="7">
        <f t="shared" si="37"/>
        <v>23.798958749999997</v>
      </c>
      <c r="Z144" s="2">
        <f t="shared" si="38"/>
        <v>28558.750499999998</v>
      </c>
      <c r="AA144" s="2">
        <f t="shared" si="39"/>
        <v>4363.1424374999988</v>
      </c>
      <c r="AB144" s="2">
        <f t="shared" si="40"/>
        <v>46011.320249999997</v>
      </c>
      <c r="AC144" s="6">
        <f t="shared" si="41"/>
        <v>4141.0188224999993</v>
      </c>
      <c r="AD144" s="6">
        <f t="shared" si="42"/>
        <v>1104.271686</v>
      </c>
      <c r="AE144" s="6">
        <f t="shared" si="43"/>
        <v>9608.4329459999972</v>
      </c>
      <c r="AF144" s="5">
        <f t="shared" si="44"/>
        <v>64.056219639999981</v>
      </c>
      <c r="AG144" s="223">
        <v>62832.499999999993</v>
      </c>
    </row>
    <row r="145" spans="1:33" x14ac:dyDescent="0.2">
      <c r="A145" s="245">
        <v>560</v>
      </c>
      <c r="B145" s="1" t="str">
        <f t="shared" si="30"/>
        <v>1.41, Grain Drill 35'</v>
      </c>
      <c r="C145" s="168">
        <v>1.41</v>
      </c>
      <c r="D145" s="164" t="s">
        <v>459</v>
      </c>
      <c r="E145" s="164" t="s">
        <v>287</v>
      </c>
      <c r="F145" s="164" t="s">
        <v>86</v>
      </c>
      <c r="G145" s="164" t="str">
        <f t="shared" si="31"/>
        <v>Grain Drill 35'</v>
      </c>
      <c r="H145" s="30">
        <v>89139.329999999987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1690.2887163142957</v>
      </c>
      <c r="W145" s="9">
        <f t="shared" si="35"/>
        <v>11.268591442095305</v>
      </c>
      <c r="X145" s="8">
        <f t="shared" si="36"/>
        <v>5014.0873124999998</v>
      </c>
      <c r="Y145" s="7">
        <f t="shared" si="37"/>
        <v>33.427248749999997</v>
      </c>
      <c r="Z145" s="2">
        <f t="shared" si="38"/>
        <v>40112.698499999999</v>
      </c>
      <c r="AA145" s="2">
        <f t="shared" si="39"/>
        <v>6128.3289374999986</v>
      </c>
      <c r="AB145" s="2">
        <f t="shared" si="40"/>
        <v>64626.014249999993</v>
      </c>
      <c r="AC145" s="6">
        <f t="shared" si="41"/>
        <v>5816.3412824999996</v>
      </c>
      <c r="AD145" s="6">
        <f t="shared" si="42"/>
        <v>1551.0243419999999</v>
      </c>
      <c r="AE145" s="6">
        <f t="shared" si="43"/>
        <v>13495.694561999999</v>
      </c>
      <c r="AF145" s="5">
        <f t="shared" si="44"/>
        <v>89.971297079999985</v>
      </c>
      <c r="AG145" s="223">
        <v>88252.499999999985</v>
      </c>
    </row>
    <row r="146" spans="1:33" x14ac:dyDescent="0.2">
      <c r="A146" s="245">
        <v>557</v>
      </c>
      <c r="B146" s="1" t="str">
        <f t="shared" si="30"/>
        <v>1.42, Grain Drill &amp; Pre  8'</v>
      </c>
      <c r="C146" s="168">
        <v>1.42</v>
      </c>
      <c r="D146" s="164" t="s">
        <v>459</v>
      </c>
      <c r="E146" s="164" t="s">
        <v>288</v>
      </c>
      <c r="F146" s="164" t="s">
        <v>87</v>
      </c>
      <c r="G146" s="164" t="str">
        <f t="shared" si="31"/>
        <v>Grain Drill &amp; Pre  8'</v>
      </c>
      <c r="H146" s="30">
        <v>30127.229999999996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571.28224906789774</v>
      </c>
      <c r="W146" s="9">
        <f t="shared" si="35"/>
        <v>3.8085483271193183</v>
      </c>
      <c r="X146" s="8">
        <f t="shared" si="36"/>
        <v>1694.6566874999999</v>
      </c>
      <c r="Y146" s="7">
        <f t="shared" si="37"/>
        <v>11.297711249999999</v>
      </c>
      <c r="Z146" s="2">
        <f t="shared" si="38"/>
        <v>13557.253499999999</v>
      </c>
      <c r="AA146" s="2">
        <f t="shared" si="39"/>
        <v>2071.2470624999996</v>
      </c>
      <c r="AB146" s="2">
        <f t="shared" si="40"/>
        <v>21842.241749999997</v>
      </c>
      <c r="AC146" s="6">
        <f t="shared" si="41"/>
        <v>1965.8017574999997</v>
      </c>
      <c r="AD146" s="6">
        <f t="shared" si="42"/>
        <v>524.21380199999999</v>
      </c>
      <c r="AE146" s="6">
        <f t="shared" si="43"/>
        <v>4561.2626219999993</v>
      </c>
      <c r="AF146" s="5">
        <f t="shared" si="44"/>
        <v>30.408417479999994</v>
      </c>
      <c r="AG146" s="223">
        <v>29827.499999999996</v>
      </c>
    </row>
    <row r="147" spans="1:33" x14ac:dyDescent="0.2">
      <c r="A147" s="245">
        <v>559</v>
      </c>
      <c r="B147" s="1" t="str">
        <f t="shared" si="30"/>
        <v>1.43, Grain Drill &amp; Pre 10'</v>
      </c>
      <c r="C147" s="168">
        <v>1.43</v>
      </c>
      <c r="D147" s="164" t="s">
        <v>459</v>
      </c>
      <c r="E147" s="164" t="s">
        <v>288</v>
      </c>
      <c r="F147" s="164" t="s">
        <v>66</v>
      </c>
      <c r="G147" s="164" t="str">
        <f t="shared" si="31"/>
        <v>Grain Drill &amp; Pre 10'</v>
      </c>
      <c r="H147" s="30">
        <v>32922.539999999994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624.28781856904288</v>
      </c>
      <c r="W147" s="9">
        <f t="shared" si="35"/>
        <v>4.1619187904602857</v>
      </c>
      <c r="X147" s="8">
        <f t="shared" si="36"/>
        <v>1851.8928749999998</v>
      </c>
      <c r="Y147" s="7">
        <f t="shared" si="37"/>
        <v>12.345952499999999</v>
      </c>
      <c r="Z147" s="2">
        <f t="shared" si="38"/>
        <v>14815.142999999998</v>
      </c>
      <c r="AA147" s="2">
        <f t="shared" si="39"/>
        <v>2263.4246249999997</v>
      </c>
      <c r="AB147" s="2">
        <f t="shared" si="40"/>
        <v>23868.841499999995</v>
      </c>
      <c r="AC147" s="6">
        <f t="shared" si="41"/>
        <v>2148.1957349999993</v>
      </c>
      <c r="AD147" s="6">
        <f t="shared" si="42"/>
        <v>572.85219599999994</v>
      </c>
      <c r="AE147" s="6">
        <f t="shared" si="43"/>
        <v>4984.4725559999988</v>
      </c>
      <c r="AF147" s="5">
        <f t="shared" si="44"/>
        <v>33.229817039999993</v>
      </c>
      <c r="AG147" s="223">
        <v>32594.999999999996</v>
      </c>
    </row>
    <row r="148" spans="1:33" x14ac:dyDescent="0.2">
      <c r="A148" s="245">
        <v>396</v>
      </c>
      <c r="B148" s="1" t="str">
        <f t="shared" si="30"/>
        <v>1.44, Grain Drill &amp; Pre 12'</v>
      </c>
      <c r="C148" s="168">
        <v>1.44</v>
      </c>
      <c r="D148" s="164" t="s">
        <v>459</v>
      </c>
      <c r="E148" s="164" t="s">
        <v>288</v>
      </c>
      <c r="F148" s="164" t="s">
        <v>11</v>
      </c>
      <c r="G148" s="164" t="str">
        <f t="shared" si="31"/>
        <v>Grain Drill &amp; Pre 12'</v>
      </c>
      <c r="H148" s="30">
        <v>29713.109999999997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563.42957210476516</v>
      </c>
      <c r="W148" s="9">
        <f t="shared" si="35"/>
        <v>3.7561971473651012</v>
      </c>
      <c r="X148" s="8">
        <f t="shared" si="36"/>
        <v>1671.3624374999999</v>
      </c>
      <c r="Y148" s="7">
        <f t="shared" si="37"/>
        <v>11.14241625</v>
      </c>
      <c r="Z148" s="2">
        <f t="shared" si="38"/>
        <v>13370.8995</v>
      </c>
      <c r="AA148" s="2">
        <f t="shared" si="39"/>
        <v>2042.7763124999997</v>
      </c>
      <c r="AB148" s="2">
        <f t="shared" si="40"/>
        <v>21542.00475</v>
      </c>
      <c r="AC148" s="6">
        <f t="shared" si="41"/>
        <v>1938.7804274999999</v>
      </c>
      <c r="AD148" s="6">
        <f t="shared" si="42"/>
        <v>517.00811399999998</v>
      </c>
      <c r="AE148" s="6">
        <f t="shared" si="43"/>
        <v>4498.5648539999993</v>
      </c>
      <c r="AF148" s="5">
        <f t="shared" si="44"/>
        <v>29.990432359999996</v>
      </c>
      <c r="AG148" s="223">
        <v>29417.499999999996</v>
      </c>
    </row>
    <row r="149" spans="1:33" x14ac:dyDescent="0.2">
      <c r="A149" s="245">
        <v>397</v>
      </c>
      <c r="B149" s="1" t="str">
        <f t="shared" si="30"/>
        <v>1.45, Grain Drill &amp; Pre 15'</v>
      </c>
      <c r="C149" s="168">
        <v>1.45</v>
      </c>
      <c r="D149" s="164" t="s">
        <v>459</v>
      </c>
      <c r="E149" s="164" t="s">
        <v>288</v>
      </c>
      <c r="F149" s="164" t="s">
        <v>10</v>
      </c>
      <c r="G149" s="164" t="str">
        <f t="shared" si="31"/>
        <v>Grain Drill &amp; Pre 15'</v>
      </c>
      <c r="H149" s="30">
        <v>37788.449999999997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716.55677288585116</v>
      </c>
      <c r="W149" s="9">
        <f t="shared" si="35"/>
        <v>4.7770451525723407</v>
      </c>
      <c r="X149" s="8">
        <f t="shared" si="36"/>
        <v>2125.6003124999997</v>
      </c>
      <c r="Y149" s="7">
        <f t="shared" si="37"/>
        <v>14.170668749999999</v>
      </c>
      <c r="Z149" s="2">
        <f t="shared" si="38"/>
        <v>17004.802499999998</v>
      </c>
      <c r="AA149" s="2">
        <f t="shared" si="39"/>
        <v>2597.9559374999999</v>
      </c>
      <c r="AB149" s="2">
        <f t="shared" si="40"/>
        <v>27396.626249999998</v>
      </c>
      <c r="AC149" s="6">
        <f t="shared" si="41"/>
        <v>2465.6963624999999</v>
      </c>
      <c r="AD149" s="6">
        <f t="shared" si="42"/>
        <v>657.51902999999993</v>
      </c>
      <c r="AE149" s="6">
        <f t="shared" si="43"/>
        <v>5721.1713299999992</v>
      </c>
      <c r="AF149" s="5">
        <f t="shared" si="44"/>
        <v>38.141142199999997</v>
      </c>
      <c r="AG149" s="223">
        <v>37412.5</v>
      </c>
    </row>
    <row r="150" spans="1:33" x14ac:dyDescent="0.2">
      <c r="A150" s="245">
        <v>398</v>
      </c>
      <c r="B150" s="1" t="str">
        <f t="shared" si="30"/>
        <v>1.46, Grain Drill &amp; Pre 20'</v>
      </c>
      <c r="C150" s="168">
        <v>1.46</v>
      </c>
      <c r="D150" s="164" t="s">
        <v>459</v>
      </c>
      <c r="E150" s="164" t="s">
        <v>288</v>
      </c>
      <c r="F150" s="164" t="s">
        <v>8</v>
      </c>
      <c r="G150" s="164" t="str">
        <f t="shared" si="31"/>
        <v>Grain Drill &amp; Pre 20'</v>
      </c>
      <c r="H150" s="30">
        <v>45035.549999999996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853.978619740672</v>
      </c>
      <c r="W150" s="9">
        <f t="shared" si="35"/>
        <v>5.6931907982711465</v>
      </c>
      <c r="X150" s="8">
        <f t="shared" si="36"/>
        <v>2533.2496874999997</v>
      </c>
      <c r="Y150" s="7">
        <f t="shared" si="37"/>
        <v>16.888331249999997</v>
      </c>
      <c r="Z150" s="2">
        <f t="shared" si="38"/>
        <v>20265.997499999998</v>
      </c>
      <c r="AA150" s="2">
        <f t="shared" si="39"/>
        <v>3096.1940624999997</v>
      </c>
      <c r="AB150" s="2">
        <f t="shared" si="40"/>
        <v>32650.773749999997</v>
      </c>
      <c r="AC150" s="6">
        <f t="shared" si="41"/>
        <v>2938.5696374999998</v>
      </c>
      <c r="AD150" s="6">
        <f t="shared" si="42"/>
        <v>783.61856999999998</v>
      </c>
      <c r="AE150" s="6">
        <f t="shared" si="43"/>
        <v>6818.3822699999992</v>
      </c>
      <c r="AF150" s="5">
        <f t="shared" si="44"/>
        <v>45.455881799999993</v>
      </c>
      <c r="AG150" s="223">
        <v>44587.499999999993</v>
      </c>
    </row>
    <row r="151" spans="1:33" x14ac:dyDescent="0.2">
      <c r="A151" s="245">
        <v>399</v>
      </c>
      <c r="B151" s="1" t="str">
        <f t="shared" si="30"/>
        <v>1.47, Grain Drill &amp; Pre 24'</v>
      </c>
      <c r="C151" s="168">
        <v>1.47</v>
      </c>
      <c r="D151" s="164" t="s">
        <v>459</v>
      </c>
      <c r="E151" s="164" t="s">
        <v>288</v>
      </c>
      <c r="F151" s="164" t="s">
        <v>65</v>
      </c>
      <c r="G151" s="164" t="str">
        <f t="shared" si="31"/>
        <v>Grain Drill &amp; Pre 24'</v>
      </c>
      <c r="H151" s="30">
        <v>64913.30999999999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1230.9071139710375</v>
      </c>
      <c r="W151" s="9">
        <f t="shared" si="35"/>
        <v>8.2060474264735834</v>
      </c>
      <c r="X151" s="8">
        <f t="shared" si="36"/>
        <v>3651.3736874999995</v>
      </c>
      <c r="Y151" s="7">
        <f t="shared" si="37"/>
        <v>24.342491249999998</v>
      </c>
      <c r="Z151" s="2">
        <f t="shared" si="38"/>
        <v>29210.989499999996</v>
      </c>
      <c r="AA151" s="2">
        <f t="shared" si="39"/>
        <v>4462.7900624999993</v>
      </c>
      <c r="AB151" s="2">
        <f t="shared" si="40"/>
        <v>47062.149749999997</v>
      </c>
      <c r="AC151" s="6">
        <f t="shared" si="41"/>
        <v>4235.5934774999996</v>
      </c>
      <c r="AD151" s="6">
        <f t="shared" si="42"/>
        <v>1129.4915939999998</v>
      </c>
      <c r="AE151" s="6">
        <f t="shared" si="43"/>
        <v>9827.8751339999981</v>
      </c>
      <c r="AF151" s="5">
        <f t="shared" si="44"/>
        <v>65.519167559999985</v>
      </c>
      <c r="AG151" s="223">
        <v>64267.499999999993</v>
      </c>
    </row>
    <row r="152" spans="1:33" x14ac:dyDescent="0.2">
      <c r="A152" s="245">
        <v>400</v>
      </c>
      <c r="B152" s="1" t="str">
        <f t="shared" si="30"/>
        <v>1.48, Grain Drill &amp; Pre 30'</v>
      </c>
      <c r="C152" s="168">
        <v>1.48</v>
      </c>
      <c r="D152" s="164" t="s">
        <v>459</v>
      </c>
      <c r="E152" s="164" t="s">
        <v>288</v>
      </c>
      <c r="F152" s="164" t="s">
        <v>44</v>
      </c>
      <c r="G152" s="164" t="str">
        <f t="shared" si="31"/>
        <v>Grain Drill &amp; Pre 30'</v>
      </c>
      <c r="H152" s="30">
        <v>71125.109999999986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1348.6972684180269</v>
      </c>
      <c r="W152" s="9">
        <f t="shared" si="35"/>
        <v>8.9913151227868457</v>
      </c>
      <c r="X152" s="8">
        <f t="shared" si="36"/>
        <v>4000.7874374999992</v>
      </c>
      <c r="Y152" s="7">
        <f t="shared" si="37"/>
        <v>26.671916249999995</v>
      </c>
      <c r="Z152" s="2">
        <f t="shared" si="38"/>
        <v>32006.299499999994</v>
      </c>
      <c r="AA152" s="2">
        <f t="shared" si="39"/>
        <v>4889.851312499999</v>
      </c>
      <c r="AB152" s="2">
        <f t="shared" si="40"/>
        <v>51565.70474999999</v>
      </c>
      <c r="AC152" s="6">
        <f t="shared" si="41"/>
        <v>4640.9134274999988</v>
      </c>
      <c r="AD152" s="6">
        <f t="shared" si="42"/>
        <v>1237.5769139999998</v>
      </c>
      <c r="AE152" s="6">
        <f t="shared" si="43"/>
        <v>10768.341653999998</v>
      </c>
      <c r="AF152" s="5">
        <f t="shared" si="44"/>
        <v>71.788944359999988</v>
      </c>
      <c r="AG152" s="223">
        <v>70417.5</v>
      </c>
    </row>
    <row r="153" spans="1:33" x14ac:dyDescent="0.2">
      <c r="A153" s="245">
        <v>561</v>
      </c>
      <c r="B153" s="1" t="str">
        <f t="shared" si="30"/>
        <v>1.49, Grain Drill &amp; Pre 35'</v>
      </c>
      <c r="C153" s="168">
        <v>1.49</v>
      </c>
      <c r="D153" s="164" t="s">
        <v>459</v>
      </c>
      <c r="E153" s="164" t="s">
        <v>288</v>
      </c>
      <c r="F153" s="164" t="s">
        <v>86</v>
      </c>
      <c r="G153" s="164" t="str">
        <f t="shared" si="31"/>
        <v>Grain Drill &amp; Pre 35'</v>
      </c>
      <c r="H153" s="30">
        <v>96800.549999999988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1835.5632401322491</v>
      </c>
      <c r="W153" s="9">
        <f t="shared" si="35"/>
        <v>12.237088267548328</v>
      </c>
      <c r="X153" s="8">
        <f t="shared" si="36"/>
        <v>5445.0309374999988</v>
      </c>
      <c r="Y153" s="7">
        <f t="shared" si="37"/>
        <v>36.300206249999995</v>
      </c>
      <c r="Z153" s="2">
        <f t="shared" si="38"/>
        <v>43560.24749999999</v>
      </c>
      <c r="AA153" s="2">
        <f t="shared" si="39"/>
        <v>6655.0378124999997</v>
      </c>
      <c r="AB153" s="2">
        <f t="shared" si="40"/>
        <v>70180.398749999993</v>
      </c>
      <c r="AC153" s="6">
        <f t="shared" si="41"/>
        <v>6316.2358874999991</v>
      </c>
      <c r="AD153" s="6">
        <f t="shared" si="42"/>
        <v>1684.3295699999999</v>
      </c>
      <c r="AE153" s="6">
        <f t="shared" si="43"/>
        <v>14655.603269999998</v>
      </c>
      <c r="AF153" s="5">
        <f t="shared" si="44"/>
        <v>97.704021799999978</v>
      </c>
      <c r="AG153" s="223">
        <v>95837.499999999985</v>
      </c>
    </row>
    <row r="154" spans="1:33" x14ac:dyDescent="0.2">
      <c r="A154" s="245">
        <v>711</v>
      </c>
      <c r="B154" s="1" t="str">
        <f t="shared" si="30"/>
        <v>1.5, Grain Drill &amp; Pre T 8R-36</v>
      </c>
      <c r="C154" s="168">
        <v>1.5</v>
      </c>
      <c r="D154" s="164" t="s">
        <v>459</v>
      </c>
      <c r="E154" s="164" t="s">
        <v>289</v>
      </c>
      <c r="F154" s="164" t="s">
        <v>205</v>
      </c>
      <c r="G154" s="164" t="str">
        <f t="shared" si="31"/>
        <v>Grain Drill &amp; Pre T 8R-36</v>
      </c>
      <c r="H154" s="252">
        <v>40997.879999999997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777.41501935012911</v>
      </c>
      <c r="W154" s="9">
        <f t="shared" si="35"/>
        <v>5.1827667956675274</v>
      </c>
      <c r="X154" s="8">
        <f t="shared" si="36"/>
        <v>2306.1307499999998</v>
      </c>
      <c r="Y154" s="7">
        <f t="shared" si="37"/>
        <v>15.374204999999998</v>
      </c>
      <c r="Z154" s="2">
        <f t="shared" si="38"/>
        <v>18449.045999999998</v>
      </c>
      <c r="AA154" s="2">
        <f t="shared" si="39"/>
        <v>2818.6042499999999</v>
      </c>
      <c r="AB154" s="2">
        <f t="shared" si="40"/>
        <v>29723.462999999996</v>
      </c>
      <c r="AC154" s="6">
        <f t="shared" si="41"/>
        <v>2675.1116699999998</v>
      </c>
      <c r="AD154" s="6">
        <f t="shared" si="42"/>
        <v>713.36311199999989</v>
      </c>
      <c r="AE154" s="6">
        <f t="shared" si="43"/>
        <v>6207.0790319999996</v>
      </c>
      <c r="AF154" s="5">
        <f t="shared" si="44"/>
        <v>41.380526879999998</v>
      </c>
      <c r="AG154" s="223">
        <v>40590</v>
      </c>
    </row>
    <row r="155" spans="1:33" x14ac:dyDescent="0.2">
      <c r="A155" s="245">
        <v>186</v>
      </c>
      <c r="B155" s="1" t="str">
        <f t="shared" si="30"/>
        <v>1.51, Harrow -  Rigid 21'</v>
      </c>
      <c r="C155" s="168">
        <v>1.51</v>
      </c>
      <c r="D155" s="164" t="s">
        <v>459</v>
      </c>
      <c r="E155" s="164" t="s">
        <v>290</v>
      </c>
      <c r="F155" s="164" t="s">
        <v>39</v>
      </c>
      <c r="G155" s="164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  <c r="AG155" s="223">
        <v>6488.2499999999991</v>
      </c>
    </row>
    <row r="156" spans="1:33" x14ac:dyDescent="0.2">
      <c r="A156" s="245">
        <v>739</v>
      </c>
      <c r="B156" s="1" t="str">
        <f t="shared" si="30"/>
        <v>1.52, Harrow - Folding 16'</v>
      </c>
      <c r="C156" s="168">
        <v>1.52</v>
      </c>
      <c r="D156" s="164" t="s">
        <v>459</v>
      </c>
      <c r="E156" s="164" t="s">
        <v>291</v>
      </c>
      <c r="F156" s="164" t="s">
        <v>85</v>
      </c>
      <c r="G156" s="164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  <c r="AG156" s="223">
        <v>5278.7499999999991</v>
      </c>
    </row>
    <row r="157" spans="1:33" x14ac:dyDescent="0.2">
      <c r="A157" s="245">
        <v>740</v>
      </c>
      <c r="B157" s="1" t="str">
        <f t="shared" si="30"/>
        <v>1.53, Harrow - Folding 24'</v>
      </c>
      <c r="C157" s="168">
        <v>1.53</v>
      </c>
      <c r="D157" s="164" t="s">
        <v>459</v>
      </c>
      <c r="E157" s="164" t="s">
        <v>291</v>
      </c>
      <c r="F157" s="164" t="s">
        <v>65</v>
      </c>
      <c r="G157" s="164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  <c r="AG157" s="223">
        <v>12299.999999999998</v>
      </c>
    </row>
    <row r="158" spans="1:33" x14ac:dyDescent="0.2">
      <c r="A158" s="245">
        <v>566</v>
      </c>
      <c r="B158" s="1" t="str">
        <f t="shared" si="30"/>
        <v>1.54, Harrow - Folding 30'</v>
      </c>
      <c r="C158" s="168">
        <v>1.54</v>
      </c>
      <c r="D158" s="164" t="s">
        <v>459</v>
      </c>
      <c r="E158" s="164" t="s">
        <v>291</v>
      </c>
      <c r="F158" s="164" t="s">
        <v>44</v>
      </c>
      <c r="G158" s="164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  <c r="AG158" s="223">
        <v>14862.499999999998</v>
      </c>
    </row>
    <row r="159" spans="1:33" x14ac:dyDescent="0.2">
      <c r="A159" s="245">
        <v>210</v>
      </c>
      <c r="B159" s="1" t="str">
        <f t="shared" si="30"/>
        <v>1.55, Harrow - Folding 40'</v>
      </c>
      <c r="C159" s="168">
        <v>1.55</v>
      </c>
      <c r="D159" s="164" t="s">
        <v>459</v>
      </c>
      <c r="E159" s="164" t="s">
        <v>291</v>
      </c>
      <c r="F159" s="164" t="s">
        <v>16</v>
      </c>
      <c r="G159" s="164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  <c r="AG159" s="223">
        <v>18245</v>
      </c>
    </row>
    <row r="160" spans="1:33" x14ac:dyDescent="0.2">
      <c r="A160" s="245">
        <v>741</v>
      </c>
      <c r="B160" s="1" t="str">
        <f t="shared" si="30"/>
        <v>1.56, Harrow - Folding 48'</v>
      </c>
      <c r="C160" s="168">
        <v>1.56</v>
      </c>
      <c r="D160" s="164" t="s">
        <v>459</v>
      </c>
      <c r="E160" s="164" t="s">
        <v>291</v>
      </c>
      <c r="F160" s="164" t="s">
        <v>84</v>
      </c>
      <c r="G160" s="164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  <c r="AG160" s="223">
        <v>22037.499999999996</v>
      </c>
    </row>
    <row r="161" spans="1:33" x14ac:dyDescent="0.2">
      <c r="A161" s="245">
        <v>185</v>
      </c>
      <c r="B161" s="1" t="str">
        <f t="shared" si="30"/>
        <v>1.57, Harrow - Rigid 13'</v>
      </c>
      <c r="C161" s="168">
        <v>1.57</v>
      </c>
      <c r="D161" s="164" t="s">
        <v>459</v>
      </c>
      <c r="E161" s="164" t="s">
        <v>292</v>
      </c>
      <c r="F161" s="164" t="s">
        <v>40</v>
      </c>
      <c r="G161" s="164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  <c r="AG161" s="223">
        <v>4469</v>
      </c>
    </row>
    <row r="162" spans="1:33" x14ac:dyDescent="0.2">
      <c r="A162" s="245"/>
      <c r="B162" s="1" t="str">
        <f t="shared" si="30"/>
        <v>1.58, Heavy Disk 14'</v>
      </c>
      <c r="C162" s="168">
        <v>1.58</v>
      </c>
      <c r="D162" s="164" t="s">
        <v>459</v>
      </c>
      <c r="E162" s="164" t="s">
        <v>443</v>
      </c>
      <c r="F162" s="164" t="s">
        <v>12</v>
      </c>
      <c r="G162" s="164" t="str">
        <f t="shared" si="31"/>
        <v>Heavy Disk 14'</v>
      </c>
      <c r="H162" s="30">
        <v>24400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597.22103751916325</v>
      </c>
      <c r="W162" s="9">
        <f t="shared" si="35"/>
        <v>3.3178946528842403</v>
      </c>
      <c r="X162" s="8">
        <f t="shared" si="36"/>
        <v>1220</v>
      </c>
      <c r="Y162" s="7">
        <f t="shared" si="37"/>
        <v>6.7777777777777777</v>
      </c>
      <c r="Z162" s="2">
        <f t="shared" si="38"/>
        <v>7320</v>
      </c>
      <c r="AA162" s="2">
        <f t="shared" si="39"/>
        <v>1708</v>
      </c>
      <c r="AB162" s="2">
        <f t="shared" si="40"/>
        <v>15860</v>
      </c>
      <c r="AC162" s="6">
        <f t="shared" si="41"/>
        <v>1427.3999999999999</v>
      </c>
      <c r="AD162" s="6">
        <f t="shared" si="42"/>
        <v>380.64</v>
      </c>
      <c r="AE162" s="6">
        <f t="shared" si="43"/>
        <v>3516.0399999999995</v>
      </c>
      <c r="AF162" s="5">
        <f t="shared" si="44"/>
        <v>19.533555555555552</v>
      </c>
      <c r="AG162" s="223">
        <v>23779.999999999996</v>
      </c>
    </row>
    <row r="163" spans="1:33" x14ac:dyDescent="0.2">
      <c r="A163" s="245"/>
      <c r="B163" s="1" t="str">
        <f t="shared" si="30"/>
        <v>1.59, Heavy Disk 21'</v>
      </c>
      <c r="C163" s="168">
        <v>1.59</v>
      </c>
      <c r="D163" s="164" t="s">
        <v>459</v>
      </c>
      <c r="E163" s="164" t="s">
        <v>443</v>
      </c>
      <c r="F163" s="164" t="s">
        <v>39</v>
      </c>
      <c r="G163" s="164" t="str">
        <f t="shared" si="31"/>
        <v>Heavy Disk 21'</v>
      </c>
      <c r="H163" s="30">
        <v>40600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993.73664439664049</v>
      </c>
      <c r="W163" s="9">
        <f t="shared" si="35"/>
        <v>5.5207591355368919</v>
      </c>
      <c r="X163" s="8">
        <f t="shared" si="36"/>
        <v>2030</v>
      </c>
      <c r="Y163" s="7">
        <f t="shared" si="37"/>
        <v>11.277777777777779</v>
      </c>
      <c r="Z163" s="2">
        <f t="shared" si="38"/>
        <v>12180</v>
      </c>
      <c r="AA163" s="2">
        <f t="shared" si="39"/>
        <v>2842</v>
      </c>
      <c r="AB163" s="2">
        <f t="shared" si="40"/>
        <v>26390</v>
      </c>
      <c r="AC163" s="6">
        <f t="shared" si="41"/>
        <v>2375.1</v>
      </c>
      <c r="AD163" s="6">
        <f t="shared" si="42"/>
        <v>633.36</v>
      </c>
      <c r="AE163" s="6">
        <f t="shared" si="43"/>
        <v>5850.46</v>
      </c>
      <c r="AF163" s="5">
        <f t="shared" si="44"/>
        <v>32.502555555555553</v>
      </c>
      <c r="AG163" s="223">
        <v>33517.5</v>
      </c>
    </row>
    <row r="164" spans="1:33" x14ac:dyDescent="0.2">
      <c r="A164" s="245"/>
      <c r="B164" s="1" t="str">
        <f t="shared" si="30"/>
        <v>1.6, Heavy Disk 27'</v>
      </c>
      <c r="C164" s="168">
        <v>1.6</v>
      </c>
      <c r="D164" s="164" t="s">
        <v>459</v>
      </c>
      <c r="E164" s="164" t="s">
        <v>443</v>
      </c>
      <c r="F164" s="164" t="s">
        <v>17</v>
      </c>
      <c r="G164" s="164" t="str">
        <f t="shared" si="31"/>
        <v>Heavy Disk 27'</v>
      </c>
      <c r="H164" s="30">
        <v>50400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1233.6041102854847</v>
      </c>
      <c r="W164" s="9">
        <f t="shared" si="35"/>
        <v>6.8533561682526924</v>
      </c>
      <c r="X164" s="8">
        <f t="shared" si="36"/>
        <v>2520</v>
      </c>
      <c r="Y164" s="7">
        <f t="shared" si="37"/>
        <v>14</v>
      </c>
      <c r="Z164" s="2">
        <f t="shared" si="38"/>
        <v>15120</v>
      </c>
      <c r="AA164" s="2">
        <f t="shared" si="39"/>
        <v>3528</v>
      </c>
      <c r="AB164" s="2">
        <f t="shared" si="40"/>
        <v>32760</v>
      </c>
      <c r="AC164" s="6">
        <f t="shared" si="41"/>
        <v>2948.4</v>
      </c>
      <c r="AD164" s="6">
        <f t="shared" si="42"/>
        <v>786.24</v>
      </c>
      <c r="AE164" s="6">
        <f t="shared" si="43"/>
        <v>7262.6399999999994</v>
      </c>
      <c r="AF164" s="5">
        <f t="shared" si="44"/>
        <v>40.347999999999999</v>
      </c>
      <c r="AG164" s="223">
        <v>44177.499999999993</v>
      </c>
    </row>
    <row r="165" spans="1:33" x14ac:dyDescent="0.2">
      <c r="A165" s="245">
        <v>113</v>
      </c>
      <c r="B165" s="1" t="str">
        <f t="shared" si="30"/>
        <v>1.61, Land Plane 50'x16'</v>
      </c>
      <c r="C165" s="168">
        <v>1.61</v>
      </c>
      <c r="D165" s="164" t="s">
        <v>459</v>
      </c>
      <c r="E165" s="164" t="s">
        <v>293</v>
      </c>
      <c r="F165" s="164" t="s">
        <v>76</v>
      </c>
      <c r="G165" s="164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  <c r="AG165" s="223">
        <v>12607.499999999998</v>
      </c>
    </row>
    <row r="166" spans="1:33" x14ac:dyDescent="0.2">
      <c r="A166" s="245">
        <v>720</v>
      </c>
      <c r="B166" s="1" t="str">
        <f t="shared" si="30"/>
        <v>1.62, Levee Pull &amp; Seed 8 Blade</v>
      </c>
      <c r="C166" s="168">
        <v>1.62</v>
      </c>
      <c r="D166" s="164" t="s">
        <v>459</v>
      </c>
      <c r="E166" s="164" t="s">
        <v>294</v>
      </c>
      <c r="F166" s="164" t="s">
        <v>75</v>
      </c>
      <c r="G166" s="164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  <c r="AG166" s="223">
        <v>10455</v>
      </c>
    </row>
    <row r="167" spans="1:33" x14ac:dyDescent="0.2">
      <c r="A167" s="245">
        <v>528</v>
      </c>
      <c r="B167" s="1" t="str">
        <f t="shared" si="30"/>
        <v>1.63, Levee Pull (1m/80a) 8 blade</v>
      </c>
      <c r="C167" s="168">
        <v>1.63</v>
      </c>
      <c r="D167" s="164" t="s">
        <v>459</v>
      </c>
      <c r="E167" s="164" t="s">
        <v>295</v>
      </c>
      <c r="F167" s="164" t="s">
        <v>74</v>
      </c>
      <c r="G167" s="164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  <c r="AG167" s="223">
        <v>7297.9999999999991</v>
      </c>
    </row>
    <row r="168" spans="1:33" x14ac:dyDescent="0.2">
      <c r="A168" s="245">
        <v>117</v>
      </c>
      <c r="B168" s="1" t="str">
        <f t="shared" si="30"/>
        <v>1.64, Levee Splitter (1/80a) 8 blade</v>
      </c>
      <c r="C168" s="168">
        <v>1.64</v>
      </c>
      <c r="D168" s="164" t="s">
        <v>459</v>
      </c>
      <c r="E168" s="164" t="s">
        <v>296</v>
      </c>
      <c r="F168" s="164" t="s">
        <v>74</v>
      </c>
      <c r="G168" s="164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  <c r="AG168" s="223">
        <v>7297.9999999999991</v>
      </c>
    </row>
    <row r="169" spans="1:33" x14ac:dyDescent="0.2">
      <c r="A169" s="245">
        <v>723</v>
      </c>
      <c r="B169" s="1" t="str">
        <f t="shared" si="30"/>
        <v>1.65, NT Grain Drill  6'</v>
      </c>
      <c r="C169" s="168">
        <v>1.65</v>
      </c>
      <c r="D169" s="164" t="s">
        <v>459</v>
      </c>
      <c r="E169" s="164" t="s">
        <v>297</v>
      </c>
      <c r="F169" s="164" t="s">
        <v>67</v>
      </c>
      <c r="G169" s="164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  <c r="AG169" s="223">
        <v>24702.499999999996</v>
      </c>
    </row>
    <row r="170" spans="1:33" x14ac:dyDescent="0.2">
      <c r="A170" s="245">
        <v>554</v>
      </c>
      <c r="B170" s="1" t="str">
        <f t="shared" si="30"/>
        <v>1.66, NT Grain Drill 10'</v>
      </c>
      <c r="C170" s="168">
        <v>1.66</v>
      </c>
      <c r="D170" s="164" t="s">
        <v>459</v>
      </c>
      <c r="E170" s="164" t="s">
        <v>297</v>
      </c>
      <c r="F170" s="164" t="s">
        <v>66</v>
      </c>
      <c r="G170" s="164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  <c r="AG170" s="223">
        <v>36592.5</v>
      </c>
    </row>
    <row r="171" spans="1:33" x14ac:dyDescent="0.2">
      <c r="A171" s="245">
        <v>127</v>
      </c>
      <c r="B171" s="1" t="str">
        <f t="shared" si="30"/>
        <v>1.67, NT Grain Drill 12'</v>
      </c>
      <c r="C171" s="168">
        <v>1.67</v>
      </c>
      <c r="D171" s="164" t="s">
        <v>459</v>
      </c>
      <c r="E171" s="164" t="s">
        <v>297</v>
      </c>
      <c r="F171" s="164" t="s">
        <v>11</v>
      </c>
      <c r="G171" s="164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  <c r="AG171" s="223">
        <v>43049.999999999993</v>
      </c>
    </row>
    <row r="172" spans="1:33" x14ac:dyDescent="0.2">
      <c r="A172" s="245">
        <v>328</v>
      </c>
      <c r="B172" s="1" t="str">
        <f t="shared" si="30"/>
        <v>1.68, NT Grain Drill 15'</v>
      </c>
      <c r="C172" s="168">
        <v>1.68</v>
      </c>
      <c r="D172" s="164" t="s">
        <v>459</v>
      </c>
      <c r="E172" s="164" t="s">
        <v>297</v>
      </c>
      <c r="F172" s="164" t="s">
        <v>10</v>
      </c>
      <c r="G172" s="164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  <c r="AG172" s="223">
        <v>50019.999999999993</v>
      </c>
    </row>
    <row r="173" spans="1:33" x14ac:dyDescent="0.2">
      <c r="A173" s="245">
        <v>128</v>
      </c>
      <c r="B173" s="1" t="str">
        <f t="shared" si="30"/>
        <v>1.69, NT Grain Drill 20'</v>
      </c>
      <c r="C173" s="168">
        <v>1.69</v>
      </c>
      <c r="D173" s="164" t="s">
        <v>459</v>
      </c>
      <c r="E173" s="164" t="s">
        <v>297</v>
      </c>
      <c r="F173" s="164" t="s">
        <v>8</v>
      </c>
      <c r="G173" s="164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  <c r="AG173" s="223">
        <v>66010</v>
      </c>
    </row>
    <row r="174" spans="1:33" x14ac:dyDescent="0.2">
      <c r="A174" s="245">
        <v>329</v>
      </c>
      <c r="B174" s="1" t="str">
        <f t="shared" si="30"/>
        <v>1.7, NT Grain Drill 24'</v>
      </c>
      <c r="C174" s="168">
        <v>1.7</v>
      </c>
      <c r="D174" s="164" t="s">
        <v>459</v>
      </c>
      <c r="E174" s="164" t="s">
        <v>297</v>
      </c>
      <c r="F174" s="164" t="s">
        <v>65</v>
      </c>
      <c r="G174" s="164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  <c r="AG174" s="223">
        <v>81180</v>
      </c>
    </row>
    <row r="175" spans="1:33" x14ac:dyDescent="0.2">
      <c r="A175" s="245">
        <v>129</v>
      </c>
      <c r="B175" s="1" t="str">
        <f t="shared" si="30"/>
        <v>1.71, NT Grain Drill 30'</v>
      </c>
      <c r="C175" s="168">
        <v>1.71</v>
      </c>
      <c r="D175" s="164" t="s">
        <v>459</v>
      </c>
      <c r="E175" s="164" t="s">
        <v>297</v>
      </c>
      <c r="F175" s="164" t="s">
        <v>44</v>
      </c>
      <c r="G175" s="164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  <c r="AG175" s="223">
        <v>92864.999999999985</v>
      </c>
    </row>
    <row r="176" spans="1:33" x14ac:dyDescent="0.2">
      <c r="A176" s="245">
        <v>724</v>
      </c>
      <c r="B176" s="1" t="str">
        <f t="shared" si="30"/>
        <v>1.72, NT Grain Drill &amp; Pre  6'</v>
      </c>
      <c r="C176" s="168">
        <v>1.72</v>
      </c>
      <c r="D176" s="164" t="s">
        <v>459</v>
      </c>
      <c r="E176" s="164" t="s">
        <v>298</v>
      </c>
      <c r="F176" s="164" t="s">
        <v>67</v>
      </c>
      <c r="G176" s="164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  <c r="AG176" s="223">
        <v>30749.999999999996</v>
      </c>
    </row>
    <row r="177" spans="1:33" x14ac:dyDescent="0.2">
      <c r="A177" s="245">
        <v>555</v>
      </c>
      <c r="B177" s="1" t="str">
        <f t="shared" si="30"/>
        <v>1.73, NT Grain Drill &amp; Pre 10'</v>
      </c>
      <c r="C177" s="168">
        <v>1.73</v>
      </c>
      <c r="D177" s="164" t="s">
        <v>459</v>
      </c>
      <c r="E177" s="164" t="s">
        <v>298</v>
      </c>
      <c r="F177" s="164" t="s">
        <v>66</v>
      </c>
      <c r="G177" s="164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  <c r="AG177" s="223">
        <v>42639.999999999993</v>
      </c>
    </row>
    <row r="178" spans="1:33" x14ac:dyDescent="0.2">
      <c r="A178" s="245">
        <v>403</v>
      </c>
      <c r="B178" s="1" t="str">
        <f t="shared" si="30"/>
        <v>1.74, NT Grain Drill &amp; Pre 12'</v>
      </c>
      <c r="C178" s="168">
        <v>1.74</v>
      </c>
      <c r="D178" s="164" t="s">
        <v>459</v>
      </c>
      <c r="E178" s="164" t="s">
        <v>298</v>
      </c>
      <c r="F178" s="164" t="s">
        <v>11</v>
      </c>
      <c r="G178" s="164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  <c r="AG178" s="223">
        <v>49097.499999999993</v>
      </c>
    </row>
    <row r="179" spans="1:33" x14ac:dyDescent="0.2">
      <c r="A179" s="245">
        <v>404</v>
      </c>
      <c r="B179" s="1" t="str">
        <f t="shared" si="30"/>
        <v>1.75, NT Grain Drill &amp; Pre 15'</v>
      </c>
      <c r="C179" s="168">
        <v>1.75</v>
      </c>
      <c r="D179" s="164" t="s">
        <v>459</v>
      </c>
      <c r="E179" s="164" t="s">
        <v>298</v>
      </c>
      <c r="F179" s="164" t="s">
        <v>10</v>
      </c>
      <c r="G179" s="164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  <c r="AG179" s="223">
        <v>56169.999999999993</v>
      </c>
    </row>
    <row r="180" spans="1:33" x14ac:dyDescent="0.2">
      <c r="A180" s="245">
        <v>405</v>
      </c>
      <c r="B180" s="1" t="str">
        <f t="shared" si="30"/>
        <v>1.76, NT Grain Drill &amp; Pre 20'</v>
      </c>
      <c r="C180" s="168">
        <v>1.76</v>
      </c>
      <c r="D180" s="164" t="s">
        <v>459</v>
      </c>
      <c r="E180" s="164" t="s">
        <v>298</v>
      </c>
      <c r="F180" s="164" t="s">
        <v>8</v>
      </c>
      <c r="G180" s="164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  <c r="AG180" s="223">
        <v>72160</v>
      </c>
    </row>
    <row r="181" spans="1:33" x14ac:dyDescent="0.2">
      <c r="A181" s="245">
        <v>406</v>
      </c>
      <c r="B181" s="1" t="str">
        <f t="shared" si="30"/>
        <v>1.77, NT Grain Drill &amp; Pre 24'</v>
      </c>
      <c r="C181" s="168">
        <v>1.77</v>
      </c>
      <c r="D181" s="164" t="s">
        <v>459</v>
      </c>
      <c r="E181" s="164" t="s">
        <v>298</v>
      </c>
      <c r="F181" s="164" t="s">
        <v>65</v>
      </c>
      <c r="G181" s="164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  <c r="AG181" s="223">
        <v>87329.999999999985</v>
      </c>
    </row>
    <row r="182" spans="1:33" x14ac:dyDescent="0.2">
      <c r="A182" s="245">
        <v>407</v>
      </c>
      <c r="B182" s="1" t="str">
        <f t="shared" si="30"/>
        <v>1.78, NT Grain Drill &amp; Pre 30'</v>
      </c>
      <c r="C182" s="168">
        <v>1.78</v>
      </c>
      <c r="D182" s="164" t="s">
        <v>459</v>
      </c>
      <c r="E182" s="164" t="s">
        <v>298</v>
      </c>
      <c r="F182" s="164" t="s">
        <v>44</v>
      </c>
      <c r="G182" s="164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  <c r="AG182" s="223">
        <v>100449.99999999999</v>
      </c>
    </row>
    <row r="183" spans="1:33" x14ac:dyDescent="0.2">
      <c r="A183" s="245">
        <v>389</v>
      </c>
      <c r="B183" s="1" t="str">
        <f t="shared" si="30"/>
        <v>1.79, NT Plant &amp; Pre-Folding 12R-20</v>
      </c>
      <c r="C183" s="168">
        <v>1.79</v>
      </c>
      <c r="D183" s="164" t="s">
        <v>459</v>
      </c>
      <c r="E183" s="164" t="s">
        <v>299</v>
      </c>
      <c r="F183" s="164" t="s">
        <v>50</v>
      </c>
      <c r="G183" s="164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  <c r="AG183" s="223">
        <v>71955</v>
      </c>
    </row>
    <row r="184" spans="1:33" x14ac:dyDescent="0.2">
      <c r="A184" s="245">
        <v>395</v>
      </c>
      <c r="B184" s="1" t="str">
        <f t="shared" si="30"/>
        <v>1.8, NT Plant &amp; Pre-Folding  8R-36</v>
      </c>
      <c r="C184" s="168">
        <v>1.8</v>
      </c>
      <c r="D184" s="164" t="s">
        <v>459</v>
      </c>
      <c r="E184" s="164" t="s">
        <v>299</v>
      </c>
      <c r="F184" s="164" t="s">
        <v>199</v>
      </c>
      <c r="G184" s="164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  <c r="AG184" s="223">
        <v>49199.999999999993</v>
      </c>
    </row>
    <row r="185" spans="1:33" x14ac:dyDescent="0.2">
      <c r="A185" s="245">
        <v>392</v>
      </c>
      <c r="B185" s="1" t="str">
        <f t="shared" si="30"/>
        <v>1.81, NT Plant &amp; Pre-Folding 23R-15</v>
      </c>
      <c r="C185" s="168">
        <v>1.81</v>
      </c>
      <c r="D185" s="164" t="s">
        <v>459</v>
      </c>
      <c r="E185" s="164" t="s">
        <v>299</v>
      </c>
      <c r="F185" s="164" t="s">
        <v>62</v>
      </c>
      <c r="G185" s="164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  <c r="AG185" s="223">
        <v>132225</v>
      </c>
    </row>
    <row r="186" spans="1:33" x14ac:dyDescent="0.2">
      <c r="A186" s="245">
        <v>390</v>
      </c>
      <c r="B186" s="1" t="str">
        <f t="shared" si="30"/>
        <v>1.82, NT Plant &amp; Pre-Folding 12R-30</v>
      </c>
      <c r="C186" s="168">
        <v>1.82</v>
      </c>
      <c r="D186" s="164" t="s">
        <v>459</v>
      </c>
      <c r="E186" s="164" t="s">
        <v>299</v>
      </c>
      <c r="F186" s="164" t="s">
        <v>6</v>
      </c>
      <c r="G186" s="164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  <c r="AG186" s="223">
        <v>73800</v>
      </c>
    </row>
    <row r="187" spans="1:33" x14ac:dyDescent="0.2">
      <c r="A187" s="245">
        <v>549</v>
      </c>
      <c r="B187" s="1" t="str">
        <f t="shared" si="30"/>
        <v>1.83, NT Plant &amp; Pre-Folding 24R-15</v>
      </c>
      <c r="C187" s="168">
        <v>1.83</v>
      </c>
      <c r="D187" s="164" t="s">
        <v>459</v>
      </c>
      <c r="E187" s="164" t="s">
        <v>299</v>
      </c>
      <c r="F187" s="164" t="s">
        <v>61</v>
      </c>
      <c r="G187" s="164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  <c r="AG187" s="223">
        <v>136325</v>
      </c>
    </row>
    <row r="188" spans="1:33" x14ac:dyDescent="0.2">
      <c r="A188" s="245">
        <v>386</v>
      </c>
      <c r="B188" s="1" t="str">
        <f t="shared" si="30"/>
        <v>1.84, NT Plant &amp; Pre-Folding  8R-36 2x1</v>
      </c>
      <c r="C188" s="168">
        <v>1.84</v>
      </c>
      <c r="D188" s="164" t="s">
        <v>459</v>
      </c>
      <c r="E188" s="164" t="s">
        <v>299</v>
      </c>
      <c r="F188" s="164" t="s">
        <v>203</v>
      </c>
      <c r="G188" s="164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  <c r="AG188" s="223">
        <v>82820</v>
      </c>
    </row>
    <row r="189" spans="1:33" x14ac:dyDescent="0.2">
      <c r="A189" s="245">
        <v>257</v>
      </c>
      <c r="B189" s="1" t="str">
        <f t="shared" si="30"/>
        <v>1.85, NT Plant &amp; Pre-Folding 12R-36</v>
      </c>
      <c r="C189" s="168">
        <v>1.85</v>
      </c>
      <c r="D189" s="164" t="s">
        <v>459</v>
      </c>
      <c r="E189" s="164" t="s">
        <v>299</v>
      </c>
      <c r="F189" s="164" t="s">
        <v>200</v>
      </c>
      <c r="G189" s="164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  <c r="AG189" s="223">
        <v>82820</v>
      </c>
    </row>
    <row r="190" spans="1:33" x14ac:dyDescent="0.2">
      <c r="A190" s="245">
        <v>553</v>
      </c>
      <c r="B190" s="1" t="str">
        <f t="shared" si="30"/>
        <v>1.86, NT Plant &amp; Pre-Folding 31R-15</v>
      </c>
      <c r="C190" s="168">
        <v>1.86</v>
      </c>
      <c r="D190" s="164" t="s">
        <v>459</v>
      </c>
      <c r="E190" s="164" t="s">
        <v>299</v>
      </c>
      <c r="F190" s="164" t="s">
        <v>60</v>
      </c>
      <c r="G190" s="164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  <c r="AG190" s="223">
        <v>150675</v>
      </c>
    </row>
    <row r="191" spans="1:33" x14ac:dyDescent="0.2">
      <c r="A191" s="245">
        <v>391</v>
      </c>
      <c r="B191" s="1" t="str">
        <f t="shared" si="30"/>
        <v>1.87, NT Plant &amp; Pre-Folding 16R-30</v>
      </c>
      <c r="C191" s="168">
        <v>1.87</v>
      </c>
      <c r="D191" s="164" t="s">
        <v>459</v>
      </c>
      <c r="E191" s="164" t="s">
        <v>299</v>
      </c>
      <c r="F191" s="164" t="s">
        <v>59</v>
      </c>
      <c r="G191" s="164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  <c r="AG191" s="223">
        <v>103524.99999999999</v>
      </c>
    </row>
    <row r="192" spans="1:33" x14ac:dyDescent="0.2">
      <c r="A192" s="245">
        <v>393</v>
      </c>
      <c r="B192" s="1" t="str">
        <f t="shared" si="30"/>
        <v>1.88, NT Plant &amp; Pre-Folding 24R-20</v>
      </c>
      <c r="C192" s="168">
        <v>1.88</v>
      </c>
      <c r="D192" s="164" t="s">
        <v>459</v>
      </c>
      <c r="E192" s="164" t="s">
        <v>299</v>
      </c>
      <c r="F192" s="164" t="s">
        <v>58</v>
      </c>
      <c r="G192" s="164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  <c r="AG192" s="223">
        <v>146575</v>
      </c>
    </row>
    <row r="193" spans="1:33" x14ac:dyDescent="0.2">
      <c r="A193" s="245">
        <v>597</v>
      </c>
      <c r="B193" s="1" t="str">
        <f t="shared" si="30"/>
        <v>1.89, NT Plant &amp; Pre-Folding 32R-15</v>
      </c>
      <c r="C193" s="168">
        <v>1.89</v>
      </c>
      <c r="D193" s="164" t="s">
        <v>459</v>
      </c>
      <c r="E193" s="164" t="s">
        <v>299</v>
      </c>
      <c r="F193" s="164" t="s">
        <v>57</v>
      </c>
      <c r="G193" s="164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  <c r="AG193" s="223">
        <v>167075</v>
      </c>
    </row>
    <row r="194" spans="1:33" x14ac:dyDescent="0.2">
      <c r="A194" s="245">
        <v>394</v>
      </c>
      <c r="B194" s="1" t="str">
        <f t="shared" si="30"/>
        <v>1.9, NT Plant &amp; Pre-Folding 24R-30</v>
      </c>
      <c r="C194" s="168">
        <v>1.9</v>
      </c>
      <c r="D194" s="164" t="s">
        <v>459</v>
      </c>
      <c r="E194" s="164" t="s">
        <v>299</v>
      </c>
      <c r="F194" s="164" t="s">
        <v>56</v>
      </c>
      <c r="G194" s="164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  <c r="AG194" s="223">
        <v>192699.99999999997</v>
      </c>
    </row>
    <row r="195" spans="1:33" x14ac:dyDescent="0.2">
      <c r="A195" s="245">
        <v>629</v>
      </c>
      <c r="B195" s="1" t="str">
        <f t="shared" si="30"/>
        <v>1.91, NT Plant &amp; Pre-Folding 36R-20</v>
      </c>
      <c r="C195" s="168">
        <v>1.91</v>
      </c>
      <c r="D195" s="164" t="s">
        <v>459</v>
      </c>
      <c r="E195" s="164" t="s">
        <v>299</v>
      </c>
      <c r="F195" s="164" t="s">
        <v>55</v>
      </c>
      <c r="G195" s="164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  <c r="AG195" s="223">
        <v>199874.99999999997</v>
      </c>
    </row>
    <row r="196" spans="1:33" x14ac:dyDescent="0.2">
      <c r="A196" s="245">
        <v>381</v>
      </c>
      <c r="B196" s="1" t="str">
        <f t="shared" si="30"/>
        <v>1.92, NT Plant &amp; Pre-Rigid  4R-30</v>
      </c>
      <c r="C196" s="168">
        <v>1.92</v>
      </c>
      <c r="D196" s="164" t="s">
        <v>459</v>
      </c>
      <c r="E196" s="164" t="s">
        <v>300</v>
      </c>
      <c r="F196" s="164" t="s">
        <v>48</v>
      </c>
      <c r="G196" s="164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  <c r="AG196" s="223">
        <v>27264.999999999996</v>
      </c>
    </row>
    <row r="197" spans="1:33" x14ac:dyDescent="0.2">
      <c r="A197" s="245">
        <v>136</v>
      </c>
      <c r="B197" s="1" t="str">
        <f t="shared" ref="B197:B260" si="45">CONCATENATE(C197,D197,E197,F197)</f>
        <v>1.93, NT Plant &amp; Pre-Rigid  4R-36</v>
      </c>
      <c r="C197" s="168">
        <v>1.93</v>
      </c>
      <c r="D197" s="164" t="s">
        <v>459</v>
      </c>
      <c r="E197" s="164" t="s">
        <v>300</v>
      </c>
      <c r="F197" s="164" t="s">
        <v>201</v>
      </c>
      <c r="G197" s="164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  <c r="AG197" s="223">
        <v>29519.999999999996</v>
      </c>
    </row>
    <row r="198" spans="1:33" x14ac:dyDescent="0.2">
      <c r="A198" s="245">
        <v>533</v>
      </c>
      <c r="B198" s="1" t="str">
        <f t="shared" si="45"/>
        <v>1.94, NT Plant &amp; Pre-Rigid 11R-15</v>
      </c>
      <c r="C198" s="168">
        <v>1.94</v>
      </c>
      <c r="D198" s="164" t="s">
        <v>459</v>
      </c>
      <c r="E198" s="164" t="s">
        <v>300</v>
      </c>
      <c r="F198" s="164" t="s">
        <v>54</v>
      </c>
      <c r="G198" s="164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  <c r="AG198" s="223">
        <v>51147.499999999993</v>
      </c>
    </row>
    <row r="199" spans="1:33" x14ac:dyDescent="0.2">
      <c r="A199" s="245">
        <v>137</v>
      </c>
      <c r="B199" s="1" t="str">
        <f t="shared" si="45"/>
        <v>1.95, NT Plant &amp; Pre-Rigid  6R-30</v>
      </c>
      <c r="C199" s="168">
        <v>1.95</v>
      </c>
      <c r="D199" s="164" t="s">
        <v>459</v>
      </c>
      <c r="E199" s="164" t="s">
        <v>300</v>
      </c>
      <c r="F199" s="164" t="s">
        <v>53</v>
      </c>
      <c r="G199" s="164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  <c r="AG199" s="223">
        <v>37822.5</v>
      </c>
    </row>
    <row r="200" spans="1:33" x14ac:dyDescent="0.2">
      <c r="A200" s="245">
        <v>138</v>
      </c>
      <c r="B200" s="1" t="str">
        <f t="shared" si="45"/>
        <v>1.96, NT Plant &amp; Pre-Rigid  6R-36</v>
      </c>
      <c r="C200" s="168">
        <v>1.96</v>
      </c>
      <c r="D200" s="164" t="s">
        <v>459</v>
      </c>
      <c r="E200" s="164" t="s">
        <v>300</v>
      </c>
      <c r="F200" s="164" t="s">
        <v>202</v>
      </c>
      <c r="G200" s="164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  <c r="AG200" s="223">
        <v>33927.5</v>
      </c>
    </row>
    <row r="201" spans="1:33" x14ac:dyDescent="0.2">
      <c r="A201" s="245">
        <v>537</v>
      </c>
      <c r="B201" s="1" t="str">
        <f t="shared" si="45"/>
        <v>1.97, NT Plant &amp; Pre-Rigid 11R-20</v>
      </c>
      <c r="C201" s="168">
        <v>1.97</v>
      </c>
      <c r="D201" s="164" t="s">
        <v>459</v>
      </c>
      <c r="E201" s="164" t="s">
        <v>300</v>
      </c>
      <c r="F201" s="164" t="s">
        <v>52</v>
      </c>
      <c r="G201" s="164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  <c r="AG201" s="223">
        <v>46637.499999999993</v>
      </c>
    </row>
    <row r="202" spans="1:33" x14ac:dyDescent="0.2">
      <c r="A202" s="245">
        <v>598</v>
      </c>
      <c r="B202" s="1" t="str">
        <f t="shared" si="45"/>
        <v>1.98, NT Plant &amp; Pre-Rigid 15R-15</v>
      </c>
      <c r="C202" s="168">
        <v>1.98</v>
      </c>
      <c r="D202" s="164" t="s">
        <v>459</v>
      </c>
      <c r="E202" s="164" t="s">
        <v>300</v>
      </c>
      <c r="F202" s="164" t="s">
        <v>51</v>
      </c>
      <c r="G202" s="164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  <c r="AG202" s="223">
        <v>62934.999999999993</v>
      </c>
    </row>
    <row r="203" spans="1:33" x14ac:dyDescent="0.2">
      <c r="A203" s="245">
        <v>139</v>
      </c>
      <c r="B203" s="1" t="str">
        <f t="shared" si="45"/>
        <v>1.99, NT Plant &amp; Pre-Rigid  8R-30</v>
      </c>
      <c r="C203" s="168">
        <v>1.99</v>
      </c>
      <c r="D203" s="164" t="s">
        <v>459</v>
      </c>
      <c r="E203" s="164" t="s">
        <v>300</v>
      </c>
      <c r="F203" s="164" t="s">
        <v>25</v>
      </c>
      <c r="G203" s="164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  <c r="AG203" s="223">
        <v>43254.999999999993</v>
      </c>
    </row>
    <row r="204" spans="1:33" x14ac:dyDescent="0.2">
      <c r="A204" s="245">
        <v>384</v>
      </c>
      <c r="B204" s="1" t="str">
        <f t="shared" si="45"/>
        <v>2, NT Plant &amp; Pre-Rigid 12R-20</v>
      </c>
      <c r="C204" s="168">
        <v>2</v>
      </c>
      <c r="D204" s="164" t="s">
        <v>459</v>
      </c>
      <c r="E204" s="164" t="s">
        <v>300</v>
      </c>
      <c r="F204" s="164" t="s">
        <v>50</v>
      </c>
      <c r="G204" s="164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  <c r="AG204" s="223">
        <v>53402.499999999993</v>
      </c>
    </row>
    <row r="205" spans="1:33" x14ac:dyDescent="0.2">
      <c r="A205" s="245">
        <v>631</v>
      </c>
      <c r="B205" s="1" t="str">
        <f t="shared" si="45"/>
        <v>2.01, NT Plant &amp; Pre-Rigid 13R-18/20</v>
      </c>
      <c r="C205" s="168">
        <v>2.0099999999999998</v>
      </c>
      <c r="D205" s="164" t="s">
        <v>459</v>
      </c>
      <c r="E205" s="164" t="s">
        <v>300</v>
      </c>
      <c r="F205" s="164" t="s">
        <v>49</v>
      </c>
      <c r="G205" s="164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  <c r="AG205" s="223">
        <v>57194.999999999993</v>
      </c>
    </row>
    <row r="206" spans="1:33" x14ac:dyDescent="0.2">
      <c r="A206" s="245">
        <v>140</v>
      </c>
      <c r="B206" s="1" t="str">
        <f t="shared" si="45"/>
        <v>2.02, NT Plant &amp; Pre-Rigid  8R-36</v>
      </c>
      <c r="C206" s="168">
        <v>2.02</v>
      </c>
      <c r="D206" s="164" t="s">
        <v>459</v>
      </c>
      <c r="E206" s="164" t="s">
        <v>300</v>
      </c>
      <c r="F206" s="164" t="s">
        <v>199</v>
      </c>
      <c r="G206" s="164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  <c r="AG206" s="223">
        <v>40795</v>
      </c>
    </row>
    <row r="207" spans="1:33" x14ac:dyDescent="0.2">
      <c r="A207" s="245">
        <v>141</v>
      </c>
      <c r="B207" s="1" t="str">
        <f t="shared" si="45"/>
        <v>2.03, NT Plant &amp; Pre-Rigid 10R-30</v>
      </c>
      <c r="C207" s="168">
        <v>2.0299999999999998</v>
      </c>
      <c r="D207" s="164" t="s">
        <v>459</v>
      </c>
      <c r="E207" s="164" t="s">
        <v>300</v>
      </c>
      <c r="F207" s="164" t="s">
        <v>24</v>
      </c>
      <c r="G207" s="164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  <c r="AG207" s="223">
        <v>47457.499999999993</v>
      </c>
    </row>
    <row r="208" spans="1:33" x14ac:dyDescent="0.2">
      <c r="A208" s="245">
        <v>385</v>
      </c>
      <c r="B208" s="1" t="str">
        <f t="shared" si="45"/>
        <v>2.04, NT Plant &amp; Pre-Rigid 12R-30</v>
      </c>
      <c r="C208" s="168">
        <v>2.04</v>
      </c>
      <c r="D208" s="164" t="s">
        <v>459</v>
      </c>
      <c r="E208" s="164" t="s">
        <v>300</v>
      </c>
      <c r="F208" s="164" t="s">
        <v>6</v>
      </c>
      <c r="G208" s="164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  <c r="AG208" s="223">
        <v>66317.5</v>
      </c>
    </row>
    <row r="209" spans="1:33" x14ac:dyDescent="0.2">
      <c r="A209" s="245">
        <v>632</v>
      </c>
      <c r="B209" s="1" t="str">
        <f t="shared" si="45"/>
        <v>2.05, NT Plant &amp; Pre-Twin Row 8R-36</v>
      </c>
      <c r="C209" s="168">
        <v>2.0499999999999998</v>
      </c>
      <c r="D209" s="164" t="s">
        <v>459</v>
      </c>
      <c r="E209" s="164" t="s">
        <v>301</v>
      </c>
      <c r="F209" s="164" t="s">
        <v>205</v>
      </c>
      <c r="G209" s="164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  <c r="AG209" s="223">
        <v>122999.99999999999</v>
      </c>
    </row>
    <row r="210" spans="1:33" x14ac:dyDescent="0.2">
      <c r="A210" s="245">
        <v>628</v>
      </c>
      <c r="B210" s="1" t="str">
        <f t="shared" si="45"/>
        <v>2.06, NT Plant &amp; Pre-Twin Row 12R-36</v>
      </c>
      <c r="C210" s="168">
        <v>2.06</v>
      </c>
      <c r="D210" s="164" t="s">
        <v>459</v>
      </c>
      <c r="E210" s="164" t="s">
        <v>301</v>
      </c>
      <c r="F210" s="164" t="s">
        <v>200</v>
      </c>
      <c r="G210" s="164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  <c r="AG210" s="223">
        <v>143500</v>
      </c>
    </row>
    <row r="211" spans="1:33" x14ac:dyDescent="0.2">
      <c r="A211" s="245">
        <v>374</v>
      </c>
      <c r="B211" s="1" t="str">
        <f t="shared" si="45"/>
        <v>2.07, NT Plant-Folding 12R-20</v>
      </c>
      <c r="C211" s="168">
        <v>2.0699999999999998</v>
      </c>
      <c r="D211" s="164" t="s">
        <v>459</v>
      </c>
      <c r="E211" s="164" t="s">
        <v>302</v>
      </c>
      <c r="F211" s="164" t="s">
        <v>50</v>
      </c>
      <c r="G211" s="164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  <c r="AG211" s="223">
        <v>65805</v>
      </c>
    </row>
    <row r="212" spans="1:33" x14ac:dyDescent="0.2">
      <c r="A212" s="245">
        <v>370</v>
      </c>
      <c r="B212" s="1" t="str">
        <f t="shared" si="45"/>
        <v>2.08, NT Plant-Folding  8R-36</v>
      </c>
      <c r="C212" s="168">
        <v>2.08</v>
      </c>
      <c r="D212" s="164" t="s">
        <v>459</v>
      </c>
      <c r="E212" s="164" t="s">
        <v>302</v>
      </c>
      <c r="F212" s="164" t="s">
        <v>199</v>
      </c>
      <c r="G212" s="164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  <c r="AG212" s="223">
        <v>43152.499999999993</v>
      </c>
    </row>
    <row r="213" spans="1:33" x14ac:dyDescent="0.2">
      <c r="A213" s="245">
        <v>378</v>
      </c>
      <c r="B213" s="1" t="str">
        <f t="shared" si="45"/>
        <v>2.09, NT Plant-Folding 23R-15</v>
      </c>
      <c r="C213" s="168">
        <v>2.09</v>
      </c>
      <c r="D213" s="164" t="s">
        <v>459</v>
      </c>
      <c r="E213" s="164" t="s">
        <v>302</v>
      </c>
      <c r="F213" s="164" t="s">
        <v>62</v>
      </c>
      <c r="G213" s="164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  <c r="AG213" s="223">
        <v>125049.99999999999</v>
      </c>
    </row>
    <row r="214" spans="1:33" x14ac:dyDescent="0.2">
      <c r="A214" s="245">
        <v>375</v>
      </c>
      <c r="B214" s="1" t="str">
        <f t="shared" si="45"/>
        <v>2.1, NT Plant-Folding 12R-30</v>
      </c>
      <c r="C214" s="168">
        <v>2.1</v>
      </c>
      <c r="D214" s="164" t="s">
        <v>459</v>
      </c>
      <c r="E214" s="164" t="s">
        <v>302</v>
      </c>
      <c r="F214" s="164" t="s">
        <v>6</v>
      </c>
      <c r="G214" s="164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  <c r="AG214" s="223">
        <v>66215</v>
      </c>
    </row>
    <row r="215" spans="1:33" x14ac:dyDescent="0.2">
      <c r="A215" s="245">
        <v>548</v>
      </c>
      <c r="B215" s="1" t="str">
        <f t="shared" si="45"/>
        <v>2.11, NT Plant-Folding 24R-15</v>
      </c>
      <c r="C215" s="168">
        <v>2.11</v>
      </c>
      <c r="D215" s="164" t="s">
        <v>459</v>
      </c>
      <c r="E215" s="164" t="s">
        <v>302</v>
      </c>
      <c r="F215" s="164" t="s">
        <v>61</v>
      </c>
      <c r="G215" s="164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  <c r="AG215" s="223">
        <v>129149.99999999999</v>
      </c>
    </row>
    <row r="216" spans="1:33" x14ac:dyDescent="0.2">
      <c r="A216" s="245">
        <v>371</v>
      </c>
      <c r="B216" s="1" t="str">
        <f t="shared" si="45"/>
        <v>2.12, NT Plant-Folding  8R-36 2x1</v>
      </c>
      <c r="C216" s="168">
        <v>2.12</v>
      </c>
      <c r="D216" s="164" t="s">
        <v>459</v>
      </c>
      <c r="E216" s="164" t="s">
        <v>302</v>
      </c>
      <c r="F216" s="164" t="s">
        <v>203</v>
      </c>
      <c r="G216" s="164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  <c r="AG216" s="223">
        <v>65087.499999999993</v>
      </c>
    </row>
    <row r="217" spans="1:33" x14ac:dyDescent="0.2">
      <c r="A217" s="245">
        <v>255</v>
      </c>
      <c r="B217" s="1" t="str">
        <f t="shared" si="45"/>
        <v>2.13, NT Plant-Folding 12R-36</v>
      </c>
      <c r="C217" s="168">
        <v>2.13</v>
      </c>
      <c r="D217" s="164" t="s">
        <v>459</v>
      </c>
      <c r="E217" s="164" t="s">
        <v>302</v>
      </c>
      <c r="F217" s="164" t="s">
        <v>200</v>
      </c>
      <c r="G217" s="164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  <c r="AG217" s="223">
        <v>75337.5</v>
      </c>
    </row>
    <row r="218" spans="1:33" x14ac:dyDescent="0.2">
      <c r="A218" s="245">
        <v>552</v>
      </c>
      <c r="B218" s="1" t="str">
        <f t="shared" si="45"/>
        <v>2.14, NT Plant-Folding 31R-15</v>
      </c>
      <c r="C218" s="168">
        <v>2.14</v>
      </c>
      <c r="D218" s="164" t="s">
        <v>459</v>
      </c>
      <c r="E218" s="164" t="s">
        <v>302</v>
      </c>
      <c r="F218" s="164" t="s">
        <v>60</v>
      </c>
      <c r="G218" s="164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  <c r="AG218" s="223">
        <v>143500</v>
      </c>
    </row>
    <row r="219" spans="1:33" x14ac:dyDescent="0.2">
      <c r="A219" s="245">
        <v>377</v>
      </c>
      <c r="B219" s="1" t="str">
        <f t="shared" si="45"/>
        <v>2.15, NT Plant-Folding 16R-30</v>
      </c>
      <c r="C219" s="168">
        <v>2.15</v>
      </c>
      <c r="D219" s="164" t="s">
        <v>459</v>
      </c>
      <c r="E219" s="164" t="s">
        <v>302</v>
      </c>
      <c r="F219" s="164" t="s">
        <v>59</v>
      </c>
      <c r="G219" s="164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  <c r="AG219" s="223">
        <v>95529.999999999985</v>
      </c>
    </row>
    <row r="220" spans="1:33" x14ac:dyDescent="0.2">
      <c r="A220" s="245">
        <v>379</v>
      </c>
      <c r="B220" s="1" t="str">
        <f t="shared" si="45"/>
        <v>2.16, NT Plant-Folding 24R-20</v>
      </c>
      <c r="C220" s="168">
        <v>2.16</v>
      </c>
      <c r="D220" s="164" t="s">
        <v>459</v>
      </c>
      <c r="E220" s="164" t="s">
        <v>302</v>
      </c>
      <c r="F220" s="164" t="s">
        <v>58</v>
      </c>
      <c r="G220" s="164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  <c r="AG220" s="223">
        <v>139400</v>
      </c>
    </row>
    <row r="221" spans="1:33" x14ac:dyDescent="0.2">
      <c r="A221" s="245">
        <v>599</v>
      </c>
      <c r="B221" s="1" t="str">
        <f t="shared" si="45"/>
        <v>2.17, NT Plant-Folding 32R-15</v>
      </c>
      <c r="C221" s="168">
        <v>2.17</v>
      </c>
      <c r="D221" s="164" t="s">
        <v>459</v>
      </c>
      <c r="E221" s="164" t="s">
        <v>302</v>
      </c>
      <c r="F221" s="164" t="s">
        <v>57</v>
      </c>
      <c r="G221" s="164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  <c r="AG221" s="223">
        <v>158875</v>
      </c>
    </row>
    <row r="222" spans="1:33" x14ac:dyDescent="0.2">
      <c r="A222" s="245">
        <v>380</v>
      </c>
      <c r="B222" s="1" t="str">
        <f t="shared" si="45"/>
        <v>2.18, NT Plant-Folding 24R-30</v>
      </c>
      <c r="C222" s="168">
        <v>2.1800000000000002</v>
      </c>
      <c r="D222" s="164" t="s">
        <v>459</v>
      </c>
      <c r="E222" s="164" t="s">
        <v>302</v>
      </c>
      <c r="F222" s="164" t="s">
        <v>56</v>
      </c>
      <c r="G222" s="164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  <c r="AG222" s="223">
        <v>182449.99999999997</v>
      </c>
    </row>
    <row r="223" spans="1:33" x14ac:dyDescent="0.2">
      <c r="A223" s="245">
        <v>637</v>
      </c>
      <c r="B223" s="1" t="str">
        <f t="shared" si="45"/>
        <v>2.19, NT Plant-Folding 36R-20</v>
      </c>
      <c r="C223" s="168">
        <v>2.19</v>
      </c>
      <c r="D223" s="164" t="s">
        <v>459</v>
      </c>
      <c r="E223" s="164" t="s">
        <v>302</v>
      </c>
      <c r="F223" s="164" t="s">
        <v>55</v>
      </c>
      <c r="G223" s="164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  <c r="AG223" s="223">
        <v>189624.99999999997</v>
      </c>
    </row>
    <row r="224" spans="1:33" x14ac:dyDescent="0.2">
      <c r="A224" s="245">
        <v>365</v>
      </c>
      <c r="B224" s="1" t="str">
        <f t="shared" si="45"/>
        <v>2.2, NT Plant-Rigid  4R-30</v>
      </c>
      <c r="C224" s="168">
        <v>2.2000000000000002</v>
      </c>
      <c r="D224" s="164" t="s">
        <v>459</v>
      </c>
      <c r="E224" s="164" t="s">
        <v>303</v>
      </c>
      <c r="F224" s="164" t="s">
        <v>48</v>
      </c>
      <c r="G224" s="164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  <c r="AG224" s="223">
        <v>21114.999999999996</v>
      </c>
    </row>
    <row r="225" spans="1:33" x14ac:dyDescent="0.2">
      <c r="A225" s="245">
        <v>130</v>
      </c>
      <c r="B225" s="1" t="str">
        <f t="shared" si="45"/>
        <v>2.21, NT Plant-Rigid  4R-36</v>
      </c>
      <c r="C225" s="168">
        <v>2.21</v>
      </c>
      <c r="D225" s="164" t="s">
        <v>459</v>
      </c>
      <c r="E225" s="164" t="s">
        <v>303</v>
      </c>
      <c r="F225" s="164" t="s">
        <v>201</v>
      </c>
      <c r="G225" s="164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  <c r="AG225" s="223">
        <v>23472.499999999996</v>
      </c>
    </row>
    <row r="226" spans="1:33" x14ac:dyDescent="0.2">
      <c r="A226" s="245">
        <v>532</v>
      </c>
      <c r="B226" s="1" t="str">
        <f t="shared" si="45"/>
        <v>2.22, NT Plant-Rigid 11R-15</v>
      </c>
      <c r="C226" s="168">
        <v>2.2200000000000002</v>
      </c>
      <c r="D226" s="164" t="s">
        <v>459</v>
      </c>
      <c r="E226" s="164" t="s">
        <v>303</v>
      </c>
      <c r="F226" s="164" t="s">
        <v>54</v>
      </c>
      <c r="G226" s="164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  <c r="AG226" s="223">
        <v>44997.499999999993</v>
      </c>
    </row>
    <row r="227" spans="1:33" x14ac:dyDescent="0.2">
      <c r="A227" s="245">
        <v>131</v>
      </c>
      <c r="B227" s="1" t="str">
        <f t="shared" si="45"/>
        <v>2.23, NT Plant-Rigid  6R-30</v>
      </c>
      <c r="C227" s="168">
        <v>2.23</v>
      </c>
      <c r="D227" s="164" t="s">
        <v>459</v>
      </c>
      <c r="E227" s="164" t="s">
        <v>303</v>
      </c>
      <c r="F227" s="164" t="s">
        <v>53</v>
      </c>
      <c r="G227" s="164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  <c r="AG227" s="223">
        <v>31774.999999999996</v>
      </c>
    </row>
    <row r="228" spans="1:33" x14ac:dyDescent="0.2">
      <c r="A228" s="245">
        <v>132</v>
      </c>
      <c r="B228" s="1" t="str">
        <f t="shared" si="45"/>
        <v>2.24, NT Plant-Rigid  6R-36</v>
      </c>
      <c r="C228" s="168">
        <v>2.2400000000000002</v>
      </c>
      <c r="D228" s="164" t="s">
        <v>459</v>
      </c>
      <c r="E228" s="164" t="s">
        <v>303</v>
      </c>
      <c r="F228" s="164" t="s">
        <v>202</v>
      </c>
      <c r="G228" s="164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  <c r="AG228" s="223">
        <v>40590</v>
      </c>
    </row>
    <row r="229" spans="1:33" x14ac:dyDescent="0.2">
      <c r="A229" s="245">
        <v>536</v>
      </c>
      <c r="B229" s="1" t="str">
        <f t="shared" si="45"/>
        <v>2.25, NT Plant-Rigid 11R-20</v>
      </c>
      <c r="C229" s="168">
        <v>2.25</v>
      </c>
      <c r="D229" s="164" t="s">
        <v>459</v>
      </c>
      <c r="E229" s="164" t="s">
        <v>303</v>
      </c>
      <c r="F229" s="164" t="s">
        <v>52</v>
      </c>
      <c r="G229" s="164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  <c r="AG229" s="223">
        <v>55759.999999999993</v>
      </c>
    </row>
    <row r="230" spans="1:33" x14ac:dyDescent="0.2">
      <c r="A230" s="245">
        <v>600</v>
      </c>
      <c r="B230" s="1" t="str">
        <f t="shared" si="45"/>
        <v>2.26, NT Plant-Rigid 15R-15</v>
      </c>
      <c r="C230" s="168">
        <v>2.2599999999999998</v>
      </c>
      <c r="D230" s="164" t="s">
        <v>459</v>
      </c>
      <c r="E230" s="164" t="s">
        <v>303</v>
      </c>
      <c r="F230" s="164" t="s">
        <v>51</v>
      </c>
      <c r="G230" s="164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  <c r="AG230" s="223">
        <v>27777.499999999996</v>
      </c>
    </row>
    <row r="231" spans="1:33" x14ac:dyDescent="0.2">
      <c r="A231" s="245">
        <v>133</v>
      </c>
      <c r="B231" s="1" t="str">
        <f t="shared" si="45"/>
        <v>2.27, NT Plant-Rigid  8R-30</v>
      </c>
      <c r="C231" s="168">
        <v>2.27</v>
      </c>
      <c r="D231" s="164" t="s">
        <v>459</v>
      </c>
      <c r="E231" s="164" t="s">
        <v>303</v>
      </c>
      <c r="F231" s="164" t="s">
        <v>25</v>
      </c>
      <c r="G231" s="164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  <c r="AG231" s="223">
        <v>47354.999999999993</v>
      </c>
    </row>
    <row r="232" spans="1:33" x14ac:dyDescent="0.2">
      <c r="A232" s="245">
        <v>368</v>
      </c>
      <c r="B232" s="1" t="str">
        <f t="shared" si="45"/>
        <v>2.28, NT Plant-Rigid 12R-20</v>
      </c>
      <c r="C232" s="168">
        <v>2.2799999999999998</v>
      </c>
      <c r="D232" s="164" t="s">
        <v>459</v>
      </c>
      <c r="E232" s="164" t="s">
        <v>303</v>
      </c>
      <c r="F232" s="164" t="s">
        <v>50</v>
      </c>
      <c r="G232" s="164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  <c r="AG232" s="223">
        <v>37207.5</v>
      </c>
    </row>
    <row r="233" spans="1:33" x14ac:dyDescent="0.2">
      <c r="A233" s="245">
        <v>639</v>
      </c>
      <c r="B233" s="1" t="str">
        <f t="shared" si="45"/>
        <v>2.29, NT Plant-Rigid 13R-18/20</v>
      </c>
      <c r="C233" s="168">
        <v>2.29</v>
      </c>
      <c r="D233" s="164" t="s">
        <v>459</v>
      </c>
      <c r="E233" s="164" t="s">
        <v>303</v>
      </c>
      <c r="F233" s="164" t="s">
        <v>49</v>
      </c>
      <c r="G233" s="164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  <c r="AG233" s="223">
        <v>51044.999999999993</v>
      </c>
    </row>
    <row r="234" spans="1:33" x14ac:dyDescent="0.2">
      <c r="A234" s="245">
        <v>134</v>
      </c>
      <c r="B234" s="1" t="str">
        <f t="shared" si="45"/>
        <v>2.3, NT Plant-Rigid  8R-36</v>
      </c>
      <c r="C234" s="168">
        <v>2.2999999999999998</v>
      </c>
      <c r="D234" s="164" t="s">
        <v>459</v>
      </c>
      <c r="E234" s="164" t="s">
        <v>303</v>
      </c>
      <c r="F234" s="164" t="s">
        <v>199</v>
      </c>
      <c r="G234" s="164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  <c r="AG234" s="223">
        <v>41307.5</v>
      </c>
    </row>
    <row r="235" spans="1:33" x14ac:dyDescent="0.2">
      <c r="A235" s="245">
        <v>135</v>
      </c>
      <c r="B235" s="1" t="str">
        <f t="shared" si="45"/>
        <v>2.31, NT Plant-Rigid 10R-30</v>
      </c>
      <c r="C235" s="168">
        <v>2.31</v>
      </c>
      <c r="D235" s="164" t="s">
        <v>459</v>
      </c>
      <c r="E235" s="164" t="s">
        <v>303</v>
      </c>
      <c r="F235" s="164" t="s">
        <v>24</v>
      </c>
      <c r="G235" s="164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  <c r="AG235" s="223">
        <v>34645</v>
      </c>
    </row>
    <row r="236" spans="1:33" x14ac:dyDescent="0.2">
      <c r="A236" s="245">
        <v>369</v>
      </c>
      <c r="B236" s="1" t="str">
        <f t="shared" si="45"/>
        <v>2.32, NT Plant-Rigid 12R-30</v>
      </c>
      <c r="C236" s="168">
        <v>2.3199999999999998</v>
      </c>
      <c r="D236" s="164" t="s">
        <v>459</v>
      </c>
      <c r="E236" s="164" t="s">
        <v>303</v>
      </c>
      <c r="F236" s="164" t="s">
        <v>6</v>
      </c>
      <c r="G236" s="164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  <c r="AG236" s="223">
        <v>58219.999999999993</v>
      </c>
    </row>
    <row r="237" spans="1:33" x14ac:dyDescent="0.2">
      <c r="A237" s="245">
        <v>640</v>
      </c>
      <c r="B237" s="1" t="str">
        <f t="shared" si="45"/>
        <v>2.33, NT Plant-Twin Row 8R-36</v>
      </c>
      <c r="C237" s="168">
        <v>2.33</v>
      </c>
      <c r="D237" s="164" t="s">
        <v>459</v>
      </c>
      <c r="E237" s="164" t="s">
        <v>304</v>
      </c>
      <c r="F237" s="164" t="s">
        <v>205</v>
      </c>
      <c r="G237" s="164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  <c r="AG237" s="223">
        <v>116849.99999999999</v>
      </c>
    </row>
    <row r="238" spans="1:33" x14ac:dyDescent="0.2">
      <c r="A238" s="245">
        <v>635</v>
      </c>
      <c r="B238" s="1" t="str">
        <f t="shared" si="45"/>
        <v>2.34, NT Plant-Twin Row 12R-36</v>
      </c>
      <c r="C238" s="168">
        <v>2.34</v>
      </c>
      <c r="D238" s="164" t="s">
        <v>459</v>
      </c>
      <c r="E238" s="164" t="s">
        <v>304</v>
      </c>
      <c r="F238" s="164" t="s">
        <v>200</v>
      </c>
      <c r="G238" s="164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  <c r="AG238" s="223">
        <v>133250</v>
      </c>
    </row>
    <row r="239" spans="1:33" x14ac:dyDescent="0.2">
      <c r="A239" s="245">
        <v>694</v>
      </c>
      <c r="B239" s="1" t="str">
        <f t="shared" si="45"/>
        <v>2.35, One Trip Plow 4R-36</v>
      </c>
      <c r="C239" s="168">
        <v>2.35</v>
      </c>
      <c r="D239" s="164" t="s">
        <v>459</v>
      </c>
      <c r="E239" s="164" t="s">
        <v>305</v>
      </c>
      <c r="F239" s="164" t="s">
        <v>73</v>
      </c>
      <c r="G239" s="164" t="str">
        <f t="shared" si="46"/>
        <v>One Trip Plow 4R-36</v>
      </c>
      <c r="H239" s="30">
        <v>21948.359999999997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416.19187904602865</v>
      </c>
      <c r="W239" s="9">
        <f t="shared" si="50"/>
        <v>2.7746125269735242</v>
      </c>
      <c r="X239" s="8">
        <f t="shared" si="51"/>
        <v>1536.3851999999997</v>
      </c>
      <c r="Y239" s="7">
        <f t="shared" si="52"/>
        <v>10.242567999999999</v>
      </c>
      <c r="Z239" s="2">
        <f t="shared" si="53"/>
        <v>6584.5079999999989</v>
      </c>
      <c r="AA239" s="2">
        <f t="shared" si="54"/>
        <v>1536.3851999999999</v>
      </c>
      <c r="AB239" s="2">
        <f t="shared" si="55"/>
        <v>14266.433999999997</v>
      </c>
      <c r="AC239" s="6">
        <f t="shared" si="56"/>
        <v>1283.9790599999997</v>
      </c>
      <c r="AD239" s="6">
        <f t="shared" si="57"/>
        <v>342.39441599999992</v>
      </c>
      <c r="AE239" s="6">
        <f t="shared" si="58"/>
        <v>3162.7586759999995</v>
      </c>
      <c r="AF239" s="5">
        <f t="shared" si="59"/>
        <v>21.085057839999997</v>
      </c>
      <c r="AG239" s="223">
        <v>21729.999999999996</v>
      </c>
    </row>
    <row r="240" spans="1:33" x14ac:dyDescent="0.2">
      <c r="A240" s="245">
        <v>695</v>
      </c>
      <c r="B240" s="1" t="str">
        <f t="shared" si="45"/>
        <v>2.36, One Trip Plow 6R-36</v>
      </c>
      <c r="C240" s="168">
        <v>2.36</v>
      </c>
      <c r="D240" s="164" t="s">
        <v>459</v>
      </c>
      <c r="E240" s="164" t="s">
        <v>305</v>
      </c>
      <c r="F240" s="164" t="s">
        <v>206</v>
      </c>
      <c r="G240" s="164" t="str">
        <f t="shared" si="46"/>
        <v>One Trip Plow 6R-36</v>
      </c>
      <c r="H240" s="30">
        <v>27849.569999999996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528.09252577066843</v>
      </c>
      <c r="W240" s="9">
        <f t="shared" si="50"/>
        <v>3.5206168384711227</v>
      </c>
      <c r="X240" s="8">
        <f t="shared" si="51"/>
        <v>1949.4698999999996</v>
      </c>
      <c r="Y240" s="7">
        <f t="shared" si="52"/>
        <v>12.996465999999998</v>
      </c>
      <c r="Z240" s="2">
        <f t="shared" si="53"/>
        <v>8354.8709999999992</v>
      </c>
      <c r="AA240" s="2">
        <f t="shared" si="54"/>
        <v>1949.4698999999996</v>
      </c>
      <c r="AB240" s="2">
        <f t="shared" si="55"/>
        <v>18102.220499999996</v>
      </c>
      <c r="AC240" s="6">
        <f t="shared" si="56"/>
        <v>1629.1998449999996</v>
      </c>
      <c r="AD240" s="6">
        <f t="shared" si="57"/>
        <v>434.45329199999992</v>
      </c>
      <c r="AE240" s="6">
        <f t="shared" si="58"/>
        <v>4013.1230369999994</v>
      </c>
      <c r="AF240" s="5">
        <f t="shared" si="59"/>
        <v>26.754153579999997</v>
      </c>
      <c r="AG240" s="223">
        <v>27572.499999999996</v>
      </c>
    </row>
    <row r="241" spans="1:33" x14ac:dyDescent="0.2">
      <c r="A241" s="245">
        <v>696</v>
      </c>
      <c r="B241" s="1" t="str">
        <f t="shared" si="45"/>
        <v>2.37, One Trip Plow 8R-36</v>
      </c>
      <c r="C241" s="168">
        <v>2.37</v>
      </c>
      <c r="D241" s="164" t="s">
        <v>459</v>
      </c>
      <c r="E241" s="164" t="s">
        <v>305</v>
      </c>
      <c r="F241" s="164" t="s">
        <v>205</v>
      </c>
      <c r="G241" s="164" t="str">
        <f t="shared" si="46"/>
        <v>One Trip Plow 8R-36</v>
      </c>
      <c r="H241" s="30">
        <v>32819.009999999995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622.32464932825974</v>
      </c>
      <c r="W241" s="9">
        <f t="shared" si="50"/>
        <v>4.148830995521732</v>
      </c>
      <c r="X241" s="8">
        <f t="shared" si="51"/>
        <v>2297.3306999999995</v>
      </c>
      <c r="Y241" s="7">
        <f t="shared" si="52"/>
        <v>15.315537999999997</v>
      </c>
      <c r="Z241" s="2">
        <f t="shared" si="53"/>
        <v>9845.7029999999977</v>
      </c>
      <c r="AA241" s="2">
        <f t="shared" si="54"/>
        <v>2297.3306999999995</v>
      </c>
      <c r="AB241" s="2">
        <f t="shared" si="55"/>
        <v>21332.356499999994</v>
      </c>
      <c r="AC241" s="6">
        <f t="shared" si="56"/>
        <v>1919.9120849999995</v>
      </c>
      <c r="AD241" s="6">
        <f t="shared" si="57"/>
        <v>511.9765559999999</v>
      </c>
      <c r="AE241" s="6">
        <f t="shared" si="58"/>
        <v>4729.2193409999982</v>
      </c>
      <c r="AF241" s="5">
        <f t="shared" si="59"/>
        <v>31.528128939999988</v>
      </c>
      <c r="AG241" s="223">
        <v>32492.499999999996</v>
      </c>
    </row>
    <row r="242" spans="1:33" x14ac:dyDescent="0.2">
      <c r="A242" s="245">
        <v>567</v>
      </c>
      <c r="B242" s="1" t="str">
        <f t="shared" si="45"/>
        <v>2.38, Peanut Plant &amp; Pre Fold. 12R-36</v>
      </c>
      <c r="C242" s="168">
        <v>2.38</v>
      </c>
      <c r="D242" s="164" t="s">
        <v>459</v>
      </c>
      <c r="E242" s="164" t="s">
        <v>306</v>
      </c>
      <c r="F242" s="164" t="s">
        <v>200</v>
      </c>
      <c r="G242" s="164" t="str">
        <f t="shared" si="46"/>
        <v>Peanut Plant &amp; Pre Fold. 12R-36</v>
      </c>
      <c r="H242" s="252">
        <v>80339.28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1523.4193308477277</v>
      </c>
      <c r="W242" s="9">
        <f t="shared" si="50"/>
        <v>10.156128872318185</v>
      </c>
      <c r="X242" s="8">
        <f t="shared" si="51"/>
        <v>4519.0844999999999</v>
      </c>
      <c r="Y242" s="7">
        <f t="shared" si="52"/>
        <v>30.127230000000001</v>
      </c>
      <c r="Z242" s="2">
        <f t="shared" si="53"/>
        <v>36152.675999999999</v>
      </c>
      <c r="AA242" s="2">
        <f t="shared" si="54"/>
        <v>5523.3254999999999</v>
      </c>
      <c r="AB242" s="2">
        <f t="shared" si="55"/>
        <v>58245.978000000003</v>
      </c>
      <c r="AC242" s="6">
        <f t="shared" si="56"/>
        <v>5242.1380200000003</v>
      </c>
      <c r="AD242" s="6">
        <f t="shared" si="57"/>
        <v>1397.9034720000002</v>
      </c>
      <c r="AE242" s="6">
        <f t="shared" si="58"/>
        <v>12163.366992000001</v>
      </c>
      <c r="AF242" s="5">
        <f t="shared" si="59"/>
        <v>81.089113280000007</v>
      </c>
      <c r="AG242" s="223">
        <v>79540</v>
      </c>
    </row>
    <row r="243" spans="1:33" x14ac:dyDescent="0.2">
      <c r="A243" s="245">
        <v>568</v>
      </c>
      <c r="B243" s="1" t="str">
        <f t="shared" si="45"/>
        <v>2.39, Peanut Plant &amp; Pre Rigid  8R-30</v>
      </c>
      <c r="C243" s="168">
        <v>2.39</v>
      </c>
      <c r="D243" s="164" t="s">
        <v>459</v>
      </c>
      <c r="E243" s="164" t="s">
        <v>307</v>
      </c>
      <c r="F243" s="164" t="s">
        <v>25</v>
      </c>
      <c r="G243" s="164" t="str">
        <f t="shared" si="46"/>
        <v>Peanut Plant &amp; Pre Rigid  8R-30</v>
      </c>
      <c r="H243" s="252">
        <v>41515.53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787.23086555404484</v>
      </c>
      <c r="W243" s="9">
        <f t="shared" si="50"/>
        <v>5.2482057703602987</v>
      </c>
      <c r="X243" s="8">
        <f t="shared" si="51"/>
        <v>2335.2485624999999</v>
      </c>
      <c r="Y243" s="7">
        <f t="shared" si="52"/>
        <v>15.568323749999999</v>
      </c>
      <c r="Z243" s="2">
        <f t="shared" si="53"/>
        <v>18681.988499999999</v>
      </c>
      <c r="AA243" s="2">
        <f t="shared" si="54"/>
        <v>2854.1926874999999</v>
      </c>
      <c r="AB243" s="2">
        <f t="shared" si="55"/>
        <v>30098.759249999999</v>
      </c>
      <c r="AC243" s="6">
        <f t="shared" si="56"/>
        <v>2708.8883324999997</v>
      </c>
      <c r="AD243" s="6">
        <f t="shared" si="57"/>
        <v>722.37022200000001</v>
      </c>
      <c r="AE243" s="6">
        <f t="shared" si="58"/>
        <v>6285.4512419999992</v>
      </c>
      <c r="AF243" s="5">
        <f t="shared" si="59"/>
        <v>41.903008279999995</v>
      </c>
      <c r="AG243" s="223">
        <v>41102.5</v>
      </c>
    </row>
    <row r="244" spans="1:33" x14ac:dyDescent="0.2">
      <c r="A244" s="245">
        <v>569</v>
      </c>
      <c r="B244" s="1" t="str">
        <f t="shared" si="45"/>
        <v>2.4, Peanut Plant &amp; Pre Rigid  8R-36</v>
      </c>
      <c r="C244" s="168">
        <v>2.4</v>
      </c>
      <c r="D244" s="164" t="s">
        <v>459</v>
      </c>
      <c r="E244" s="164" t="s">
        <v>307</v>
      </c>
      <c r="F244" s="164" t="s">
        <v>199</v>
      </c>
      <c r="G244" s="164" t="str">
        <f t="shared" si="46"/>
        <v>Peanut Plant &amp; Pre Rigid  8R-36</v>
      </c>
      <c r="H244" s="252">
        <v>38927.279999999999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738.15163453446598</v>
      </c>
      <c r="W244" s="9">
        <f t="shared" si="50"/>
        <v>4.9210108968964397</v>
      </c>
      <c r="X244" s="8">
        <f t="shared" si="51"/>
        <v>2189.6594999999998</v>
      </c>
      <c r="Y244" s="7">
        <f t="shared" si="52"/>
        <v>14.597729999999999</v>
      </c>
      <c r="Z244" s="2">
        <f t="shared" si="53"/>
        <v>17517.275999999998</v>
      </c>
      <c r="AA244" s="2">
        <f t="shared" si="54"/>
        <v>2676.2505000000001</v>
      </c>
      <c r="AB244" s="2">
        <f t="shared" si="55"/>
        <v>28222.277999999998</v>
      </c>
      <c r="AC244" s="6">
        <f t="shared" si="56"/>
        <v>2540.0050199999996</v>
      </c>
      <c r="AD244" s="6">
        <f t="shared" si="57"/>
        <v>677.33467199999996</v>
      </c>
      <c r="AE244" s="6">
        <f t="shared" si="58"/>
        <v>5893.5901919999997</v>
      </c>
      <c r="AF244" s="5">
        <f t="shared" si="59"/>
        <v>39.290601279999997</v>
      </c>
      <c r="AG244" s="223">
        <v>38540</v>
      </c>
    </row>
    <row r="245" spans="1:33" x14ac:dyDescent="0.2">
      <c r="A245" s="245">
        <v>165</v>
      </c>
      <c r="B245" s="1" t="str">
        <f t="shared" si="45"/>
        <v>2.41, Pipe Spool 160 ac 1/4m roll</v>
      </c>
      <c r="C245" s="168">
        <v>2.41</v>
      </c>
      <c r="D245" s="164" t="s">
        <v>459</v>
      </c>
      <c r="E245" s="164" t="s">
        <v>308</v>
      </c>
      <c r="F245" s="164" t="s">
        <v>64</v>
      </c>
      <c r="G245" s="164" t="str">
        <f t="shared" si="46"/>
        <v>Pipe Spool 160 ac 1/4m roll</v>
      </c>
      <c r="H245" s="252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  <c r="AG245" s="223">
        <v>3464.4999999999995</v>
      </c>
    </row>
    <row r="246" spans="1:33" x14ac:dyDescent="0.2">
      <c r="A246" s="245">
        <v>144</v>
      </c>
      <c r="B246" s="1" t="str">
        <f t="shared" si="45"/>
        <v>2.42, Pipe Trailer 1m/160a 30'</v>
      </c>
      <c r="C246" s="168">
        <v>2.42</v>
      </c>
      <c r="D246" s="164" t="s">
        <v>459</v>
      </c>
      <c r="E246" s="164" t="s">
        <v>309</v>
      </c>
      <c r="F246" s="164" t="s">
        <v>44</v>
      </c>
      <c r="G246" s="164" t="str">
        <f t="shared" si="46"/>
        <v>Pipe Trailer 1m/160a 30'</v>
      </c>
      <c r="H246" s="252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  <c r="AG246" s="223">
        <v>1363.2499999999998</v>
      </c>
    </row>
    <row r="247" spans="1:33" x14ac:dyDescent="0.2">
      <c r="A247" s="245">
        <v>332</v>
      </c>
      <c r="B247" s="1" t="str">
        <f t="shared" si="45"/>
        <v>2.43, Plant - Folding 12R-20</v>
      </c>
      <c r="C247" s="168">
        <v>2.4300000000000002</v>
      </c>
      <c r="D247" s="164" t="s">
        <v>459</v>
      </c>
      <c r="E247" s="164" t="s">
        <v>310</v>
      </c>
      <c r="F247" s="164" t="s">
        <v>50</v>
      </c>
      <c r="G247" s="164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  <c r="AG247" s="223">
        <v>62524.999999999993</v>
      </c>
    </row>
    <row r="248" spans="1:33" x14ac:dyDescent="0.2">
      <c r="A248" s="245">
        <v>334</v>
      </c>
      <c r="B248" s="1" t="str">
        <f t="shared" si="45"/>
        <v>2.44, Plant - Folding  8R-36</v>
      </c>
      <c r="C248" s="168">
        <v>2.44</v>
      </c>
      <c r="D248" s="164" t="s">
        <v>459</v>
      </c>
      <c r="E248" s="164" t="s">
        <v>310</v>
      </c>
      <c r="F248" s="164" t="s">
        <v>199</v>
      </c>
      <c r="G248" s="164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  <c r="AG248" s="223">
        <v>40897.5</v>
      </c>
    </row>
    <row r="249" spans="1:33" x14ac:dyDescent="0.2">
      <c r="A249" s="245">
        <v>353</v>
      </c>
      <c r="B249" s="1" t="str">
        <f t="shared" si="45"/>
        <v>2.45, Plant - Folding 23R-15</v>
      </c>
      <c r="C249" s="168">
        <v>2.4500000000000002</v>
      </c>
      <c r="D249" s="164" t="s">
        <v>459</v>
      </c>
      <c r="E249" s="164" t="s">
        <v>310</v>
      </c>
      <c r="F249" s="164" t="s">
        <v>62</v>
      </c>
      <c r="G249" s="164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  <c r="AG249" s="223">
        <v>118899.99999999999</v>
      </c>
    </row>
    <row r="250" spans="1:33" x14ac:dyDescent="0.2">
      <c r="A250" s="245">
        <v>337</v>
      </c>
      <c r="B250" s="1" t="str">
        <f t="shared" si="45"/>
        <v>2.46, Plant - Folding 12R-30</v>
      </c>
      <c r="C250" s="168">
        <v>2.46</v>
      </c>
      <c r="D250" s="164" t="s">
        <v>459</v>
      </c>
      <c r="E250" s="164" t="s">
        <v>310</v>
      </c>
      <c r="F250" s="164" t="s">
        <v>6</v>
      </c>
      <c r="G250" s="164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  <c r="AG250" s="223">
        <v>62934.999999999993</v>
      </c>
    </row>
    <row r="251" spans="1:33" x14ac:dyDescent="0.2">
      <c r="A251" s="245">
        <v>546</v>
      </c>
      <c r="B251" s="1" t="str">
        <f t="shared" si="45"/>
        <v>2.47, Plant - Folding 24R-15</v>
      </c>
      <c r="C251" s="168">
        <v>2.4700000000000002</v>
      </c>
      <c r="D251" s="164" t="s">
        <v>459</v>
      </c>
      <c r="E251" s="164" t="s">
        <v>310</v>
      </c>
      <c r="F251" s="164" t="s">
        <v>61</v>
      </c>
      <c r="G251" s="164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  <c r="AG251" s="223">
        <v>121974.99999999999</v>
      </c>
    </row>
    <row r="252" spans="1:33" x14ac:dyDescent="0.2">
      <c r="A252" s="245">
        <v>333</v>
      </c>
      <c r="B252" s="1" t="str">
        <f t="shared" si="45"/>
        <v>2.48, Plant - Folding  8R-36 2x1</v>
      </c>
      <c r="C252" s="168">
        <v>2.48</v>
      </c>
      <c r="D252" s="164" t="s">
        <v>459</v>
      </c>
      <c r="E252" s="164" t="s">
        <v>310</v>
      </c>
      <c r="F252" s="164" t="s">
        <v>203</v>
      </c>
      <c r="G252" s="164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  <c r="AG252" s="223">
        <v>71955</v>
      </c>
    </row>
    <row r="253" spans="1:33" x14ac:dyDescent="0.2">
      <c r="A253" s="245">
        <v>260</v>
      </c>
      <c r="B253" s="1" t="str">
        <f t="shared" si="45"/>
        <v>2.49, Plant - Folding 12R-36</v>
      </c>
      <c r="C253" s="168">
        <v>2.4900000000000002</v>
      </c>
      <c r="D253" s="164" t="s">
        <v>459</v>
      </c>
      <c r="E253" s="164" t="s">
        <v>310</v>
      </c>
      <c r="F253" s="164" t="s">
        <v>200</v>
      </c>
      <c r="G253" s="164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  <c r="AG253" s="223">
        <v>71955</v>
      </c>
    </row>
    <row r="254" spans="1:33" x14ac:dyDescent="0.2">
      <c r="A254" s="245">
        <v>550</v>
      </c>
      <c r="B254" s="1" t="str">
        <f t="shared" si="45"/>
        <v>2.5, Plant - Folding 31R-15</v>
      </c>
      <c r="C254" s="168">
        <v>2.5</v>
      </c>
      <c r="D254" s="164" t="s">
        <v>459</v>
      </c>
      <c r="E254" s="164" t="s">
        <v>310</v>
      </c>
      <c r="F254" s="164" t="s">
        <v>60</v>
      </c>
      <c r="G254" s="164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  <c r="AG254" s="223">
        <v>135300</v>
      </c>
    </row>
    <row r="255" spans="1:33" x14ac:dyDescent="0.2">
      <c r="A255" s="245">
        <v>338</v>
      </c>
      <c r="B255" s="1" t="str">
        <f t="shared" si="45"/>
        <v>2.51, Plant - Folding 16R-30</v>
      </c>
      <c r="C255" s="168">
        <v>2.5099999999999998</v>
      </c>
      <c r="D255" s="164" t="s">
        <v>459</v>
      </c>
      <c r="E255" s="164" t="s">
        <v>310</v>
      </c>
      <c r="F255" s="164" t="s">
        <v>59</v>
      </c>
      <c r="G255" s="164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  <c r="AG255" s="223">
        <v>91122.499999999985</v>
      </c>
    </row>
    <row r="256" spans="1:33" x14ac:dyDescent="0.2">
      <c r="A256" s="245">
        <v>339</v>
      </c>
      <c r="B256" s="1" t="str">
        <f t="shared" si="45"/>
        <v>2.52, Plant - Folding 24R-20</v>
      </c>
      <c r="C256" s="168">
        <v>2.52</v>
      </c>
      <c r="D256" s="164" t="s">
        <v>459</v>
      </c>
      <c r="E256" s="164" t="s">
        <v>310</v>
      </c>
      <c r="F256" s="164" t="s">
        <v>58</v>
      </c>
      <c r="G256" s="164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  <c r="AG256" s="223">
        <v>132225</v>
      </c>
    </row>
    <row r="257" spans="1:33" x14ac:dyDescent="0.2">
      <c r="A257" s="245">
        <v>606</v>
      </c>
      <c r="B257" s="1" t="str">
        <f t="shared" si="45"/>
        <v>2.53, Plant - Folding 32R-15</v>
      </c>
      <c r="C257" s="168">
        <v>2.5299999999999998</v>
      </c>
      <c r="D257" s="164" t="s">
        <v>459</v>
      </c>
      <c r="E257" s="164" t="s">
        <v>310</v>
      </c>
      <c r="F257" s="164" t="s">
        <v>57</v>
      </c>
      <c r="G257" s="164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  <c r="AG257" s="223">
        <v>150675</v>
      </c>
    </row>
    <row r="258" spans="1:33" x14ac:dyDescent="0.2">
      <c r="A258" s="245">
        <v>340</v>
      </c>
      <c r="B258" s="1" t="str">
        <f t="shared" si="45"/>
        <v>2.54, Plant - Folding 24R-30</v>
      </c>
      <c r="C258" s="168">
        <v>2.54</v>
      </c>
      <c r="D258" s="164" t="s">
        <v>459</v>
      </c>
      <c r="E258" s="164" t="s">
        <v>310</v>
      </c>
      <c r="F258" s="164" t="s">
        <v>56</v>
      </c>
      <c r="G258" s="164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  <c r="AG258" s="223">
        <v>176299.99999999997</v>
      </c>
    </row>
    <row r="259" spans="1:33" x14ac:dyDescent="0.2">
      <c r="A259" s="245">
        <v>647</v>
      </c>
      <c r="B259" s="1" t="str">
        <f t="shared" si="45"/>
        <v>2.55, Plant - Folding 36R-20</v>
      </c>
      <c r="C259" s="168">
        <v>2.5499999999999998</v>
      </c>
      <c r="D259" s="164" t="s">
        <v>459</v>
      </c>
      <c r="E259" s="164" t="s">
        <v>310</v>
      </c>
      <c r="F259" s="164" t="s">
        <v>55</v>
      </c>
      <c r="G259" s="164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  <c r="AG259" s="223">
        <v>199874.99999999997</v>
      </c>
    </row>
    <row r="260" spans="1:33" x14ac:dyDescent="0.2">
      <c r="A260" s="245">
        <v>330</v>
      </c>
      <c r="B260" s="1" t="str">
        <f t="shared" si="45"/>
        <v>2.56, Plant - Rigid  4R-30</v>
      </c>
      <c r="C260" s="168">
        <v>2.56</v>
      </c>
      <c r="D260" s="164" t="s">
        <v>459</v>
      </c>
      <c r="E260" s="164" t="s">
        <v>311</v>
      </c>
      <c r="F260" s="164" t="s">
        <v>48</v>
      </c>
      <c r="G260" s="164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  <c r="AG260" s="223">
        <v>20090</v>
      </c>
    </row>
    <row r="261" spans="1:33" x14ac:dyDescent="0.2">
      <c r="A261" s="245">
        <v>145</v>
      </c>
      <c r="B261" s="1" t="str">
        <f t="shared" ref="B261:B324" si="60">CONCATENATE(C261,D261,E261,F261)</f>
        <v>2.57, Plant - Rigid  4R-36</v>
      </c>
      <c r="C261" s="168">
        <v>2.57</v>
      </c>
      <c r="D261" s="164" t="s">
        <v>459</v>
      </c>
      <c r="E261" s="164" t="s">
        <v>311</v>
      </c>
      <c r="F261" s="164" t="s">
        <v>201</v>
      </c>
      <c r="G261" s="164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  <c r="AG261" s="223">
        <v>22344.999999999996</v>
      </c>
    </row>
    <row r="262" spans="1:33" x14ac:dyDescent="0.2">
      <c r="A262" s="245">
        <v>529</v>
      </c>
      <c r="B262" s="1" t="str">
        <f t="shared" si="60"/>
        <v>2.58, Plant - Rigid 11R-15</v>
      </c>
      <c r="C262" s="168">
        <v>2.58</v>
      </c>
      <c r="D262" s="164" t="s">
        <v>459</v>
      </c>
      <c r="E262" s="164" t="s">
        <v>311</v>
      </c>
      <c r="F262" s="164" t="s">
        <v>54</v>
      </c>
      <c r="G262" s="164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  <c r="AG262" s="223">
        <v>42024.999999999993</v>
      </c>
    </row>
    <row r="263" spans="1:33" x14ac:dyDescent="0.2">
      <c r="A263" s="245">
        <v>146</v>
      </c>
      <c r="B263" s="1" t="str">
        <f t="shared" si="60"/>
        <v>2.59, Plant - Rigid  6R-30</v>
      </c>
      <c r="C263" s="168">
        <v>2.59</v>
      </c>
      <c r="D263" s="164" t="s">
        <v>459</v>
      </c>
      <c r="E263" s="164" t="s">
        <v>311</v>
      </c>
      <c r="F263" s="164" t="s">
        <v>53</v>
      </c>
      <c r="G263" s="164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  <c r="AG263" s="223">
        <v>30032.499999999996</v>
      </c>
    </row>
    <row r="264" spans="1:33" x14ac:dyDescent="0.2">
      <c r="A264" s="245">
        <v>147</v>
      </c>
      <c r="B264" s="1" t="str">
        <f t="shared" si="60"/>
        <v>2.6, Plant - Rigid  6R-36</v>
      </c>
      <c r="C264" s="168">
        <v>2.6</v>
      </c>
      <c r="D264" s="164" t="s">
        <v>459</v>
      </c>
      <c r="E264" s="164" t="s">
        <v>311</v>
      </c>
      <c r="F264" s="164" t="s">
        <v>202</v>
      </c>
      <c r="G264" s="164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  <c r="AG264" s="223">
        <v>26137.499999999996</v>
      </c>
    </row>
    <row r="265" spans="1:33" x14ac:dyDescent="0.2">
      <c r="A265" s="245">
        <v>534</v>
      </c>
      <c r="B265" s="1" t="str">
        <f t="shared" si="60"/>
        <v>2.61, Plant - Rigid 11R-20</v>
      </c>
      <c r="C265" s="168">
        <v>2.61</v>
      </c>
      <c r="D265" s="164" t="s">
        <v>459</v>
      </c>
      <c r="E265" s="164" t="s">
        <v>311</v>
      </c>
      <c r="F265" s="164" t="s">
        <v>52</v>
      </c>
      <c r="G265" s="164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  <c r="AG265" s="223">
        <v>37515</v>
      </c>
    </row>
    <row r="266" spans="1:33" x14ac:dyDescent="0.2">
      <c r="A266" s="245">
        <v>149</v>
      </c>
      <c r="B266" s="1" t="str">
        <f t="shared" si="60"/>
        <v>2.62, Plant - Rigid  8R-30</v>
      </c>
      <c r="C266" s="168">
        <v>2.62</v>
      </c>
      <c r="D266" s="164" t="s">
        <v>459</v>
      </c>
      <c r="E266" s="164" t="s">
        <v>311</v>
      </c>
      <c r="F266" s="164" t="s">
        <v>25</v>
      </c>
      <c r="G266" s="164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  <c r="AG266" s="223">
        <v>34952.5</v>
      </c>
    </row>
    <row r="267" spans="1:33" x14ac:dyDescent="0.2">
      <c r="A267" s="245">
        <v>153</v>
      </c>
      <c r="B267" s="1" t="str">
        <f t="shared" si="60"/>
        <v>2.63, Plant - Rigid 12R-20</v>
      </c>
      <c r="C267" s="168">
        <v>2.63</v>
      </c>
      <c r="D267" s="164" t="s">
        <v>459</v>
      </c>
      <c r="E267" s="164" t="s">
        <v>311</v>
      </c>
      <c r="F267" s="164" t="s">
        <v>50</v>
      </c>
      <c r="G267" s="164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  <c r="AG267" s="223">
        <v>68572.5</v>
      </c>
    </row>
    <row r="268" spans="1:33" x14ac:dyDescent="0.2">
      <c r="A268" s="245">
        <v>507</v>
      </c>
      <c r="B268" s="1" t="str">
        <f t="shared" si="60"/>
        <v>2.64, Plant - Rigid 15R-15</v>
      </c>
      <c r="C268" s="168">
        <v>2.64</v>
      </c>
      <c r="D268" s="164" t="s">
        <v>459</v>
      </c>
      <c r="E268" s="164" t="s">
        <v>311</v>
      </c>
      <c r="F268" s="164" t="s">
        <v>51</v>
      </c>
      <c r="G268" s="164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  <c r="AG268" s="223">
        <v>52684.999999999993</v>
      </c>
    </row>
    <row r="269" spans="1:33" x14ac:dyDescent="0.2">
      <c r="A269" s="245">
        <v>649</v>
      </c>
      <c r="B269" s="1" t="str">
        <f t="shared" si="60"/>
        <v>2.65, Plant - Rigid 13R-18/20</v>
      </c>
      <c r="C269" s="168">
        <v>2.65</v>
      </c>
      <c r="D269" s="164" t="s">
        <v>459</v>
      </c>
      <c r="E269" s="164" t="s">
        <v>311</v>
      </c>
      <c r="F269" s="164" t="s">
        <v>49</v>
      </c>
      <c r="G269" s="164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  <c r="AG269" s="223">
        <v>47457.499999999993</v>
      </c>
    </row>
    <row r="270" spans="1:33" x14ac:dyDescent="0.2">
      <c r="A270" s="245">
        <v>150</v>
      </c>
      <c r="B270" s="1" t="str">
        <f t="shared" si="60"/>
        <v>2.66, Plant - Rigid  8R-36</v>
      </c>
      <c r="C270" s="168">
        <v>2.66</v>
      </c>
      <c r="D270" s="164" t="s">
        <v>459</v>
      </c>
      <c r="E270" s="164" t="s">
        <v>311</v>
      </c>
      <c r="F270" s="164" t="s">
        <v>199</v>
      </c>
      <c r="G270" s="164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  <c r="AG270" s="223">
        <v>32492.499999999996</v>
      </c>
    </row>
    <row r="271" spans="1:33" x14ac:dyDescent="0.2">
      <c r="A271" s="245">
        <v>151</v>
      </c>
      <c r="B271" s="1" t="str">
        <f t="shared" si="60"/>
        <v>2.67, Plant - Rigid 10R-30</v>
      </c>
      <c r="C271" s="168">
        <v>2.67</v>
      </c>
      <c r="D271" s="164" t="s">
        <v>459</v>
      </c>
      <c r="E271" s="164" t="s">
        <v>311</v>
      </c>
      <c r="F271" s="164" t="s">
        <v>24</v>
      </c>
      <c r="G271" s="164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  <c r="AG271" s="223">
        <v>38540</v>
      </c>
    </row>
    <row r="272" spans="1:33" x14ac:dyDescent="0.2">
      <c r="A272" s="245">
        <v>336</v>
      </c>
      <c r="B272" s="1" t="str">
        <f t="shared" si="60"/>
        <v>2.68, Plant - Rigid 12R-30</v>
      </c>
      <c r="C272" s="168">
        <v>2.68</v>
      </c>
      <c r="D272" s="164" t="s">
        <v>459</v>
      </c>
      <c r="E272" s="164" t="s">
        <v>311</v>
      </c>
      <c r="F272" s="164" t="s">
        <v>6</v>
      </c>
      <c r="G272" s="164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  <c r="AG272" s="223">
        <v>55452.499999999993</v>
      </c>
    </row>
    <row r="273" spans="1:33" x14ac:dyDescent="0.2">
      <c r="A273" s="245">
        <v>650</v>
      </c>
      <c r="B273" s="1" t="str">
        <f t="shared" si="60"/>
        <v>2.69, Plant - Twin Row 8R-36</v>
      </c>
      <c r="C273" s="168">
        <v>2.69</v>
      </c>
      <c r="D273" s="164" t="s">
        <v>459</v>
      </c>
      <c r="E273" s="164" t="s">
        <v>312</v>
      </c>
      <c r="F273" s="164" t="s">
        <v>205</v>
      </c>
      <c r="G273" s="164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  <c r="AG273" s="223">
        <v>112749.99999999999</v>
      </c>
    </row>
    <row r="274" spans="1:33" x14ac:dyDescent="0.2">
      <c r="A274" s="245">
        <v>605</v>
      </c>
      <c r="B274" s="1" t="str">
        <f t="shared" si="60"/>
        <v>2.7, Plant - Twin Row 12R-36</v>
      </c>
      <c r="C274" s="168">
        <v>2.7</v>
      </c>
      <c r="D274" s="164" t="s">
        <v>459</v>
      </c>
      <c r="E274" s="164" t="s">
        <v>312</v>
      </c>
      <c r="F274" s="164" t="s">
        <v>200</v>
      </c>
      <c r="G274" s="164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  <c r="AG274" s="223">
        <v>126074.99999999999</v>
      </c>
    </row>
    <row r="275" spans="1:33" x14ac:dyDescent="0.2">
      <c r="A275" s="245">
        <v>346</v>
      </c>
      <c r="B275" s="1" t="str">
        <f t="shared" si="60"/>
        <v>2.71, Plant &amp; Pre-Folding 12R-20</v>
      </c>
      <c r="C275" s="168">
        <v>2.71</v>
      </c>
      <c r="D275" s="164" t="s">
        <v>459</v>
      </c>
      <c r="E275" s="164" t="s">
        <v>313</v>
      </c>
      <c r="F275" s="164" t="s">
        <v>50</v>
      </c>
      <c r="G275" s="164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  <c r="AG275" s="223">
        <v>68572.5</v>
      </c>
    </row>
    <row r="276" spans="1:33" x14ac:dyDescent="0.2">
      <c r="A276" s="245">
        <v>343</v>
      </c>
      <c r="B276" s="1" t="str">
        <f t="shared" si="60"/>
        <v>2.72, Plant &amp; Pre-Folding  8R-36</v>
      </c>
      <c r="C276" s="168">
        <v>2.72</v>
      </c>
      <c r="D276" s="164" t="s">
        <v>459</v>
      </c>
      <c r="E276" s="164" t="s">
        <v>313</v>
      </c>
      <c r="F276" s="164" t="s">
        <v>199</v>
      </c>
      <c r="G276" s="164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  <c r="AG276" s="223">
        <v>47047.499999999993</v>
      </c>
    </row>
    <row r="277" spans="1:33" x14ac:dyDescent="0.2">
      <c r="A277" s="245">
        <v>350</v>
      </c>
      <c r="B277" s="1" t="str">
        <f t="shared" si="60"/>
        <v>2.73, Plant &amp; Pre-Folding 23R-15</v>
      </c>
      <c r="C277" s="168">
        <v>2.73</v>
      </c>
      <c r="D277" s="164" t="s">
        <v>459</v>
      </c>
      <c r="E277" s="164" t="s">
        <v>313</v>
      </c>
      <c r="F277" s="164" t="s">
        <v>62</v>
      </c>
      <c r="G277" s="164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  <c r="AG277" s="223">
        <v>126074.99999999999</v>
      </c>
    </row>
    <row r="278" spans="1:33" x14ac:dyDescent="0.2">
      <c r="A278" s="245">
        <v>348</v>
      </c>
      <c r="B278" s="1" t="str">
        <f t="shared" si="60"/>
        <v>2.74, Plant &amp; Pre-Folding 12R-30</v>
      </c>
      <c r="C278" s="168">
        <v>2.74</v>
      </c>
      <c r="D278" s="164" t="s">
        <v>459</v>
      </c>
      <c r="E278" s="164" t="s">
        <v>313</v>
      </c>
      <c r="F278" s="164" t="s">
        <v>6</v>
      </c>
      <c r="G278" s="164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  <c r="AG278" s="223">
        <v>70417.5</v>
      </c>
    </row>
    <row r="279" spans="1:33" x14ac:dyDescent="0.2">
      <c r="A279" s="245">
        <v>547</v>
      </c>
      <c r="B279" s="1" t="str">
        <f t="shared" si="60"/>
        <v>2.75, Plant &amp; Pre-Folding 24R-15</v>
      </c>
      <c r="C279" s="168">
        <v>2.75</v>
      </c>
      <c r="D279" s="164" t="s">
        <v>459</v>
      </c>
      <c r="E279" s="164" t="s">
        <v>313</v>
      </c>
      <c r="F279" s="164" t="s">
        <v>61</v>
      </c>
      <c r="G279" s="164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  <c r="AG279" s="223">
        <v>129149.99999999999</v>
      </c>
    </row>
    <row r="280" spans="1:33" x14ac:dyDescent="0.2">
      <c r="A280" s="245">
        <v>344</v>
      </c>
      <c r="B280" s="1" t="str">
        <f t="shared" si="60"/>
        <v>2.76, Plant &amp; Pre-Folding  8R-36 2x1</v>
      </c>
      <c r="C280" s="168">
        <v>2.76</v>
      </c>
      <c r="D280" s="164" t="s">
        <v>459</v>
      </c>
      <c r="E280" s="164" t="s">
        <v>313</v>
      </c>
      <c r="F280" s="164" t="s">
        <v>203</v>
      </c>
      <c r="G280" s="164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  <c r="AG280" s="223">
        <v>79540</v>
      </c>
    </row>
    <row r="281" spans="1:33" x14ac:dyDescent="0.2">
      <c r="A281" s="245">
        <v>262</v>
      </c>
      <c r="B281" s="1" t="str">
        <f t="shared" si="60"/>
        <v>2.77, Plant &amp; Pre-Folding 12R-36</v>
      </c>
      <c r="C281" s="168">
        <v>2.77</v>
      </c>
      <c r="D281" s="164" t="s">
        <v>459</v>
      </c>
      <c r="E281" s="164" t="s">
        <v>313</v>
      </c>
      <c r="F281" s="164" t="s">
        <v>200</v>
      </c>
      <c r="G281" s="164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  <c r="AG281" s="223">
        <v>79540</v>
      </c>
    </row>
    <row r="282" spans="1:33" x14ac:dyDescent="0.2">
      <c r="A282" s="245">
        <v>551</v>
      </c>
      <c r="B282" s="1" t="str">
        <f t="shared" si="60"/>
        <v>2.78, Plant &amp; Pre-Folding 31R-15</v>
      </c>
      <c r="C282" s="168">
        <v>2.78</v>
      </c>
      <c r="D282" s="164" t="s">
        <v>459</v>
      </c>
      <c r="E282" s="164" t="s">
        <v>313</v>
      </c>
      <c r="F282" s="164" t="s">
        <v>60</v>
      </c>
      <c r="G282" s="164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  <c r="AG282" s="223">
        <v>142475</v>
      </c>
    </row>
    <row r="283" spans="1:33" x14ac:dyDescent="0.2">
      <c r="A283" s="245">
        <v>349</v>
      </c>
      <c r="B283" s="1" t="str">
        <f t="shared" si="60"/>
        <v>2.79, Plant &amp; Pre-Folding 16R-30</v>
      </c>
      <c r="C283" s="168">
        <v>2.79</v>
      </c>
      <c r="D283" s="164" t="s">
        <v>459</v>
      </c>
      <c r="E283" s="164" t="s">
        <v>313</v>
      </c>
      <c r="F283" s="164" t="s">
        <v>59</v>
      </c>
      <c r="G283" s="164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  <c r="AG283" s="223">
        <v>98604.999999999985</v>
      </c>
    </row>
    <row r="284" spans="1:33" x14ac:dyDescent="0.2">
      <c r="A284" s="245">
        <v>351</v>
      </c>
      <c r="B284" s="1" t="str">
        <f t="shared" si="60"/>
        <v>2.8, Plant &amp; Pre-Folding 24R-20</v>
      </c>
      <c r="C284" s="168">
        <v>2.8</v>
      </c>
      <c r="D284" s="164" t="s">
        <v>459</v>
      </c>
      <c r="E284" s="164" t="s">
        <v>313</v>
      </c>
      <c r="F284" s="164" t="s">
        <v>58</v>
      </c>
      <c r="G284" s="164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  <c r="AG284" s="223">
        <v>140425</v>
      </c>
    </row>
    <row r="285" spans="1:33" x14ac:dyDescent="0.2">
      <c r="A285" s="245">
        <v>603</v>
      </c>
      <c r="B285" s="1" t="str">
        <f t="shared" si="60"/>
        <v>2.81, Plant &amp; Pre-Folding 32R-15</v>
      </c>
      <c r="C285" s="168">
        <v>2.81</v>
      </c>
      <c r="D285" s="164" t="s">
        <v>459</v>
      </c>
      <c r="E285" s="164" t="s">
        <v>313</v>
      </c>
      <c r="F285" s="164" t="s">
        <v>57</v>
      </c>
      <c r="G285" s="164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  <c r="AG285" s="223">
        <v>157850</v>
      </c>
    </row>
    <row r="286" spans="1:33" x14ac:dyDescent="0.2">
      <c r="A286" s="245">
        <v>352</v>
      </c>
      <c r="B286" s="1" t="str">
        <f t="shared" si="60"/>
        <v>2.82, Plant &amp; Pre-Folding 24R-30</v>
      </c>
      <c r="C286" s="168">
        <v>2.82</v>
      </c>
      <c r="D286" s="164" t="s">
        <v>459</v>
      </c>
      <c r="E286" s="164" t="s">
        <v>313</v>
      </c>
      <c r="F286" s="164" t="s">
        <v>56</v>
      </c>
      <c r="G286" s="164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  <c r="AG286" s="223">
        <v>186549.99999999997</v>
      </c>
    </row>
    <row r="287" spans="1:33" x14ac:dyDescent="0.2">
      <c r="A287" s="245">
        <v>642</v>
      </c>
      <c r="B287" s="1" t="str">
        <f t="shared" si="60"/>
        <v>2.83, Plant &amp; Pre-Folding 36R-20</v>
      </c>
      <c r="C287" s="168">
        <v>2.83</v>
      </c>
      <c r="D287" s="164" t="s">
        <v>459</v>
      </c>
      <c r="E287" s="164" t="s">
        <v>313</v>
      </c>
      <c r="F287" s="164" t="s">
        <v>55</v>
      </c>
      <c r="G287" s="164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  <c r="AG287" s="223">
        <v>199874.99999999997</v>
      </c>
    </row>
    <row r="288" spans="1:33" x14ac:dyDescent="0.2">
      <c r="A288" s="245">
        <v>341</v>
      </c>
      <c r="B288" s="1" t="str">
        <f t="shared" si="60"/>
        <v>2.84, Plant &amp; Pre-Rigid  4R-30</v>
      </c>
      <c r="C288" s="168">
        <v>2.84</v>
      </c>
      <c r="D288" s="164" t="s">
        <v>459</v>
      </c>
      <c r="E288" s="164" t="s">
        <v>314</v>
      </c>
      <c r="F288" s="164" t="s">
        <v>48</v>
      </c>
      <c r="G288" s="164" t="str">
        <f t="shared" si="61"/>
        <v>Plant &amp; Pre-Rigid  4R-30</v>
      </c>
      <c r="H288" s="30">
        <v>26400.149999999998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500.60815639970428</v>
      </c>
      <c r="W288" s="9">
        <f t="shared" si="65"/>
        <v>3.3373877093313618</v>
      </c>
      <c r="X288" s="8">
        <f t="shared" si="66"/>
        <v>1485.0084374999999</v>
      </c>
      <c r="Y288" s="7">
        <f t="shared" si="67"/>
        <v>9.9000562499999987</v>
      </c>
      <c r="Z288" s="2">
        <f t="shared" si="68"/>
        <v>11880.067499999999</v>
      </c>
      <c r="AA288" s="2">
        <f t="shared" si="69"/>
        <v>1815.0103124999998</v>
      </c>
      <c r="AB288" s="2">
        <f t="shared" si="70"/>
        <v>19140.108749999999</v>
      </c>
      <c r="AC288" s="6">
        <f t="shared" si="71"/>
        <v>1722.6097874999998</v>
      </c>
      <c r="AD288" s="6">
        <f t="shared" si="72"/>
        <v>459.36261000000002</v>
      </c>
      <c r="AE288" s="6">
        <f t="shared" si="73"/>
        <v>3996.9827099999998</v>
      </c>
      <c r="AF288" s="5">
        <f t="shared" si="74"/>
        <v>26.6465514</v>
      </c>
      <c r="AG288" s="223">
        <v>26137.499999999996</v>
      </c>
    </row>
    <row r="289" spans="1:33" x14ac:dyDescent="0.2">
      <c r="A289" s="245">
        <v>155</v>
      </c>
      <c r="B289" s="1" t="str">
        <f t="shared" si="60"/>
        <v>2.85, Plant &amp; Pre-Rigid  4R-36</v>
      </c>
      <c r="C289" s="168">
        <v>2.85</v>
      </c>
      <c r="D289" s="164" t="s">
        <v>459</v>
      </c>
      <c r="E289" s="164" t="s">
        <v>314</v>
      </c>
      <c r="F289" s="164" t="s">
        <v>201</v>
      </c>
      <c r="G289" s="164" t="str">
        <f t="shared" si="61"/>
        <v>Plant &amp; Pre-Rigid  4R-36</v>
      </c>
      <c r="H289" s="30">
        <v>28677.809999999998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543.79787969693371</v>
      </c>
      <c r="W289" s="9">
        <f t="shared" si="65"/>
        <v>3.6253191979795578</v>
      </c>
      <c r="X289" s="8">
        <f t="shared" si="66"/>
        <v>1613.1268124999999</v>
      </c>
      <c r="Y289" s="7">
        <f t="shared" si="67"/>
        <v>10.754178749999999</v>
      </c>
      <c r="Z289" s="2">
        <f t="shared" si="68"/>
        <v>12905.014499999999</v>
      </c>
      <c r="AA289" s="2">
        <f t="shared" si="69"/>
        <v>1971.5994374999998</v>
      </c>
      <c r="AB289" s="2">
        <f t="shared" si="70"/>
        <v>20791.412249999998</v>
      </c>
      <c r="AC289" s="6">
        <f t="shared" si="71"/>
        <v>1871.2271024999998</v>
      </c>
      <c r="AD289" s="6">
        <f t="shared" si="72"/>
        <v>498.99389399999995</v>
      </c>
      <c r="AE289" s="6">
        <f t="shared" si="73"/>
        <v>4341.8204339999993</v>
      </c>
      <c r="AF289" s="5">
        <f t="shared" si="74"/>
        <v>28.945469559999996</v>
      </c>
      <c r="AG289" s="223">
        <v>28392.499999999996</v>
      </c>
    </row>
    <row r="290" spans="1:33" x14ac:dyDescent="0.2">
      <c r="A290" s="245">
        <v>531</v>
      </c>
      <c r="B290" s="1" t="str">
        <f t="shared" si="60"/>
        <v>2.86, Plant &amp; Pre-Rigid 11R-15</v>
      </c>
      <c r="C290" s="168">
        <v>2.86</v>
      </c>
      <c r="D290" s="164" t="s">
        <v>459</v>
      </c>
      <c r="E290" s="164" t="s">
        <v>314</v>
      </c>
      <c r="F290" s="164" t="s">
        <v>54</v>
      </c>
      <c r="G290" s="164" t="str">
        <f t="shared" si="61"/>
        <v>Plant &amp; Pre-Rigid 11R-15</v>
      </c>
      <c r="H290" s="30">
        <v>48555.569999999992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920.72637392729928</v>
      </c>
      <c r="W290" s="9">
        <f t="shared" si="65"/>
        <v>6.1381758261819952</v>
      </c>
      <c r="X290" s="8">
        <f t="shared" si="66"/>
        <v>2731.2508124999995</v>
      </c>
      <c r="Y290" s="7">
        <f t="shared" si="67"/>
        <v>18.208338749999996</v>
      </c>
      <c r="Z290" s="2">
        <f t="shared" si="68"/>
        <v>21850.006499999996</v>
      </c>
      <c r="AA290" s="2">
        <f t="shared" si="69"/>
        <v>3338.1954374999996</v>
      </c>
      <c r="AB290" s="2">
        <f t="shared" si="70"/>
        <v>35202.788249999998</v>
      </c>
      <c r="AC290" s="6">
        <f t="shared" si="71"/>
        <v>3168.2509424999998</v>
      </c>
      <c r="AD290" s="6">
        <f t="shared" si="72"/>
        <v>844.86691799999994</v>
      </c>
      <c r="AE290" s="6">
        <f t="shared" si="73"/>
        <v>7351.3132979999991</v>
      </c>
      <c r="AF290" s="5">
        <f t="shared" si="74"/>
        <v>49.008755319999992</v>
      </c>
      <c r="AG290" s="223">
        <v>48072.499999999993</v>
      </c>
    </row>
    <row r="291" spans="1:33" x14ac:dyDescent="0.2">
      <c r="A291" s="245">
        <v>156</v>
      </c>
      <c r="B291" s="1" t="str">
        <f t="shared" si="60"/>
        <v>2.87, Plant &amp; Pre-Rigid  6R-30</v>
      </c>
      <c r="C291" s="168">
        <v>2.87</v>
      </c>
      <c r="D291" s="164" t="s">
        <v>459</v>
      </c>
      <c r="E291" s="164" t="s">
        <v>314</v>
      </c>
      <c r="F291" s="164" t="s">
        <v>53</v>
      </c>
      <c r="G291" s="164" t="str">
        <f t="shared" si="61"/>
        <v>Plant &amp; Pre-Rigid  6R-30</v>
      </c>
      <c r="H291" s="30">
        <v>36546.089999999997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692.9987419964533</v>
      </c>
      <c r="W291" s="9">
        <f t="shared" si="65"/>
        <v>4.619991613309689</v>
      </c>
      <c r="X291" s="8">
        <f t="shared" si="66"/>
        <v>2055.7175625</v>
      </c>
      <c r="Y291" s="7">
        <f t="shared" si="67"/>
        <v>13.704783750000001</v>
      </c>
      <c r="Z291" s="2">
        <f t="shared" si="68"/>
        <v>16445.7405</v>
      </c>
      <c r="AA291" s="2">
        <f t="shared" si="69"/>
        <v>2512.5436874999996</v>
      </c>
      <c r="AB291" s="2">
        <f t="shared" si="70"/>
        <v>26495.915249999998</v>
      </c>
      <c r="AC291" s="6">
        <f t="shared" si="71"/>
        <v>2384.6323724999997</v>
      </c>
      <c r="AD291" s="6">
        <f t="shared" si="72"/>
        <v>635.90196600000002</v>
      </c>
      <c r="AE291" s="6">
        <f t="shared" si="73"/>
        <v>5533.0780260000001</v>
      </c>
      <c r="AF291" s="5">
        <f t="shared" si="74"/>
        <v>36.887186839999998</v>
      </c>
      <c r="AG291" s="223">
        <v>36182.5</v>
      </c>
    </row>
    <row r="292" spans="1:33" x14ac:dyDescent="0.2">
      <c r="A292" s="245">
        <v>157</v>
      </c>
      <c r="B292" s="1" t="str">
        <f t="shared" si="60"/>
        <v>2.88, Plant &amp; Pre-Rigid  6R-36</v>
      </c>
      <c r="C292" s="168">
        <v>2.88</v>
      </c>
      <c r="D292" s="164" t="s">
        <v>459</v>
      </c>
      <c r="E292" s="164" t="s">
        <v>314</v>
      </c>
      <c r="F292" s="164" t="s">
        <v>202</v>
      </c>
      <c r="G292" s="164" t="str">
        <f t="shared" si="61"/>
        <v>Plant &amp; Pre-Rigid  6R-36</v>
      </c>
      <c r="H292" s="30">
        <v>32508.42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616.43514160591042</v>
      </c>
      <c r="W292" s="9">
        <f t="shared" si="65"/>
        <v>4.109567610706069</v>
      </c>
      <c r="X292" s="8">
        <f t="shared" si="66"/>
        <v>1828.5986249999999</v>
      </c>
      <c r="Y292" s="7">
        <f t="shared" si="67"/>
        <v>12.190657499999999</v>
      </c>
      <c r="Z292" s="2">
        <f t="shared" si="68"/>
        <v>14628.788999999999</v>
      </c>
      <c r="AA292" s="2">
        <f t="shared" si="69"/>
        <v>2234.9538750000002</v>
      </c>
      <c r="AB292" s="2">
        <f t="shared" si="70"/>
        <v>23568.604499999998</v>
      </c>
      <c r="AC292" s="6">
        <f t="shared" si="71"/>
        <v>2121.1744049999998</v>
      </c>
      <c r="AD292" s="6">
        <f t="shared" si="72"/>
        <v>565.64650799999993</v>
      </c>
      <c r="AE292" s="6">
        <f t="shared" si="73"/>
        <v>4921.7747879999997</v>
      </c>
      <c r="AF292" s="5">
        <f t="shared" si="74"/>
        <v>32.811831919999996</v>
      </c>
      <c r="AG292" s="223">
        <v>32184.999999999996</v>
      </c>
    </row>
    <row r="293" spans="1:33" x14ac:dyDescent="0.2">
      <c r="A293" s="245">
        <v>535</v>
      </c>
      <c r="B293" s="1" t="str">
        <f t="shared" si="60"/>
        <v>2.89, Plant &amp; Pre-Rigid 11R-20</v>
      </c>
      <c r="C293" s="168">
        <v>2.89</v>
      </c>
      <c r="D293" s="164" t="s">
        <v>459</v>
      </c>
      <c r="E293" s="164" t="s">
        <v>314</v>
      </c>
      <c r="F293" s="164" t="s">
        <v>52</v>
      </c>
      <c r="G293" s="164" t="str">
        <f t="shared" si="61"/>
        <v>Plant &amp; Pre-Rigid 11R-20</v>
      </c>
      <c r="H293" s="30">
        <v>44000.249999999993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834.34692733284044</v>
      </c>
      <c r="W293" s="9">
        <f t="shared" si="65"/>
        <v>5.5623128488856031</v>
      </c>
      <c r="X293" s="8">
        <f t="shared" si="66"/>
        <v>2475.0140624999999</v>
      </c>
      <c r="Y293" s="7">
        <f t="shared" si="67"/>
        <v>16.500093749999998</v>
      </c>
      <c r="Z293" s="2">
        <f t="shared" si="68"/>
        <v>19800.112499999999</v>
      </c>
      <c r="AA293" s="2">
        <f t="shared" si="69"/>
        <v>3025.0171874999992</v>
      </c>
      <c r="AB293" s="2">
        <f t="shared" si="70"/>
        <v>31900.181249999994</v>
      </c>
      <c r="AC293" s="6">
        <f t="shared" si="71"/>
        <v>2871.0163124999995</v>
      </c>
      <c r="AD293" s="6">
        <f t="shared" si="72"/>
        <v>765.60434999999984</v>
      </c>
      <c r="AE293" s="6">
        <f t="shared" si="73"/>
        <v>6661.6378499999983</v>
      </c>
      <c r="AF293" s="5">
        <f t="shared" si="74"/>
        <v>44.410918999999986</v>
      </c>
      <c r="AG293" s="223">
        <v>43562.499999999993</v>
      </c>
    </row>
    <row r="294" spans="1:33" x14ac:dyDescent="0.2">
      <c r="A294" s="245">
        <v>621</v>
      </c>
      <c r="B294" s="1" t="str">
        <f t="shared" si="60"/>
        <v>2.9, Plant &amp; Pre-Rigid 15R-15</v>
      </c>
      <c r="C294" s="168">
        <v>2.9</v>
      </c>
      <c r="D294" s="164" t="s">
        <v>459</v>
      </c>
      <c r="E294" s="164" t="s">
        <v>314</v>
      </c>
      <c r="F294" s="164" t="s">
        <v>51</v>
      </c>
      <c r="G294" s="164" t="str">
        <f t="shared" si="61"/>
        <v>Plant &amp; Pre-Rigid 15R-15</v>
      </c>
      <c r="H294" s="30">
        <v>59322.689999999995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1124.8959749687474</v>
      </c>
      <c r="W294" s="9">
        <f t="shared" si="65"/>
        <v>7.4993064997916496</v>
      </c>
      <c r="X294" s="8">
        <f t="shared" si="66"/>
        <v>3336.9013124999997</v>
      </c>
      <c r="Y294" s="7">
        <f t="shared" si="67"/>
        <v>22.246008749999998</v>
      </c>
      <c r="Z294" s="2">
        <f t="shared" si="68"/>
        <v>26695.210499999997</v>
      </c>
      <c r="AA294" s="2">
        <f t="shared" si="69"/>
        <v>4078.4349374999997</v>
      </c>
      <c r="AB294" s="2">
        <f t="shared" si="70"/>
        <v>43008.950249999994</v>
      </c>
      <c r="AC294" s="6">
        <f t="shared" si="71"/>
        <v>3870.8055224999994</v>
      </c>
      <c r="AD294" s="6">
        <f t="shared" si="72"/>
        <v>1032.214806</v>
      </c>
      <c r="AE294" s="6">
        <f t="shared" si="73"/>
        <v>8981.455265999999</v>
      </c>
      <c r="AF294" s="5">
        <f t="shared" si="74"/>
        <v>59.876368439999993</v>
      </c>
      <c r="AG294" s="223">
        <v>58732.499999999993</v>
      </c>
    </row>
    <row r="295" spans="1:33" x14ac:dyDescent="0.2">
      <c r="A295" s="245">
        <v>159</v>
      </c>
      <c r="B295" s="1" t="str">
        <f t="shared" si="60"/>
        <v>2.91, Plant &amp; Pre-Rigid  8R-30</v>
      </c>
      <c r="C295" s="168">
        <v>2.91</v>
      </c>
      <c r="D295" s="164" t="s">
        <v>459</v>
      </c>
      <c r="E295" s="164" t="s">
        <v>314</v>
      </c>
      <c r="F295" s="164" t="s">
        <v>25</v>
      </c>
      <c r="G295" s="164" t="str">
        <f t="shared" si="61"/>
        <v>Plant &amp; Pre-Rigid  8R-30</v>
      </c>
      <c r="H295" s="30">
        <v>41515.53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787.23086555404484</v>
      </c>
      <c r="W295" s="9">
        <f t="shared" si="65"/>
        <v>5.2482057703602987</v>
      </c>
      <c r="X295" s="8">
        <f t="shared" si="66"/>
        <v>2335.2485624999999</v>
      </c>
      <c r="Y295" s="7">
        <f t="shared" si="67"/>
        <v>15.568323749999999</v>
      </c>
      <c r="Z295" s="2">
        <f t="shared" si="68"/>
        <v>18681.988499999999</v>
      </c>
      <c r="AA295" s="2">
        <f t="shared" si="69"/>
        <v>2854.1926874999999</v>
      </c>
      <c r="AB295" s="2">
        <f t="shared" si="70"/>
        <v>30098.759249999999</v>
      </c>
      <c r="AC295" s="6">
        <f t="shared" si="71"/>
        <v>2708.8883324999997</v>
      </c>
      <c r="AD295" s="6">
        <f t="shared" si="72"/>
        <v>722.37022200000001</v>
      </c>
      <c r="AE295" s="6">
        <f t="shared" si="73"/>
        <v>6285.4512419999992</v>
      </c>
      <c r="AF295" s="5">
        <f t="shared" si="74"/>
        <v>41.903008279999995</v>
      </c>
      <c r="AG295" s="223">
        <v>41102.5</v>
      </c>
    </row>
    <row r="296" spans="1:33" x14ac:dyDescent="0.2">
      <c r="A296" s="245">
        <v>163</v>
      </c>
      <c r="B296" s="1" t="str">
        <f t="shared" si="60"/>
        <v>2.92, Plant &amp; Pre-Rigid 12R-20</v>
      </c>
      <c r="C296" s="168">
        <v>2.92</v>
      </c>
      <c r="D296" s="164" t="s">
        <v>459</v>
      </c>
      <c r="E296" s="164" t="s">
        <v>314</v>
      </c>
      <c r="F296" s="164" t="s">
        <v>50</v>
      </c>
      <c r="G296" s="164" t="str">
        <f t="shared" si="61"/>
        <v>Plant &amp; Pre-Rigid 12R-20</v>
      </c>
      <c r="H296" s="30">
        <v>50626.17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959.98975874296229</v>
      </c>
      <c r="W296" s="9">
        <f t="shared" si="65"/>
        <v>6.399931724953082</v>
      </c>
      <c r="X296" s="8">
        <f t="shared" si="66"/>
        <v>2847.7220625</v>
      </c>
      <c r="Y296" s="7">
        <f t="shared" si="67"/>
        <v>18.984813750000001</v>
      </c>
      <c r="Z296" s="2">
        <f t="shared" si="68"/>
        <v>22781.7765</v>
      </c>
      <c r="AA296" s="2">
        <f t="shared" si="69"/>
        <v>3480.5491874999998</v>
      </c>
      <c r="AB296" s="2">
        <f t="shared" si="70"/>
        <v>36703.973249999995</v>
      </c>
      <c r="AC296" s="6">
        <f t="shared" si="71"/>
        <v>3303.3575924999996</v>
      </c>
      <c r="AD296" s="6">
        <f t="shared" si="72"/>
        <v>880.89535799999987</v>
      </c>
      <c r="AE296" s="6">
        <f t="shared" si="73"/>
        <v>7664.8021379999991</v>
      </c>
      <c r="AF296" s="5">
        <f t="shared" si="74"/>
        <v>51.098680919999993</v>
      </c>
      <c r="AG296" s="223">
        <v>50122.499999999993</v>
      </c>
    </row>
    <row r="297" spans="1:33" x14ac:dyDescent="0.2">
      <c r="A297" s="245">
        <v>644</v>
      </c>
      <c r="B297" s="1" t="str">
        <f t="shared" si="60"/>
        <v>2.93, Plant &amp; Pre-Rigid 13R-18/20</v>
      </c>
      <c r="C297" s="168">
        <v>2.93</v>
      </c>
      <c r="D297" s="164" t="s">
        <v>459</v>
      </c>
      <c r="E297" s="164" t="s">
        <v>314</v>
      </c>
      <c r="F297" s="164" t="s">
        <v>49</v>
      </c>
      <c r="G297" s="164" t="str">
        <f t="shared" si="61"/>
        <v>Plant &amp; Pre-Rigid 13R-18/20</v>
      </c>
      <c r="H297" s="30">
        <v>54042.659999999996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1024.7743436888065</v>
      </c>
      <c r="W297" s="9">
        <f t="shared" si="65"/>
        <v>6.831828957925377</v>
      </c>
      <c r="X297" s="8">
        <f t="shared" si="66"/>
        <v>3039.8996249999996</v>
      </c>
      <c r="Y297" s="7">
        <f t="shared" si="67"/>
        <v>20.265997499999997</v>
      </c>
      <c r="Z297" s="2">
        <f t="shared" si="68"/>
        <v>24319.196999999996</v>
      </c>
      <c r="AA297" s="2">
        <f t="shared" si="69"/>
        <v>3715.432875</v>
      </c>
      <c r="AB297" s="2">
        <f t="shared" si="70"/>
        <v>39180.928499999995</v>
      </c>
      <c r="AC297" s="6">
        <f t="shared" si="71"/>
        <v>3526.2835649999993</v>
      </c>
      <c r="AD297" s="6">
        <f t="shared" si="72"/>
        <v>940.34228399999984</v>
      </c>
      <c r="AE297" s="6">
        <f t="shared" si="73"/>
        <v>8182.0587239999986</v>
      </c>
      <c r="AF297" s="5">
        <f t="shared" si="74"/>
        <v>54.547058159999992</v>
      </c>
      <c r="AG297" s="223">
        <v>53504.999999999993</v>
      </c>
    </row>
    <row r="298" spans="1:33" x14ac:dyDescent="0.2">
      <c r="A298" s="245">
        <v>160</v>
      </c>
      <c r="B298" s="1" t="str">
        <f t="shared" si="60"/>
        <v>2.94, Plant &amp; Pre-Rigid  8R-36</v>
      </c>
      <c r="C298" s="168">
        <v>2.94</v>
      </c>
      <c r="D298" s="164" t="s">
        <v>459</v>
      </c>
      <c r="E298" s="164" t="s">
        <v>314</v>
      </c>
      <c r="F298" s="164" t="s">
        <v>199</v>
      </c>
      <c r="G298" s="164" t="str">
        <f t="shared" si="61"/>
        <v>Plant &amp; Pre-Rigid  8R-36</v>
      </c>
      <c r="H298" s="30">
        <v>38927.279999999999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738.15163453446598</v>
      </c>
      <c r="W298" s="9">
        <f t="shared" si="65"/>
        <v>4.9210108968964397</v>
      </c>
      <c r="X298" s="8">
        <f t="shared" si="66"/>
        <v>2189.6594999999998</v>
      </c>
      <c r="Y298" s="7">
        <f t="shared" si="67"/>
        <v>14.597729999999999</v>
      </c>
      <c r="Z298" s="2">
        <f t="shared" si="68"/>
        <v>17517.275999999998</v>
      </c>
      <c r="AA298" s="2">
        <f t="shared" si="69"/>
        <v>2676.2505000000001</v>
      </c>
      <c r="AB298" s="2">
        <f t="shared" si="70"/>
        <v>28222.277999999998</v>
      </c>
      <c r="AC298" s="6">
        <f t="shared" si="71"/>
        <v>2540.0050199999996</v>
      </c>
      <c r="AD298" s="6">
        <f t="shared" si="72"/>
        <v>677.33467199999996</v>
      </c>
      <c r="AE298" s="6">
        <f t="shared" si="73"/>
        <v>5893.5901919999997</v>
      </c>
      <c r="AF298" s="5">
        <f t="shared" si="74"/>
        <v>39.290601279999997</v>
      </c>
      <c r="AG298" s="223">
        <v>38540</v>
      </c>
    </row>
    <row r="299" spans="1:33" x14ac:dyDescent="0.2">
      <c r="A299" s="245">
        <v>161</v>
      </c>
      <c r="B299" s="1" t="str">
        <f t="shared" si="60"/>
        <v>2.95, Plant &amp; Pre-Rigid 10R-30</v>
      </c>
      <c r="C299" s="168">
        <v>2.95</v>
      </c>
      <c r="D299" s="164" t="s">
        <v>459</v>
      </c>
      <c r="E299" s="164" t="s">
        <v>314</v>
      </c>
      <c r="F299" s="164" t="s">
        <v>24</v>
      </c>
      <c r="G299" s="164" t="str">
        <f t="shared" si="61"/>
        <v>Plant &amp; Pre-Rigid 10R-30</v>
      </c>
      <c r="H299" s="30">
        <v>45139.079999999994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855.94178898145515</v>
      </c>
      <c r="W299" s="9">
        <f t="shared" si="65"/>
        <v>5.7062785932097011</v>
      </c>
      <c r="X299" s="8">
        <f t="shared" si="66"/>
        <v>2539.0732499999999</v>
      </c>
      <c r="Y299" s="7">
        <f t="shared" si="67"/>
        <v>16.927154999999999</v>
      </c>
      <c r="Z299" s="2">
        <f t="shared" si="68"/>
        <v>20312.585999999999</v>
      </c>
      <c r="AA299" s="2">
        <f t="shared" si="69"/>
        <v>3103.3117499999994</v>
      </c>
      <c r="AB299" s="2">
        <f t="shared" si="70"/>
        <v>32725.832999999999</v>
      </c>
      <c r="AC299" s="6">
        <f t="shared" si="71"/>
        <v>2945.3249699999997</v>
      </c>
      <c r="AD299" s="6">
        <f t="shared" si="72"/>
        <v>785.41999199999998</v>
      </c>
      <c r="AE299" s="6">
        <f t="shared" si="73"/>
        <v>6834.0567119999987</v>
      </c>
      <c r="AF299" s="5">
        <f t="shared" si="74"/>
        <v>45.560378079999992</v>
      </c>
      <c r="AG299" s="223">
        <v>44689.999999999993</v>
      </c>
    </row>
    <row r="300" spans="1:33" x14ac:dyDescent="0.2">
      <c r="A300" s="245">
        <v>347</v>
      </c>
      <c r="B300" s="1" t="str">
        <f t="shared" si="60"/>
        <v>2.96, Plant &amp; Pre-Rigid 12R-30</v>
      </c>
      <c r="C300" s="168">
        <v>2.96</v>
      </c>
      <c r="D300" s="164" t="s">
        <v>459</v>
      </c>
      <c r="E300" s="164" t="s">
        <v>314</v>
      </c>
      <c r="F300" s="164" t="s">
        <v>6</v>
      </c>
      <c r="G300" s="164" t="str">
        <f t="shared" si="61"/>
        <v>Plant &amp; Pre-Rigid 12R-30</v>
      </c>
      <c r="H300" s="30">
        <v>63567.419999999991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1205.3859138408566</v>
      </c>
      <c r="W300" s="9">
        <f t="shared" si="65"/>
        <v>8.0359060922723771</v>
      </c>
      <c r="X300" s="8">
        <f t="shared" si="66"/>
        <v>3575.6673749999991</v>
      </c>
      <c r="Y300" s="7">
        <f t="shared" si="67"/>
        <v>23.837782499999992</v>
      </c>
      <c r="Z300" s="2">
        <f t="shared" si="68"/>
        <v>28605.338999999993</v>
      </c>
      <c r="AA300" s="2">
        <f t="shared" si="69"/>
        <v>4370.2601249999998</v>
      </c>
      <c r="AB300" s="2">
        <f t="shared" si="70"/>
        <v>46086.379499999995</v>
      </c>
      <c r="AC300" s="6">
        <f t="shared" si="71"/>
        <v>4147.7741549999992</v>
      </c>
      <c r="AD300" s="6">
        <f t="shared" si="72"/>
        <v>1106.0731079999998</v>
      </c>
      <c r="AE300" s="6">
        <f t="shared" si="73"/>
        <v>9624.1073880000004</v>
      </c>
      <c r="AF300" s="5">
        <f t="shared" si="74"/>
        <v>64.160715920000001</v>
      </c>
      <c r="AG300" s="223">
        <v>62934.999999999993</v>
      </c>
    </row>
    <row r="301" spans="1:33" x14ac:dyDescent="0.2">
      <c r="A301" s="245">
        <v>645</v>
      </c>
      <c r="B301" s="1" t="str">
        <f t="shared" si="60"/>
        <v>2.97, Plant &amp; Pre-Twin Row 8R-36</v>
      </c>
      <c r="C301" s="168">
        <v>2.97</v>
      </c>
      <c r="D301" s="164" t="s">
        <v>459</v>
      </c>
      <c r="E301" s="164" t="s">
        <v>315</v>
      </c>
      <c r="F301" s="164" t="s">
        <v>205</v>
      </c>
      <c r="G301" s="164" t="str">
        <f t="shared" si="61"/>
        <v>Plant &amp; Pre-Twin Row 8R-36</v>
      </c>
      <c r="H301" s="30">
        <v>120094.79999999999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2277.2763193084584</v>
      </c>
      <c r="W301" s="9">
        <f t="shared" si="65"/>
        <v>15.181842128723055</v>
      </c>
      <c r="X301" s="8">
        <f t="shared" si="66"/>
        <v>6755.3324999999986</v>
      </c>
      <c r="Y301" s="7">
        <f t="shared" si="67"/>
        <v>45.035549999999994</v>
      </c>
      <c r="Z301" s="2">
        <f t="shared" si="68"/>
        <v>54042.659999999989</v>
      </c>
      <c r="AA301" s="2">
        <f t="shared" si="69"/>
        <v>8256.5174999999999</v>
      </c>
      <c r="AB301" s="2">
        <f t="shared" si="70"/>
        <v>87068.729999999981</v>
      </c>
      <c r="AC301" s="6">
        <f t="shared" si="71"/>
        <v>7836.1856999999982</v>
      </c>
      <c r="AD301" s="6">
        <f t="shared" si="72"/>
        <v>2089.6495199999995</v>
      </c>
      <c r="AE301" s="6">
        <f t="shared" si="73"/>
        <v>18182.352719999999</v>
      </c>
      <c r="AF301" s="5">
        <f t="shared" si="74"/>
        <v>121.21568479999999</v>
      </c>
      <c r="AG301" s="223">
        <v>118899.99999999999</v>
      </c>
    </row>
    <row r="302" spans="1:33" x14ac:dyDescent="0.2">
      <c r="A302" s="245">
        <v>604</v>
      </c>
      <c r="B302" s="1" t="str">
        <f t="shared" si="60"/>
        <v>2.98, Plant &amp; Pre-Twin Row 12R-36</v>
      </c>
      <c r="C302" s="168">
        <v>2.98</v>
      </c>
      <c r="D302" s="164" t="s">
        <v>459</v>
      </c>
      <c r="E302" s="164" t="s">
        <v>315</v>
      </c>
      <c r="F302" s="164" t="s">
        <v>200</v>
      </c>
      <c r="G302" s="164" t="str">
        <f t="shared" si="61"/>
        <v>Plant &amp; Pre-Twin Row 12R-36</v>
      </c>
      <c r="H302" s="30">
        <v>137694.9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2611.0150902415949</v>
      </c>
      <c r="W302" s="9">
        <f t="shared" si="65"/>
        <v>17.406767268277299</v>
      </c>
      <c r="X302" s="8">
        <f t="shared" si="66"/>
        <v>7745.3381250000002</v>
      </c>
      <c r="Y302" s="7">
        <f t="shared" si="67"/>
        <v>51.6355875</v>
      </c>
      <c r="Z302" s="2">
        <f t="shared" si="68"/>
        <v>61962.705000000002</v>
      </c>
      <c r="AA302" s="2">
        <f t="shared" si="69"/>
        <v>9466.5243749999991</v>
      </c>
      <c r="AB302" s="2">
        <f t="shared" si="70"/>
        <v>99828.802499999991</v>
      </c>
      <c r="AC302" s="6">
        <f t="shared" si="71"/>
        <v>8984.5922249999985</v>
      </c>
      <c r="AD302" s="6">
        <f t="shared" si="72"/>
        <v>2395.8912599999999</v>
      </c>
      <c r="AE302" s="6">
        <f t="shared" si="73"/>
        <v>20847.007859999998</v>
      </c>
      <c r="AF302" s="5">
        <f t="shared" si="74"/>
        <v>138.98005239999998</v>
      </c>
      <c r="AG302" s="223">
        <v>136325</v>
      </c>
    </row>
    <row r="303" spans="1:33" x14ac:dyDescent="0.2">
      <c r="A303" s="245"/>
      <c r="B303" s="1" t="str">
        <f t="shared" si="60"/>
        <v>2.99, Plow 4 Bottom Switch</v>
      </c>
      <c r="C303" s="168">
        <v>2.99</v>
      </c>
      <c r="D303" s="164" t="s">
        <v>459</v>
      </c>
      <c r="E303" s="164" t="s">
        <v>444</v>
      </c>
      <c r="F303" s="164" t="s">
        <v>445</v>
      </c>
      <c r="G303" s="164" t="str">
        <f t="shared" si="61"/>
        <v>Plow 4 Bottom Switch</v>
      </c>
      <c r="H303" s="30">
        <v>14804.789999999999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280.73320143199101</v>
      </c>
      <c r="W303" s="9">
        <f t="shared" si="65"/>
        <v>1.8715546762132733</v>
      </c>
      <c r="X303" s="8">
        <f t="shared" si="66"/>
        <v>740.23950000000002</v>
      </c>
      <c r="Y303" s="7">
        <f t="shared" si="67"/>
        <v>4.9349300000000005</v>
      </c>
      <c r="Z303" s="2">
        <f t="shared" si="68"/>
        <v>4441.4369999999999</v>
      </c>
      <c r="AA303" s="2">
        <f t="shared" si="69"/>
        <v>1295.4191249999999</v>
      </c>
      <c r="AB303" s="2">
        <f t="shared" si="70"/>
        <v>9623.1134999999995</v>
      </c>
      <c r="AC303" s="6">
        <f t="shared" si="71"/>
        <v>866.08021499999995</v>
      </c>
      <c r="AD303" s="6">
        <f t="shared" si="72"/>
        <v>230.954724</v>
      </c>
      <c r="AE303" s="6">
        <f t="shared" si="73"/>
        <v>2392.454064</v>
      </c>
      <c r="AF303" s="5">
        <f t="shared" si="74"/>
        <v>15.949693760000001</v>
      </c>
      <c r="AG303" s="223">
        <v>14657.499999999998</v>
      </c>
    </row>
    <row r="304" spans="1:33" x14ac:dyDescent="0.2">
      <c r="A304" s="245"/>
      <c r="B304" s="1" t="str">
        <f t="shared" si="60"/>
        <v>3, Plow 5 Bottom Switch</v>
      </c>
      <c r="C304" s="168">
        <v>3</v>
      </c>
      <c r="D304" s="164" t="s">
        <v>459</v>
      </c>
      <c r="E304" s="164" t="s">
        <v>444</v>
      </c>
      <c r="F304" s="164" t="s">
        <v>446</v>
      </c>
      <c r="G304" s="164" t="str">
        <f t="shared" si="61"/>
        <v>Plow 5 Bottom Switch</v>
      </c>
      <c r="H304" s="30">
        <v>16875.39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319.99658624765414</v>
      </c>
      <c r="W304" s="9">
        <f t="shared" si="65"/>
        <v>2.1333105749843608</v>
      </c>
      <c r="X304" s="8">
        <f t="shared" si="66"/>
        <v>843.76949999999999</v>
      </c>
      <c r="Y304" s="7">
        <f t="shared" si="67"/>
        <v>5.6251299999999995</v>
      </c>
      <c r="Z304" s="2">
        <f t="shared" si="68"/>
        <v>5062.6169999999993</v>
      </c>
      <c r="AA304" s="2">
        <f t="shared" si="69"/>
        <v>1476.5966250000001</v>
      </c>
      <c r="AB304" s="2">
        <f t="shared" si="70"/>
        <v>10969.003499999999</v>
      </c>
      <c r="AC304" s="6">
        <f t="shared" si="71"/>
        <v>987.21031499999981</v>
      </c>
      <c r="AD304" s="6">
        <f t="shared" si="72"/>
        <v>263.25608399999999</v>
      </c>
      <c r="AE304" s="6">
        <f t="shared" si="73"/>
        <v>2727.063024</v>
      </c>
      <c r="AF304" s="5">
        <f t="shared" si="74"/>
        <v>18.180420160000001</v>
      </c>
      <c r="AG304" s="223">
        <v>16707.5</v>
      </c>
    </row>
    <row r="305" spans="1:33" x14ac:dyDescent="0.2">
      <c r="A305" s="245">
        <v>29</v>
      </c>
      <c r="B305" s="1" t="str">
        <f t="shared" si="60"/>
        <v>3.01, Roller/Cultipacker 12'</v>
      </c>
      <c r="C305" s="168">
        <v>3.01</v>
      </c>
      <c r="D305" s="164" t="s">
        <v>459</v>
      </c>
      <c r="E305" s="164" t="s">
        <v>316</v>
      </c>
      <c r="F305" s="164" t="s">
        <v>11</v>
      </c>
      <c r="G305" s="164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  <c r="AG305" s="223">
        <v>4233.25</v>
      </c>
    </row>
    <row r="306" spans="1:33" x14ac:dyDescent="0.2">
      <c r="A306" s="245">
        <v>30</v>
      </c>
      <c r="B306" s="1" t="str">
        <f t="shared" si="60"/>
        <v>3.02, Roller/Cultipacker 20'</v>
      </c>
      <c r="C306" s="168">
        <v>3.02</v>
      </c>
      <c r="D306" s="164" t="s">
        <v>459</v>
      </c>
      <c r="E306" s="164" t="s">
        <v>316</v>
      </c>
      <c r="F306" s="164" t="s">
        <v>8</v>
      </c>
      <c r="G306" s="164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  <c r="AG306" s="223">
        <v>16605</v>
      </c>
    </row>
    <row r="307" spans="1:33" x14ac:dyDescent="0.2">
      <c r="A307" s="245">
        <v>172</v>
      </c>
      <c r="B307" s="1" t="str">
        <f t="shared" si="60"/>
        <v>3.03, Roller/Cultipacker 30'</v>
      </c>
      <c r="C307" s="168">
        <v>3.03</v>
      </c>
      <c r="D307" s="164" t="s">
        <v>459</v>
      </c>
      <c r="E307" s="164" t="s">
        <v>316</v>
      </c>
      <c r="F307" s="164" t="s">
        <v>44</v>
      </c>
      <c r="G307" s="164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  <c r="AG307" s="223">
        <v>18552.5</v>
      </c>
    </row>
    <row r="308" spans="1:33" x14ac:dyDescent="0.2">
      <c r="A308" s="245">
        <v>717</v>
      </c>
      <c r="B308" s="1" t="str">
        <f t="shared" si="60"/>
        <v>3.04, Roller/Cultipacker 38'</v>
      </c>
      <c r="C308" s="168">
        <v>3.04</v>
      </c>
      <c r="D308" s="164" t="s">
        <v>459</v>
      </c>
      <c r="E308" s="164" t="s">
        <v>316</v>
      </c>
      <c r="F308" s="164" t="s">
        <v>41</v>
      </c>
      <c r="G308" s="164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  <c r="AG308" s="223">
        <v>20090</v>
      </c>
    </row>
    <row r="309" spans="1:33" x14ac:dyDescent="0.2">
      <c r="A309" s="245">
        <v>718</v>
      </c>
      <c r="B309" s="1" t="str">
        <f t="shared" si="60"/>
        <v>3.05, Roller/Stubble 20'</v>
      </c>
      <c r="C309" s="168">
        <v>3.05</v>
      </c>
      <c r="D309" s="164" t="s">
        <v>459</v>
      </c>
      <c r="E309" s="164" t="s">
        <v>317</v>
      </c>
      <c r="F309" s="164" t="s">
        <v>8</v>
      </c>
      <c r="G309" s="164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  <c r="AG309" s="223">
        <v>13529.999999999998</v>
      </c>
    </row>
    <row r="310" spans="1:33" x14ac:dyDescent="0.2">
      <c r="A310" s="245">
        <v>719</v>
      </c>
      <c r="B310" s="1" t="str">
        <f t="shared" si="60"/>
        <v>3.06, Roller/Stubble 32'</v>
      </c>
      <c r="C310" s="168">
        <v>3.06</v>
      </c>
      <c r="D310" s="164" t="s">
        <v>459</v>
      </c>
      <c r="E310" s="164" t="s">
        <v>317</v>
      </c>
      <c r="F310" s="164" t="s">
        <v>43</v>
      </c>
      <c r="G310" s="164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  <c r="AG310" s="223">
        <v>22959.999999999996</v>
      </c>
    </row>
    <row r="311" spans="1:33" x14ac:dyDescent="0.2">
      <c r="A311" s="245">
        <v>485</v>
      </c>
      <c r="B311" s="1" t="str">
        <f t="shared" si="60"/>
        <v>3.07, Rotary Cutter  7'</v>
      </c>
      <c r="C311" s="168">
        <v>3.07</v>
      </c>
      <c r="D311" s="164" t="s">
        <v>459</v>
      </c>
      <c r="E311" s="164" t="s">
        <v>318</v>
      </c>
      <c r="F311" s="164" t="s">
        <v>42</v>
      </c>
      <c r="G311" s="164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  <c r="AG311" s="223">
        <v>4489.5</v>
      </c>
    </row>
    <row r="312" spans="1:33" x14ac:dyDescent="0.2">
      <c r="A312" s="245">
        <v>199</v>
      </c>
      <c r="B312" s="1" t="str">
        <f t="shared" si="60"/>
        <v>3.08, Rotary Cutter 12'</v>
      </c>
      <c r="C312" s="168">
        <v>3.08</v>
      </c>
      <c r="D312" s="164" t="s">
        <v>459</v>
      </c>
      <c r="E312" s="164" t="s">
        <v>318</v>
      </c>
      <c r="F312" s="164" t="s">
        <v>11</v>
      </c>
      <c r="G312" s="164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  <c r="AG312" s="223">
        <v>12914.999999999998</v>
      </c>
    </row>
    <row r="313" spans="1:33" x14ac:dyDescent="0.2">
      <c r="A313" s="245">
        <v>484</v>
      </c>
      <c r="B313" s="1" t="str">
        <f t="shared" si="60"/>
        <v>3.09, Rotary Cutter-Flex 15'</v>
      </c>
      <c r="C313" s="168">
        <v>3.09</v>
      </c>
      <c r="D313" s="164" t="s">
        <v>459</v>
      </c>
      <c r="E313" s="164" t="s">
        <v>319</v>
      </c>
      <c r="F313" s="164" t="s">
        <v>10</v>
      </c>
      <c r="G313" s="164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  <c r="AG313" s="223">
        <v>19987.5</v>
      </c>
    </row>
    <row r="314" spans="1:33" x14ac:dyDescent="0.2">
      <c r="A314" s="245">
        <v>562</v>
      </c>
      <c r="B314" s="1" t="str">
        <f t="shared" si="60"/>
        <v>3.1, Rotary Cutter-Flex 20'</v>
      </c>
      <c r="C314" s="168">
        <v>3.1</v>
      </c>
      <c r="D314" s="164" t="s">
        <v>459</v>
      </c>
      <c r="E314" s="164" t="s">
        <v>319</v>
      </c>
      <c r="F314" s="164" t="s">
        <v>8</v>
      </c>
      <c r="G314" s="164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  <c r="AG314" s="223">
        <v>27674.999999999996</v>
      </c>
    </row>
    <row r="315" spans="1:33" x14ac:dyDescent="0.2">
      <c r="A315" s="245">
        <v>626</v>
      </c>
      <c r="B315" s="1" t="str">
        <f t="shared" si="60"/>
        <v>3.11, Row Cond &amp; Inc-Fold. 26'</v>
      </c>
      <c r="C315" s="168">
        <v>3.11</v>
      </c>
      <c r="D315" s="164" t="s">
        <v>459</v>
      </c>
      <c r="E315" s="164" t="s">
        <v>320</v>
      </c>
      <c r="F315" s="164" t="s">
        <v>38</v>
      </c>
      <c r="G315" s="164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  <c r="AG315" s="223">
        <v>25317.499999999996</v>
      </c>
    </row>
    <row r="316" spans="1:33" x14ac:dyDescent="0.2">
      <c r="A316" s="245">
        <v>176</v>
      </c>
      <c r="B316" s="1" t="str">
        <f t="shared" si="60"/>
        <v>3.12, Row Cond &amp; Inc-Fold. 38'</v>
      </c>
      <c r="C316" s="168">
        <v>3.12</v>
      </c>
      <c r="D316" s="164" t="s">
        <v>459</v>
      </c>
      <c r="E316" s="164" t="s">
        <v>320</v>
      </c>
      <c r="F316" s="164" t="s">
        <v>41</v>
      </c>
      <c r="G316" s="164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  <c r="AG316" s="223">
        <v>36182.5</v>
      </c>
    </row>
    <row r="317" spans="1:33" x14ac:dyDescent="0.2">
      <c r="A317" s="245">
        <v>173</v>
      </c>
      <c r="B317" s="1" t="str">
        <f t="shared" si="60"/>
        <v>3.13, Row Cond &amp; Inc-Rigid 13'</v>
      </c>
      <c r="C317" s="168">
        <v>3.13</v>
      </c>
      <c r="D317" s="164" t="s">
        <v>459</v>
      </c>
      <c r="E317" s="164" t="s">
        <v>321</v>
      </c>
      <c r="F317" s="164" t="s">
        <v>40</v>
      </c>
      <c r="G317" s="164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  <c r="AG317" s="223">
        <v>13632.499999999998</v>
      </c>
    </row>
    <row r="318" spans="1:33" x14ac:dyDescent="0.2">
      <c r="A318" s="245">
        <v>174</v>
      </c>
      <c r="B318" s="1" t="str">
        <f t="shared" si="60"/>
        <v>3.14, Row Cond &amp; Inc-Rigid 21'</v>
      </c>
      <c r="C318" s="168">
        <v>3.14</v>
      </c>
      <c r="D318" s="164" t="s">
        <v>459</v>
      </c>
      <c r="E318" s="164" t="s">
        <v>321</v>
      </c>
      <c r="F318" s="164" t="s">
        <v>39</v>
      </c>
      <c r="G318" s="164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  <c r="AG318" s="223">
        <v>20192.5</v>
      </c>
    </row>
    <row r="319" spans="1:33" x14ac:dyDescent="0.2">
      <c r="A319" s="245">
        <v>175</v>
      </c>
      <c r="B319" s="1" t="str">
        <f t="shared" si="60"/>
        <v>3.15, Row Cond &amp; Inc-Rigid 26'</v>
      </c>
      <c r="C319" s="168">
        <v>3.15</v>
      </c>
      <c r="D319" s="164" t="s">
        <v>459</v>
      </c>
      <c r="E319" s="164" t="s">
        <v>321</v>
      </c>
      <c r="F319" s="164" t="s">
        <v>38</v>
      </c>
      <c r="G319" s="164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  <c r="AG319" s="223">
        <v>19167.5</v>
      </c>
    </row>
    <row r="320" spans="1:33" x14ac:dyDescent="0.2">
      <c r="A320" s="245">
        <v>654</v>
      </c>
      <c r="B320" s="1" t="str">
        <f t="shared" si="60"/>
        <v>3.16, Row Cond Folding 26'</v>
      </c>
      <c r="C320" s="168">
        <v>3.16</v>
      </c>
      <c r="D320" s="164" t="s">
        <v>459</v>
      </c>
      <c r="E320" s="164" t="s">
        <v>322</v>
      </c>
      <c r="F320" s="164" t="s">
        <v>38</v>
      </c>
      <c r="G320" s="164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  <c r="AG320" s="223">
        <v>19270</v>
      </c>
    </row>
    <row r="321" spans="1:33" x14ac:dyDescent="0.2">
      <c r="A321" s="245">
        <v>180</v>
      </c>
      <c r="B321" s="1" t="str">
        <f t="shared" si="60"/>
        <v>3.17, Row Cond Folding 38'</v>
      </c>
      <c r="C321" s="168">
        <v>3.17</v>
      </c>
      <c r="D321" s="164" t="s">
        <v>459</v>
      </c>
      <c r="E321" s="164" t="s">
        <v>322</v>
      </c>
      <c r="F321" s="164" t="s">
        <v>41</v>
      </c>
      <c r="G321" s="164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  <c r="AG321" s="223">
        <v>28699.999999999996</v>
      </c>
    </row>
    <row r="322" spans="1:33" x14ac:dyDescent="0.2">
      <c r="A322" s="245">
        <v>177</v>
      </c>
      <c r="B322" s="1" t="str">
        <f t="shared" si="60"/>
        <v>3.18, Row Cond Rigid 13'</v>
      </c>
      <c r="C322" s="168">
        <v>3.18</v>
      </c>
      <c r="D322" s="164" t="s">
        <v>459</v>
      </c>
      <c r="E322" s="164" t="s">
        <v>323</v>
      </c>
      <c r="F322" s="164" t="s">
        <v>40</v>
      </c>
      <c r="G322" s="164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  <c r="AG322" s="223">
        <v>7482.4999999999991</v>
      </c>
    </row>
    <row r="323" spans="1:33" x14ac:dyDescent="0.2">
      <c r="A323" s="245">
        <v>178</v>
      </c>
      <c r="B323" s="1" t="str">
        <f t="shared" si="60"/>
        <v>3.19, Row Cond Rigid 21'</v>
      </c>
      <c r="C323" s="168">
        <v>3.19</v>
      </c>
      <c r="D323" s="164" t="s">
        <v>459</v>
      </c>
      <c r="E323" s="164" t="s">
        <v>323</v>
      </c>
      <c r="F323" s="164" t="s">
        <v>39</v>
      </c>
      <c r="G323" s="164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  <c r="AG323" s="223">
        <v>12299.999999999998</v>
      </c>
    </row>
    <row r="324" spans="1:33" x14ac:dyDescent="0.2">
      <c r="A324" s="245">
        <v>179</v>
      </c>
      <c r="B324" s="1" t="str">
        <f t="shared" si="60"/>
        <v>3.2, Row Cond Rigid 26'</v>
      </c>
      <c r="C324" s="168">
        <v>3.2</v>
      </c>
      <c r="D324" s="164" t="s">
        <v>459</v>
      </c>
      <c r="E324" s="164" t="s">
        <v>323</v>
      </c>
      <c r="F324" s="164" t="s">
        <v>38</v>
      </c>
      <c r="G324" s="164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  <c r="AG324" s="223">
        <v>13119.999999999998</v>
      </c>
    </row>
    <row r="325" spans="1:33" x14ac:dyDescent="0.2">
      <c r="A325" s="245">
        <v>615</v>
      </c>
      <c r="B325" s="1" t="str">
        <f t="shared" ref="B325:B383" si="75">CONCATENATE(C325,D325,E325,F325)</f>
        <v>3.21, Row Cond./Roll-Fold. 26'</v>
      </c>
      <c r="C325" s="168">
        <v>3.21</v>
      </c>
      <c r="D325" s="164" t="s">
        <v>459</v>
      </c>
      <c r="E325" s="164" t="s">
        <v>494</v>
      </c>
      <c r="F325" s="164" t="s">
        <v>38</v>
      </c>
      <c r="G325" s="164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  <c r="AG325" s="223">
        <v>34337.5</v>
      </c>
    </row>
    <row r="326" spans="1:33" x14ac:dyDescent="0.2">
      <c r="A326" s="245">
        <v>617</v>
      </c>
      <c r="B326" s="1" t="str">
        <f t="shared" si="75"/>
        <v>3.22, Row Cond./Roll-Fold. 30'</v>
      </c>
      <c r="C326" s="168">
        <v>3.22</v>
      </c>
      <c r="D326" s="164" t="s">
        <v>459</v>
      </c>
      <c r="E326" s="164" t="s">
        <v>494</v>
      </c>
      <c r="F326" s="164" t="s">
        <v>44</v>
      </c>
      <c r="G326" s="164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  <c r="AG326" s="223">
        <v>37002.5</v>
      </c>
    </row>
    <row r="327" spans="1:33" x14ac:dyDescent="0.2">
      <c r="A327" s="245">
        <v>619</v>
      </c>
      <c r="B327" s="1" t="str">
        <f t="shared" si="75"/>
        <v>3.23, Row Cond./Roll-Fold. 40'</v>
      </c>
      <c r="C327" s="168">
        <v>3.23</v>
      </c>
      <c r="D327" s="164" t="s">
        <v>459</v>
      </c>
      <c r="E327" s="164" t="s">
        <v>494</v>
      </c>
      <c r="F327" s="164" t="s">
        <v>16</v>
      </c>
      <c r="G327" s="164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  <c r="AG327" s="223">
        <v>45919.999999999993</v>
      </c>
    </row>
    <row r="328" spans="1:33" x14ac:dyDescent="0.2">
      <c r="A328" s="245">
        <v>612</v>
      </c>
      <c r="B328" s="1" t="str">
        <f t="shared" si="75"/>
        <v>3.24, Row Cond./Roll-Rigid 21'</v>
      </c>
      <c r="C328" s="168">
        <v>3.24</v>
      </c>
      <c r="D328" s="164" t="s">
        <v>459</v>
      </c>
      <c r="E328" s="164" t="s">
        <v>495</v>
      </c>
      <c r="F328" s="164" t="s">
        <v>39</v>
      </c>
      <c r="G328" s="164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  <c r="AG328" s="223">
        <v>24497.499999999996</v>
      </c>
    </row>
    <row r="329" spans="1:33" x14ac:dyDescent="0.2">
      <c r="A329" s="245">
        <v>614</v>
      </c>
      <c r="B329" s="1" t="str">
        <f t="shared" si="75"/>
        <v>3.25, Row Cond./Roll-Rigid 26'</v>
      </c>
      <c r="C329" s="168">
        <v>3.25</v>
      </c>
      <c r="D329" s="164" t="s">
        <v>459</v>
      </c>
      <c r="E329" s="164" t="s">
        <v>495</v>
      </c>
      <c r="F329" s="164" t="s">
        <v>38</v>
      </c>
      <c r="G329" s="164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  <c r="AG329" s="223">
        <v>27879.999999999996</v>
      </c>
    </row>
    <row r="330" spans="1:33" x14ac:dyDescent="0.2">
      <c r="A330" s="245">
        <v>187</v>
      </c>
      <c r="B330" s="1" t="str">
        <f t="shared" si="75"/>
        <v>3.26, Spin Spreader 5 ton</v>
      </c>
      <c r="C330" s="168">
        <v>3.26</v>
      </c>
      <c r="D330" s="164" t="s">
        <v>459</v>
      </c>
      <c r="E330" s="164" t="s">
        <v>324</v>
      </c>
      <c r="F330" s="164" t="s">
        <v>37</v>
      </c>
      <c r="G330" s="164" t="str">
        <f t="shared" si="76"/>
        <v>Spin Spreader 5 ton</v>
      </c>
      <c r="H330" s="30">
        <v>11800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126.8369445383443</v>
      </c>
      <c r="W330" s="9">
        <f t="shared" si="80"/>
        <v>1.2683694453834429</v>
      </c>
      <c r="X330" s="8">
        <f t="shared" si="81"/>
        <v>663.75</v>
      </c>
      <c r="Y330" s="7">
        <f t="shared" si="82"/>
        <v>6.6375000000000002</v>
      </c>
      <c r="Z330" s="2">
        <f t="shared" si="83"/>
        <v>4720</v>
      </c>
      <c r="AA330" s="2">
        <f t="shared" si="84"/>
        <v>885</v>
      </c>
      <c r="AB330" s="2">
        <f t="shared" si="85"/>
        <v>8260</v>
      </c>
      <c r="AC330" s="6">
        <f t="shared" si="86"/>
        <v>743.4</v>
      </c>
      <c r="AD330" s="6">
        <f t="shared" si="87"/>
        <v>198.24</v>
      </c>
      <c r="AE330" s="6">
        <f t="shared" si="88"/>
        <v>1826.64</v>
      </c>
      <c r="AF330" s="5">
        <f t="shared" si="89"/>
        <v>18.266400000000001</v>
      </c>
      <c r="AG330" s="223">
        <v>11069.999999999998</v>
      </c>
    </row>
    <row r="331" spans="1:33" x14ac:dyDescent="0.2">
      <c r="A331" s="245">
        <v>735</v>
      </c>
      <c r="B331" s="1" t="str">
        <f t="shared" si="75"/>
        <v>3.27, Spray (ATV Ropewick) 75"</v>
      </c>
      <c r="C331" s="168">
        <v>3.27</v>
      </c>
      <c r="D331" s="164" t="s">
        <v>459</v>
      </c>
      <c r="E331" s="164" t="s">
        <v>325</v>
      </c>
      <c r="F331" s="164" t="s">
        <v>36</v>
      </c>
      <c r="G331" s="164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  <c r="AG331" s="223">
        <v>635.5</v>
      </c>
    </row>
    <row r="332" spans="1:33" x14ac:dyDescent="0.2">
      <c r="A332" s="245">
        <v>734</v>
      </c>
      <c r="B332" s="1" t="str">
        <f t="shared" si="75"/>
        <v>3.28, Spray (ATV) 12'/17'</v>
      </c>
      <c r="C332" s="168">
        <v>3.28</v>
      </c>
      <c r="D332" s="164" t="s">
        <v>459</v>
      </c>
      <c r="E332" s="164" t="s">
        <v>326</v>
      </c>
      <c r="F332" s="164" t="s">
        <v>35</v>
      </c>
      <c r="G332" s="164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  <c r="AG332" s="223">
        <v>440.74999999999994</v>
      </c>
    </row>
    <row r="333" spans="1:33" x14ac:dyDescent="0.2">
      <c r="A333" s="245">
        <v>733</v>
      </c>
      <c r="B333" s="1" t="str">
        <f t="shared" si="75"/>
        <v>3.29, Spray (ATV) 20'</v>
      </c>
      <c r="C333" s="168">
        <v>3.29</v>
      </c>
      <c r="D333" s="164" t="s">
        <v>459</v>
      </c>
      <c r="E333" s="164" t="s">
        <v>326</v>
      </c>
      <c r="F333" s="164" t="s">
        <v>8</v>
      </c>
      <c r="G333" s="164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  <c r="AG333" s="223">
        <v>1383.7499999999998</v>
      </c>
    </row>
    <row r="334" spans="1:33" x14ac:dyDescent="0.2">
      <c r="A334" s="245">
        <v>188</v>
      </c>
      <c r="B334" s="1" t="str">
        <f t="shared" si="75"/>
        <v>3.3, Spray (Band) 27' Fold</v>
      </c>
      <c r="C334" s="168">
        <v>3.3</v>
      </c>
      <c r="D334" s="164" t="s">
        <v>459</v>
      </c>
      <c r="E334" s="164" t="s">
        <v>327</v>
      </c>
      <c r="F334" s="164" t="s">
        <v>29</v>
      </c>
      <c r="G334" s="164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  <c r="AG334" s="223">
        <v>6088.4999999999991</v>
      </c>
    </row>
    <row r="335" spans="1:33" x14ac:dyDescent="0.2">
      <c r="A335" s="245">
        <v>189</v>
      </c>
      <c r="B335" s="1" t="str">
        <f t="shared" si="75"/>
        <v>3.31, Spray (Band) 40' Fold</v>
      </c>
      <c r="C335" s="168">
        <v>3.31</v>
      </c>
      <c r="D335" s="164" t="s">
        <v>459</v>
      </c>
      <c r="E335" s="164" t="s">
        <v>327</v>
      </c>
      <c r="F335" s="164" t="s">
        <v>26</v>
      </c>
      <c r="G335" s="164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  <c r="AG335" s="223">
        <v>7533.7499999999991</v>
      </c>
    </row>
    <row r="336" spans="1:33" x14ac:dyDescent="0.2">
      <c r="A336" s="245">
        <v>354</v>
      </c>
      <c r="B336" s="1" t="str">
        <f t="shared" si="75"/>
        <v>3.32, Spray (Band) 50' Fold</v>
      </c>
      <c r="C336" s="168">
        <v>3.32</v>
      </c>
      <c r="D336" s="164" t="s">
        <v>459</v>
      </c>
      <c r="E336" s="164" t="s">
        <v>327</v>
      </c>
      <c r="F336" s="164" t="s">
        <v>34</v>
      </c>
      <c r="G336" s="164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  <c r="AG336" s="223">
        <v>6898.2499999999991</v>
      </c>
    </row>
    <row r="337" spans="1:33" x14ac:dyDescent="0.2">
      <c r="A337" s="245">
        <v>355</v>
      </c>
      <c r="B337" s="1" t="str">
        <f t="shared" si="75"/>
        <v>3.33, Spray (Band) 53' Fold</v>
      </c>
      <c r="C337" s="168">
        <v>3.33</v>
      </c>
      <c r="D337" s="164" t="s">
        <v>459</v>
      </c>
      <c r="E337" s="164" t="s">
        <v>327</v>
      </c>
      <c r="F337" s="164" t="s">
        <v>33</v>
      </c>
      <c r="G337" s="164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  <c r="AG337" s="223">
        <v>7841.2499999999991</v>
      </c>
    </row>
    <row r="338" spans="1:33" x14ac:dyDescent="0.2">
      <c r="A338" s="245">
        <v>190</v>
      </c>
      <c r="B338" s="1" t="str">
        <f t="shared" si="75"/>
        <v>3.34, Spray (Band) 60' Fold</v>
      </c>
      <c r="C338" s="168">
        <v>3.34</v>
      </c>
      <c r="D338" s="164" t="s">
        <v>459</v>
      </c>
      <c r="E338" s="164" t="s">
        <v>327</v>
      </c>
      <c r="F338" s="164" t="s">
        <v>32</v>
      </c>
      <c r="G338" s="164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  <c r="AG338" s="223">
        <v>10250</v>
      </c>
    </row>
    <row r="339" spans="1:33" x14ac:dyDescent="0.2">
      <c r="A339" s="245">
        <v>449</v>
      </c>
      <c r="B339" s="1" t="str">
        <f t="shared" si="75"/>
        <v>3.35, Spray (Bcast/HB) 13' Rigid</v>
      </c>
      <c r="C339" s="168">
        <v>3.35</v>
      </c>
      <c r="D339" s="164" t="s">
        <v>459</v>
      </c>
      <c r="E339" s="164" t="s">
        <v>328</v>
      </c>
      <c r="F339" s="164" t="s">
        <v>31</v>
      </c>
      <c r="G339" s="164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  <c r="AG339" s="223">
        <v>5955.2499999999991</v>
      </c>
    </row>
    <row r="340" spans="1:33" x14ac:dyDescent="0.2">
      <c r="A340" s="245">
        <v>448</v>
      </c>
      <c r="B340" s="1" t="str">
        <f t="shared" si="75"/>
        <v>3.36, Spray (Bcast/HB) 20' Rigid</v>
      </c>
      <c r="C340" s="168">
        <v>3.36</v>
      </c>
      <c r="D340" s="164" t="s">
        <v>459</v>
      </c>
      <c r="E340" s="164" t="s">
        <v>328</v>
      </c>
      <c r="F340" s="164" t="s">
        <v>30</v>
      </c>
      <c r="G340" s="164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  <c r="AG340" s="223">
        <v>7010.9999999999991</v>
      </c>
    </row>
    <row r="341" spans="1:33" x14ac:dyDescent="0.2">
      <c r="A341" s="245">
        <v>292</v>
      </c>
      <c r="B341" s="1" t="str">
        <f t="shared" si="75"/>
        <v>3.37, Spray (Bcast/HB) 27' Fold</v>
      </c>
      <c r="C341" s="168">
        <v>3.37</v>
      </c>
      <c r="D341" s="164" t="s">
        <v>459</v>
      </c>
      <c r="E341" s="164" t="s">
        <v>328</v>
      </c>
      <c r="F341" s="164" t="s">
        <v>29</v>
      </c>
      <c r="G341" s="164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  <c r="AG341" s="223">
        <v>11582.499999999998</v>
      </c>
    </row>
    <row r="342" spans="1:33" x14ac:dyDescent="0.2">
      <c r="A342" s="245">
        <v>447</v>
      </c>
      <c r="B342" s="1" t="str">
        <f t="shared" si="75"/>
        <v>3.38, Spray (Bcast/HB) 27' Rigid</v>
      </c>
      <c r="C342" s="168">
        <v>3.38</v>
      </c>
      <c r="D342" s="164" t="s">
        <v>459</v>
      </c>
      <c r="E342" s="164" t="s">
        <v>328</v>
      </c>
      <c r="F342" s="164" t="s">
        <v>28</v>
      </c>
      <c r="G342" s="164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  <c r="AG342" s="223">
        <v>8066.7499999999991</v>
      </c>
    </row>
    <row r="343" spans="1:33" x14ac:dyDescent="0.2">
      <c r="A343" s="245">
        <v>299</v>
      </c>
      <c r="B343" s="1" t="str">
        <f t="shared" si="75"/>
        <v>3.39, Spray (Bcast/HB) 30' Fold</v>
      </c>
      <c r="C343" s="168">
        <v>3.39</v>
      </c>
      <c r="D343" s="164" t="s">
        <v>459</v>
      </c>
      <c r="E343" s="164" t="s">
        <v>328</v>
      </c>
      <c r="F343" s="164" t="s">
        <v>27</v>
      </c>
      <c r="G343" s="164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  <c r="AG343" s="223">
        <v>19680</v>
      </c>
    </row>
    <row r="344" spans="1:33" x14ac:dyDescent="0.2">
      <c r="A344" s="245">
        <v>297</v>
      </c>
      <c r="B344" s="1" t="str">
        <f t="shared" si="75"/>
        <v>3.4, Spray (Bcast/HB) 40' Fold</v>
      </c>
      <c r="C344" s="168">
        <v>3.4</v>
      </c>
      <c r="D344" s="164" t="s">
        <v>459</v>
      </c>
      <c r="E344" s="164" t="s">
        <v>328</v>
      </c>
      <c r="F344" s="164" t="s">
        <v>26</v>
      </c>
      <c r="G344" s="164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  <c r="AG344" s="223">
        <v>21012.499999999996</v>
      </c>
    </row>
    <row r="345" spans="1:33" x14ac:dyDescent="0.2">
      <c r="A345" s="245">
        <v>620</v>
      </c>
      <c r="B345" s="1" t="str">
        <f t="shared" si="75"/>
        <v>3.41, Spray (Bcast/HB/HD) 27'</v>
      </c>
      <c r="C345" s="168">
        <v>3.41</v>
      </c>
      <c r="D345" s="164" t="s">
        <v>459</v>
      </c>
      <c r="E345" s="164" t="s">
        <v>329</v>
      </c>
      <c r="F345" s="164" t="s">
        <v>17</v>
      </c>
      <c r="G345" s="164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  <c r="AG345" s="223">
        <v>22959.999999999996</v>
      </c>
    </row>
    <row r="346" spans="1:33" x14ac:dyDescent="0.2">
      <c r="A346" s="245">
        <v>309</v>
      </c>
      <c r="B346" s="1" t="str">
        <f t="shared" si="75"/>
        <v>3.42, Spray (Bcast/HB/HD) 40'</v>
      </c>
      <c r="C346" s="168">
        <v>3.42</v>
      </c>
      <c r="D346" s="164" t="s">
        <v>459</v>
      </c>
      <c r="E346" s="164" t="s">
        <v>329</v>
      </c>
      <c r="F346" s="164" t="s">
        <v>16</v>
      </c>
      <c r="G346" s="164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  <c r="AG346" s="223">
        <v>33005</v>
      </c>
    </row>
    <row r="347" spans="1:33" x14ac:dyDescent="0.2">
      <c r="A347" s="245">
        <v>191</v>
      </c>
      <c r="B347" s="1" t="str">
        <f t="shared" si="75"/>
        <v>3.43, Spray (Broadcast) 27'</v>
      </c>
      <c r="C347" s="168">
        <v>3.43</v>
      </c>
      <c r="D347" s="164" t="s">
        <v>459</v>
      </c>
      <c r="E347" s="164" t="s">
        <v>330</v>
      </c>
      <c r="F347" s="164" t="s">
        <v>17</v>
      </c>
      <c r="G347" s="164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  <c r="AG347" s="223">
        <v>6088.4999999999991</v>
      </c>
    </row>
    <row r="348" spans="1:33" x14ac:dyDescent="0.2">
      <c r="A348" s="245">
        <v>192</v>
      </c>
      <c r="B348" s="1" t="str">
        <f t="shared" si="75"/>
        <v>3.44, Spray (Broadcast) 40'</v>
      </c>
      <c r="C348" s="168">
        <v>3.44</v>
      </c>
      <c r="D348" s="164" t="s">
        <v>459</v>
      </c>
      <c r="E348" s="164" t="s">
        <v>330</v>
      </c>
      <c r="F348" s="164" t="s">
        <v>16</v>
      </c>
      <c r="G348" s="164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  <c r="AG348" s="223">
        <v>7533.7499999999991</v>
      </c>
    </row>
    <row r="349" spans="1:33" x14ac:dyDescent="0.2">
      <c r="A349" s="245">
        <v>356</v>
      </c>
      <c r="B349" s="1" t="str">
        <f t="shared" si="75"/>
        <v>3.45, Spray (Broadcast) 50'</v>
      </c>
      <c r="C349" s="168">
        <v>3.45</v>
      </c>
      <c r="D349" s="164" t="s">
        <v>459</v>
      </c>
      <c r="E349" s="164" t="s">
        <v>330</v>
      </c>
      <c r="F349" s="164" t="s">
        <v>15</v>
      </c>
      <c r="G349" s="164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  <c r="AG349" s="223">
        <v>6898.2499999999991</v>
      </c>
    </row>
    <row r="350" spans="1:33" x14ac:dyDescent="0.2">
      <c r="A350" s="245">
        <v>357</v>
      </c>
      <c r="B350" s="1" t="str">
        <f t="shared" si="75"/>
        <v>3.46, Spray (Broadcast) 53'</v>
      </c>
      <c r="C350" s="168">
        <v>3.46</v>
      </c>
      <c r="D350" s="164" t="s">
        <v>459</v>
      </c>
      <c r="E350" s="164" t="s">
        <v>330</v>
      </c>
      <c r="F350" s="164" t="s">
        <v>14</v>
      </c>
      <c r="G350" s="164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  <c r="AG350" s="223">
        <v>7841.2499999999991</v>
      </c>
    </row>
    <row r="351" spans="1:33" x14ac:dyDescent="0.2">
      <c r="A351" s="245">
        <v>193</v>
      </c>
      <c r="B351" s="1" t="str">
        <f t="shared" si="75"/>
        <v>3.47, Spray (Broadcast) 60'</v>
      </c>
      <c r="C351" s="168">
        <v>3.47</v>
      </c>
      <c r="D351" s="164" t="s">
        <v>459</v>
      </c>
      <c r="E351" s="164" t="s">
        <v>330</v>
      </c>
      <c r="F351" s="164" t="s">
        <v>13</v>
      </c>
      <c r="G351" s="164" t="str">
        <f t="shared" si="76"/>
        <v>Spray (Broadcast) 60'</v>
      </c>
      <c r="H351" s="30">
        <v>18600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527.61690534862885</v>
      </c>
      <c r="W351" s="9">
        <f t="shared" si="80"/>
        <v>2.6380845267431443</v>
      </c>
      <c r="X351" s="8">
        <f t="shared" si="81"/>
        <v>1743.75</v>
      </c>
      <c r="Y351" s="7">
        <f t="shared" si="82"/>
        <v>8.71875</v>
      </c>
      <c r="Z351" s="2">
        <f t="shared" si="83"/>
        <v>7440</v>
      </c>
      <c r="AA351" s="2">
        <f t="shared" si="84"/>
        <v>1395</v>
      </c>
      <c r="AB351" s="2">
        <f t="shared" si="85"/>
        <v>13020</v>
      </c>
      <c r="AC351" s="6">
        <f t="shared" si="86"/>
        <v>1171.8</v>
      </c>
      <c r="AD351" s="6">
        <f t="shared" si="87"/>
        <v>312.48</v>
      </c>
      <c r="AE351" s="6">
        <f t="shared" si="88"/>
        <v>2879.28</v>
      </c>
      <c r="AF351" s="5">
        <f t="shared" si="89"/>
        <v>14.396400000000002</v>
      </c>
      <c r="AG351" s="223">
        <v>10250</v>
      </c>
    </row>
    <row r="352" spans="1:33" x14ac:dyDescent="0.2">
      <c r="A352" s="245">
        <v>319</v>
      </c>
      <c r="B352" s="1" t="str">
        <f t="shared" si="75"/>
        <v>3.48, Spray (Direct/Hood)  8R-30</v>
      </c>
      <c r="C352" s="168">
        <v>3.48</v>
      </c>
      <c r="D352" s="164" t="s">
        <v>459</v>
      </c>
      <c r="E352" s="164" t="s">
        <v>331</v>
      </c>
      <c r="F352" s="164" t="s">
        <v>25</v>
      </c>
      <c r="G352" s="164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  <c r="AG352" s="223">
        <v>18142.5</v>
      </c>
    </row>
    <row r="353" spans="1:33" x14ac:dyDescent="0.2">
      <c r="A353" s="245">
        <v>8</v>
      </c>
      <c r="B353" s="1" t="str">
        <f t="shared" si="75"/>
        <v>3.49, Spray (Direct/Hood)  8R-36</v>
      </c>
      <c r="C353" s="168">
        <v>3.49</v>
      </c>
      <c r="D353" s="164" t="s">
        <v>459</v>
      </c>
      <c r="E353" s="164" t="s">
        <v>331</v>
      </c>
      <c r="F353" s="164" t="s">
        <v>199</v>
      </c>
      <c r="G353" s="164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  <c r="AG353" s="223">
        <v>19372.5</v>
      </c>
    </row>
    <row r="354" spans="1:33" x14ac:dyDescent="0.2">
      <c r="A354" s="245">
        <v>318</v>
      </c>
      <c r="B354" s="1" t="str">
        <f t="shared" si="75"/>
        <v>3.5, Spray (Direct/Hood) 12R-30</v>
      </c>
      <c r="C354" s="168">
        <v>3.5</v>
      </c>
      <c r="D354" s="164" t="s">
        <v>459</v>
      </c>
      <c r="E354" s="164" t="s">
        <v>331</v>
      </c>
      <c r="F354" s="164" t="s">
        <v>6</v>
      </c>
      <c r="G354" s="164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  <c r="AG354" s="223">
        <v>26239.999999999996</v>
      </c>
    </row>
    <row r="355" spans="1:33" x14ac:dyDescent="0.2">
      <c r="A355" s="245">
        <v>361</v>
      </c>
      <c r="B355" s="1" t="str">
        <f t="shared" si="75"/>
        <v>3.51, Spray (Direct/Hood) 12R-36</v>
      </c>
      <c r="C355" s="168">
        <v>3.51</v>
      </c>
      <c r="D355" s="164" t="s">
        <v>459</v>
      </c>
      <c r="E355" s="164" t="s">
        <v>331</v>
      </c>
      <c r="F355" s="164" t="s">
        <v>200</v>
      </c>
      <c r="G355" s="164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  <c r="AG355" s="223">
        <v>26854.999999999996</v>
      </c>
    </row>
    <row r="356" spans="1:33" x14ac:dyDescent="0.2">
      <c r="A356" s="245">
        <v>360</v>
      </c>
      <c r="B356" s="1" t="str">
        <f t="shared" si="75"/>
        <v>3.52, Spray (Direct/Layby)  8R-30</v>
      </c>
      <c r="C356" s="168">
        <v>3.52</v>
      </c>
      <c r="D356" s="164" t="s">
        <v>459</v>
      </c>
      <c r="E356" s="164" t="s">
        <v>332</v>
      </c>
      <c r="F356" s="164" t="s">
        <v>25</v>
      </c>
      <c r="G356" s="164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  <c r="AG356" s="223">
        <v>12504.999999999998</v>
      </c>
    </row>
    <row r="357" spans="1:33" x14ac:dyDescent="0.2">
      <c r="A357" s="245">
        <v>10</v>
      </c>
      <c r="B357" s="1" t="str">
        <f t="shared" si="75"/>
        <v>3.53, Spray (Direct/Layby)  8R-36</v>
      </c>
      <c r="C357" s="168">
        <v>3.53</v>
      </c>
      <c r="D357" s="164" t="s">
        <v>459</v>
      </c>
      <c r="E357" s="164" t="s">
        <v>332</v>
      </c>
      <c r="F357" s="164" t="s">
        <v>199</v>
      </c>
      <c r="G357" s="164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  <c r="AG357" s="223">
        <v>17937.5</v>
      </c>
    </row>
    <row r="358" spans="1:33" x14ac:dyDescent="0.2">
      <c r="A358" s="245">
        <v>11</v>
      </c>
      <c r="B358" s="1" t="str">
        <f t="shared" si="75"/>
        <v>3.54, Spray (Direct/Layby) 10R-30</v>
      </c>
      <c r="C358" s="168">
        <v>3.54</v>
      </c>
      <c r="D358" s="164" t="s">
        <v>459</v>
      </c>
      <c r="E358" s="164" t="s">
        <v>332</v>
      </c>
      <c r="F358" s="164" t="s">
        <v>24</v>
      </c>
      <c r="G358" s="164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  <c r="AG358" s="223">
        <v>19270</v>
      </c>
    </row>
    <row r="359" spans="1:33" x14ac:dyDescent="0.2">
      <c r="A359" s="245">
        <v>288</v>
      </c>
      <c r="B359" s="1" t="str">
        <f t="shared" si="75"/>
        <v>3.55, Spray (Direct/Layby) 16R-20</v>
      </c>
      <c r="C359" s="168">
        <v>3.55</v>
      </c>
      <c r="D359" s="164" t="s">
        <v>459</v>
      </c>
      <c r="E359" s="164" t="s">
        <v>332</v>
      </c>
      <c r="F359" s="164" t="s">
        <v>23</v>
      </c>
      <c r="G359" s="164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  <c r="AG359" s="223">
        <v>10250</v>
      </c>
    </row>
    <row r="360" spans="1:33" x14ac:dyDescent="0.2">
      <c r="A360" s="245">
        <v>363</v>
      </c>
      <c r="B360" s="1" t="str">
        <f t="shared" si="75"/>
        <v>3.56, Spray (Direct/Layby) 12R-30</v>
      </c>
      <c r="C360" s="168">
        <v>3.56</v>
      </c>
      <c r="D360" s="164" t="s">
        <v>459</v>
      </c>
      <c r="E360" s="164" t="s">
        <v>332</v>
      </c>
      <c r="F360" s="164" t="s">
        <v>6</v>
      </c>
      <c r="G360" s="164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  <c r="AG360" s="223">
        <v>18347.5</v>
      </c>
    </row>
    <row r="361" spans="1:33" x14ac:dyDescent="0.2">
      <c r="A361" s="245">
        <v>266</v>
      </c>
      <c r="B361" s="1" t="str">
        <f t="shared" si="75"/>
        <v>3.57, Spray (Direct/Layby)  8R-36 2x1</v>
      </c>
      <c r="C361" s="168">
        <v>3.57</v>
      </c>
      <c r="D361" s="164" t="s">
        <v>459</v>
      </c>
      <c r="E361" s="164" t="s">
        <v>332</v>
      </c>
      <c r="F361" s="164" t="s">
        <v>203</v>
      </c>
      <c r="G361" s="164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  <c r="AG361" s="223">
        <v>16605</v>
      </c>
    </row>
    <row r="362" spans="1:33" x14ac:dyDescent="0.2">
      <c r="A362" s="245">
        <v>12</v>
      </c>
      <c r="B362" s="1" t="str">
        <f t="shared" si="75"/>
        <v>3.58, Spray (Direct/Layby) 12R-36</v>
      </c>
      <c r="C362" s="168">
        <v>3.58</v>
      </c>
      <c r="D362" s="164" t="s">
        <v>459</v>
      </c>
      <c r="E362" s="164" t="s">
        <v>332</v>
      </c>
      <c r="F362" s="164" t="s">
        <v>200</v>
      </c>
      <c r="G362" s="164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  <c r="AG362" s="223">
        <v>16605</v>
      </c>
    </row>
    <row r="363" spans="1:33" x14ac:dyDescent="0.2">
      <c r="A363" s="245">
        <v>709</v>
      </c>
      <c r="B363" s="1" t="str">
        <f t="shared" si="75"/>
        <v>3.59, Spray (Levee Leaper) 50'</v>
      </c>
      <c r="C363" s="168">
        <v>3.59</v>
      </c>
      <c r="D363" s="164" t="s">
        <v>459</v>
      </c>
      <c r="E363" s="164" t="s">
        <v>333</v>
      </c>
      <c r="F363" s="164" t="s">
        <v>15</v>
      </c>
      <c r="G363" s="164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  <c r="AG363" s="223">
        <v>14349.999999999998</v>
      </c>
    </row>
    <row r="364" spans="1:33" x14ac:dyDescent="0.2">
      <c r="A364" s="245">
        <v>703</v>
      </c>
      <c r="B364" s="1" t="str">
        <f t="shared" si="75"/>
        <v>3.6, Spray (Pull Type)  60'</v>
      </c>
      <c r="C364" s="168">
        <v>3.6</v>
      </c>
      <c r="D364" s="164" t="s">
        <v>459</v>
      </c>
      <c r="E364" s="164" t="s">
        <v>334</v>
      </c>
      <c r="F364" s="164" t="s">
        <v>22</v>
      </c>
      <c r="G364" s="164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  <c r="AG364" s="223">
        <v>30442.499999999996</v>
      </c>
    </row>
    <row r="365" spans="1:33" x14ac:dyDescent="0.2">
      <c r="A365" s="245">
        <v>704</v>
      </c>
      <c r="B365" s="1" t="str">
        <f t="shared" si="75"/>
        <v>3.61, Spray (Pull Type)  80'</v>
      </c>
      <c r="C365" s="168">
        <v>3.61</v>
      </c>
      <c r="D365" s="164" t="s">
        <v>459</v>
      </c>
      <c r="E365" s="164" t="s">
        <v>334</v>
      </c>
      <c r="F365" s="164" t="s">
        <v>21</v>
      </c>
      <c r="G365" s="164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  <c r="AG365" s="223">
        <v>40385</v>
      </c>
    </row>
    <row r="366" spans="1:33" x14ac:dyDescent="0.2">
      <c r="A366" s="245">
        <v>705</v>
      </c>
      <c r="B366" s="1" t="str">
        <f t="shared" si="75"/>
        <v>3.62, Spray (Pull Type)  90'</v>
      </c>
      <c r="C366" s="168">
        <v>3.62</v>
      </c>
      <c r="D366" s="164" t="s">
        <v>459</v>
      </c>
      <c r="E366" s="164" t="s">
        <v>334</v>
      </c>
      <c r="F366" s="164" t="s">
        <v>20</v>
      </c>
      <c r="G366" s="164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  <c r="AG366" s="223">
        <v>40897.5</v>
      </c>
    </row>
    <row r="367" spans="1:33" x14ac:dyDescent="0.2">
      <c r="A367" s="245">
        <v>706</v>
      </c>
      <c r="B367" s="1" t="str">
        <f t="shared" si="75"/>
        <v>3.63, Spray (Pull Type) 100'</v>
      </c>
      <c r="C367" s="168">
        <v>3.63</v>
      </c>
      <c r="D367" s="164" t="s">
        <v>459</v>
      </c>
      <c r="E367" s="164" t="s">
        <v>334</v>
      </c>
      <c r="F367" s="164" t="s">
        <v>19</v>
      </c>
      <c r="G367" s="164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  <c r="AG367" s="223">
        <v>57809.999999999993</v>
      </c>
    </row>
    <row r="368" spans="1:33" x14ac:dyDescent="0.2">
      <c r="A368" s="245">
        <v>707</v>
      </c>
      <c r="B368" s="1" t="str">
        <f t="shared" si="75"/>
        <v>3.64, Spray (Pull Type) 120'</v>
      </c>
      <c r="C368" s="168">
        <v>3.64</v>
      </c>
      <c r="D368" s="164" t="s">
        <v>459</v>
      </c>
      <c r="E368" s="164" t="s">
        <v>334</v>
      </c>
      <c r="F368" s="164" t="s">
        <v>18</v>
      </c>
      <c r="G368" s="164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  <c r="AG368" s="223">
        <v>74722.5</v>
      </c>
    </row>
    <row r="369" spans="1:33" x14ac:dyDescent="0.2">
      <c r="A369" s="245">
        <v>708</v>
      </c>
      <c r="B369" s="1" t="str">
        <f t="shared" si="75"/>
        <v>3.65, Spray (Ropewick) 20'</v>
      </c>
      <c r="C369" s="168">
        <v>3.65</v>
      </c>
      <c r="D369" s="164" t="s">
        <v>459</v>
      </c>
      <c r="E369" s="164" t="s">
        <v>335</v>
      </c>
      <c r="F369" s="164" t="s">
        <v>8</v>
      </c>
      <c r="G369" s="164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  <c r="AG369" s="223">
        <v>2716.2499999999995</v>
      </c>
    </row>
    <row r="370" spans="1:33" x14ac:dyDescent="0.2">
      <c r="A370" s="245">
        <v>194</v>
      </c>
      <c r="B370" s="1" t="str">
        <f t="shared" si="75"/>
        <v>3.66, Spray (Spot) 27'</v>
      </c>
      <c r="C370" s="168">
        <v>3.66</v>
      </c>
      <c r="D370" s="164" t="s">
        <v>459</v>
      </c>
      <c r="E370" s="164" t="s">
        <v>336</v>
      </c>
      <c r="F370" s="164" t="s">
        <v>17</v>
      </c>
      <c r="G370" s="164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  <c r="AG370" s="223">
        <v>6088.4999999999991</v>
      </c>
    </row>
    <row r="371" spans="1:33" x14ac:dyDescent="0.2">
      <c r="A371" s="245">
        <v>195</v>
      </c>
      <c r="B371" s="1" t="str">
        <f t="shared" si="75"/>
        <v>3.67, Spray (Spot) 40'</v>
      </c>
      <c r="C371" s="168">
        <v>3.67</v>
      </c>
      <c r="D371" s="164" t="s">
        <v>459</v>
      </c>
      <c r="E371" s="164" t="s">
        <v>336</v>
      </c>
      <c r="F371" s="164" t="s">
        <v>16</v>
      </c>
      <c r="G371" s="164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  <c r="AG371" s="223">
        <v>7533.7499999999991</v>
      </c>
    </row>
    <row r="372" spans="1:33" x14ac:dyDescent="0.2">
      <c r="A372" s="245">
        <v>358</v>
      </c>
      <c r="B372" s="1" t="str">
        <f t="shared" si="75"/>
        <v>3.68, Spray (Spot) 50'</v>
      </c>
      <c r="C372" s="168">
        <v>3.68</v>
      </c>
      <c r="D372" s="164" t="s">
        <v>459</v>
      </c>
      <c r="E372" s="164" t="s">
        <v>336</v>
      </c>
      <c r="F372" s="164" t="s">
        <v>15</v>
      </c>
      <c r="G372" s="164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  <c r="AG372" s="223">
        <v>68982.5</v>
      </c>
    </row>
    <row r="373" spans="1:33" x14ac:dyDescent="0.2">
      <c r="A373" s="245">
        <v>359</v>
      </c>
      <c r="B373" s="1" t="str">
        <f t="shared" si="75"/>
        <v>3.69, Spray (Spot) 53'</v>
      </c>
      <c r="C373" s="168">
        <v>3.69</v>
      </c>
      <c r="D373" s="164" t="s">
        <v>459</v>
      </c>
      <c r="E373" s="164" t="s">
        <v>336</v>
      </c>
      <c r="F373" s="164" t="s">
        <v>14</v>
      </c>
      <c r="G373" s="164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  <c r="AG373" s="223">
        <v>7841.2499999999991</v>
      </c>
    </row>
    <row r="374" spans="1:33" x14ac:dyDescent="0.2">
      <c r="A374" s="245">
        <v>196</v>
      </c>
      <c r="B374" s="1" t="str">
        <f t="shared" si="75"/>
        <v>3.7, Spray (Spot) 60'</v>
      </c>
      <c r="C374" s="168">
        <v>3.7</v>
      </c>
      <c r="D374" s="164" t="s">
        <v>459</v>
      </c>
      <c r="E374" s="164" t="s">
        <v>336</v>
      </c>
      <c r="F374" s="164" t="s">
        <v>13</v>
      </c>
      <c r="G374" s="164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  <c r="AG374" s="223">
        <v>10250</v>
      </c>
    </row>
    <row r="375" spans="1:33" x14ac:dyDescent="0.2">
      <c r="A375" s="245"/>
      <c r="B375" s="1" t="str">
        <f t="shared" si="75"/>
        <v>3.71, ST Plant Rigid 6R-36</v>
      </c>
      <c r="C375" s="168">
        <v>3.71</v>
      </c>
      <c r="D375" s="164" t="s">
        <v>459</v>
      </c>
      <c r="E375" s="164" t="s">
        <v>440</v>
      </c>
      <c r="F375" s="164" t="s">
        <v>206</v>
      </c>
      <c r="G375" s="164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  <c r="AG375" s="223">
        <v>36285</v>
      </c>
    </row>
    <row r="376" spans="1:33" x14ac:dyDescent="0.2">
      <c r="A376" s="245"/>
      <c r="B376" s="1" t="str">
        <f t="shared" si="75"/>
        <v>3.72, ST Plant Rigid 8R-36</v>
      </c>
      <c r="C376" s="168">
        <v>3.72</v>
      </c>
      <c r="D376" s="164" t="s">
        <v>459</v>
      </c>
      <c r="E376" s="164" t="s">
        <v>440</v>
      </c>
      <c r="F376" s="164" t="s">
        <v>205</v>
      </c>
      <c r="G376" s="164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  <c r="AG376" s="223">
        <v>39975</v>
      </c>
    </row>
    <row r="377" spans="1:33" x14ac:dyDescent="0.2">
      <c r="A377" s="245">
        <v>693</v>
      </c>
      <c r="B377" s="1" t="str">
        <f t="shared" si="75"/>
        <v>3.73, Strip Till 12R-30</v>
      </c>
      <c r="C377" s="168">
        <v>3.73</v>
      </c>
      <c r="D377" s="164" t="s">
        <v>459</v>
      </c>
      <c r="E377" s="164" t="s">
        <v>337</v>
      </c>
      <c r="F377" s="164" t="s">
        <v>6</v>
      </c>
      <c r="G377" s="164" t="str">
        <f t="shared" si="76"/>
        <v>Strip Till 12R-30</v>
      </c>
      <c r="H377" s="30">
        <v>61100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1158.5979002400341</v>
      </c>
      <c r="W377" s="9">
        <f t="shared" si="80"/>
        <v>7.7239860016002266</v>
      </c>
      <c r="X377" s="8">
        <f t="shared" si="81"/>
        <v>3971.5</v>
      </c>
      <c r="Y377" s="7">
        <f t="shared" si="82"/>
        <v>26.476666666666667</v>
      </c>
      <c r="Z377" s="2">
        <f t="shared" si="83"/>
        <v>18330</v>
      </c>
      <c r="AA377" s="2">
        <f t="shared" si="84"/>
        <v>4277</v>
      </c>
      <c r="AB377" s="2">
        <f t="shared" si="85"/>
        <v>39715</v>
      </c>
      <c r="AC377" s="6">
        <f t="shared" si="86"/>
        <v>3574.35</v>
      </c>
      <c r="AD377" s="6">
        <f t="shared" si="87"/>
        <v>953.16</v>
      </c>
      <c r="AE377" s="6">
        <f t="shared" si="88"/>
        <v>8804.51</v>
      </c>
      <c r="AF377" s="5">
        <f t="shared" si="89"/>
        <v>58.696733333333334</v>
      </c>
      <c r="AG377" s="223">
        <v>48687.499999999993</v>
      </c>
    </row>
    <row r="378" spans="1:33" x14ac:dyDescent="0.2">
      <c r="A378" s="245">
        <v>202</v>
      </c>
      <c r="B378" s="1" t="str">
        <f t="shared" si="75"/>
        <v>3.74, Subsoiler 3 shank</v>
      </c>
      <c r="C378" s="168">
        <v>3.74</v>
      </c>
      <c r="D378" s="164" t="s">
        <v>459</v>
      </c>
      <c r="E378" s="164" t="s">
        <v>338</v>
      </c>
      <c r="F378" s="164" t="s">
        <v>5</v>
      </c>
      <c r="G378" s="164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  <c r="AG378" s="223">
        <v>3638.7499999999995</v>
      </c>
    </row>
    <row r="379" spans="1:33" x14ac:dyDescent="0.2">
      <c r="A379" s="245">
        <v>217</v>
      </c>
      <c r="B379" s="1" t="str">
        <f t="shared" si="75"/>
        <v>3.75, Subsoiler 4 shank</v>
      </c>
      <c r="C379" s="168">
        <v>3.75</v>
      </c>
      <c r="D379" s="164" t="s">
        <v>459</v>
      </c>
      <c r="E379" s="164" t="s">
        <v>338</v>
      </c>
      <c r="F379" s="164" t="s">
        <v>3</v>
      </c>
      <c r="G379" s="164" t="str">
        <f t="shared" si="76"/>
        <v>Subsoiler 4 shank</v>
      </c>
      <c r="H379" s="30">
        <v>9340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100.39466627018101</v>
      </c>
      <c r="W379" s="9">
        <f t="shared" si="80"/>
        <v>1.0039466627018101</v>
      </c>
      <c r="X379" s="8">
        <f t="shared" si="81"/>
        <v>311.33333333333331</v>
      </c>
      <c r="Y379" s="7">
        <f t="shared" si="82"/>
        <v>3.1133333333333333</v>
      </c>
      <c r="Z379" s="2">
        <f t="shared" si="83"/>
        <v>2802</v>
      </c>
      <c r="AA379" s="2">
        <f t="shared" si="84"/>
        <v>435.86666666666667</v>
      </c>
      <c r="AB379" s="2">
        <f t="shared" si="85"/>
        <v>6071</v>
      </c>
      <c r="AC379" s="6">
        <f t="shared" si="86"/>
        <v>546.39</v>
      </c>
      <c r="AD379" s="6">
        <f t="shared" si="87"/>
        <v>145.70400000000001</v>
      </c>
      <c r="AE379" s="6">
        <f t="shared" si="88"/>
        <v>1127.9606666666666</v>
      </c>
      <c r="AF379" s="5">
        <f t="shared" si="89"/>
        <v>11.279606666666666</v>
      </c>
      <c r="AG379" s="223">
        <v>8435.75</v>
      </c>
    </row>
    <row r="380" spans="1:33" x14ac:dyDescent="0.2">
      <c r="A380" s="245">
        <v>203</v>
      </c>
      <c r="B380" s="1" t="str">
        <f t="shared" si="75"/>
        <v>3.76, Subsoiler 5 shank</v>
      </c>
      <c r="C380" s="168">
        <v>3.76</v>
      </c>
      <c r="D380" s="164" t="s">
        <v>459</v>
      </c>
      <c r="E380" s="164" t="s">
        <v>338</v>
      </c>
      <c r="F380" s="164" t="s">
        <v>4</v>
      </c>
      <c r="G380" s="164" t="str">
        <f t="shared" si="76"/>
        <v>Subsoiler 5 shank</v>
      </c>
      <c r="H380" s="30">
        <v>10800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116.08805093339987</v>
      </c>
      <c r="W380" s="9">
        <f t="shared" si="80"/>
        <v>1.1608805093339987</v>
      </c>
      <c r="X380" s="8">
        <f t="shared" si="81"/>
        <v>360</v>
      </c>
      <c r="Y380" s="7">
        <f t="shared" si="82"/>
        <v>3.6</v>
      </c>
      <c r="Z380" s="2">
        <f t="shared" si="83"/>
        <v>3240</v>
      </c>
      <c r="AA380" s="2">
        <f t="shared" si="84"/>
        <v>504</v>
      </c>
      <c r="AB380" s="2">
        <f t="shared" si="85"/>
        <v>7020</v>
      </c>
      <c r="AC380" s="6">
        <f t="shared" si="86"/>
        <v>631.79999999999995</v>
      </c>
      <c r="AD380" s="6">
        <f t="shared" si="87"/>
        <v>168.48</v>
      </c>
      <c r="AE380" s="6">
        <f t="shared" si="88"/>
        <v>1304.28</v>
      </c>
      <c r="AF380" s="5">
        <f t="shared" si="89"/>
        <v>13.0428</v>
      </c>
      <c r="AG380" s="223">
        <v>11377.499999999998</v>
      </c>
    </row>
    <row r="381" spans="1:33" x14ac:dyDescent="0.2">
      <c r="A381" s="245">
        <v>218</v>
      </c>
      <c r="B381" s="1" t="str">
        <f t="shared" si="75"/>
        <v>3.77, Subsoiler low-till 4 shank</v>
      </c>
      <c r="C381" s="168">
        <v>3.77</v>
      </c>
      <c r="D381" s="164" t="s">
        <v>459</v>
      </c>
      <c r="E381" s="164" t="s">
        <v>339</v>
      </c>
      <c r="F381" s="164" t="s">
        <v>3</v>
      </c>
      <c r="G381" s="164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  <c r="AG381" s="223">
        <v>12709.999999999998</v>
      </c>
    </row>
    <row r="382" spans="1:33" x14ac:dyDescent="0.2">
      <c r="A382" s="245">
        <v>219</v>
      </c>
      <c r="B382" s="1" t="str">
        <f t="shared" si="75"/>
        <v>3.78, Subsoiler low-till 6 shank</v>
      </c>
      <c r="C382" s="168">
        <v>3.78</v>
      </c>
      <c r="D382" s="164" t="s">
        <v>459</v>
      </c>
      <c r="E382" s="164" t="s">
        <v>339</v>
      </c>
      <c r="F382" s="164" t="s">
        <v>2</v>
      </c>
      <c r="G382" s="164" t="str">
        <f t="shared" si="76"/>
        <v>Subsoiler low-till 6 shank</v>
      </c>
      <c r="H382" s="30">
        <v>16600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178.43163384207756</v>
      </c>
      <c r="W382" s="9">
        <f t="shared" si="80"/>
        <v>1.7843163384207756</v>
      </c>
      <c r="X382" s="8">
        <f t="shared" si="81"/>
        <v>553.33333333333337</v>
      </c>
      <c r="Y382" s="7">
        <f t="shared" si="82"/>
        <v>5.5333333333333341</v>
      </c>
      <c r="Z382" s="2">
        <f t="shared" si="83"/>
        <v>4980</v>
      </c>
      <c r="AA382" s="2">
        <f t="shared" si="84"/>
        <v>774.66666666666663</v>
      </c>
      <c r="AB382" s="2">
        <f t="shared" si="85"/>
        <v>10790</v>
      </c>
      <c r="AC382" s="6">
        <f t="shared" si="86"/>
        <v>971.09999999999991</v>
      </c>
      <c r="AD382" s="6">
        <f t="shared" si="87"/>
        <v>258.95999999999998</v>
      </c>
      <c r="AE382" s="6">
        <f t="shared" si="88"/>
        <v>2004.7266666666665</v>
      </c>
      <c r="AF382" s="5">
        <f t="shared" si="89"/>
        <v>20.047266666666665</v>
      </c>
      <c r="AG382" s="223">
        <v>15169.999999999998</v>
      </c>
    </row>
    <row r="383" spans="1:33" x14ac:dyDescent="0.2">
      <c r="A383" s="245">
        <v>311</v>
      </c>
      <c r="B383" s="1" t="str">
        <f t="shared" si="75"/>
        <v>3.79, Subsoiler low-till 8 shank</v>
      </c>
      <c r="C383" s="168">
        <v>3.79</v>
      </c>
      <c r="D383" s="164" t="s">
        <v>459</v>
      </c>
      <c r="E383" s="164" t="s">
        <v>339</v>
      </c>
      <c r="F383" s="164" t="s">
        <v>1</v>
      </c>
      <c r="G383" s="164" t="str">
        <f t="shared" si="76"/>
        <v>Subsoiler low-till 8 shank</v>
      </c>
      <c r="H383" s="30">
        <v>20600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221.4272082618553</v>
      </c>
      <c r="W383" s="9">
        <f t="shared" si="80"/>
        <v>2.2142720826185531</v>
      </c>
      <c r="X383" s="8">
        <f t="shared" si="81"/>
        <v>686.66666666666663</v>
      </c>
      <c r="Y383" s="7">
        <f t="shared" si="82"/>
        <v>6.8666666666666663</v>
      </c>
      <c r="Z383" s="2">
        <f t="shared" si="83"/>
        <v>6180</v>
      </c>
      <c r="AA383" s="2">
        <f t="shared" si="84"/>
        <v>961.33333333333337</v>
      </c>
      <c r="AB383" s="2">
        <f t="shared" si="85"/>
        <v>13390</v>
      </c>
      <c r="AC383" s="6">
        <f t="shared" si="86"/>
        <v>1205.0999999999999</v>
      </c>
      <c r="AD383" s="6">
        <f t="shared" si="87"/>
        <v>321.36</v>
      </c>
      <c r="AE383" s="6">
        <f t="shared" si="88"/>
        <v>2487.7933333333335</v>
      </c>
      <c r="AF383" s="5">
        <f t="shared" si="89"/>
        <v>24.877933333333335</v>
      </c>
      <c r="AG383" s="223">
        <v>22754.999999999996</v>
      </c>
    </row>
    <row r="384" spans="1:33" x14ac:dyDescent="0.2">
      <c r="D384" s="164"/>
    </row>
    <row r="385" spans="1:33" x14ac:dyDescent="0.2">
      <c r="D385" s="164"/>
    </row>
    <row r="386" spans="1:33" x14ac:dyDescent="0.2">
      <c r="A386" s="245">
        <v>268</v>
      </c>
      <c r="B386" s="1" t="str">
        <f t="shared" ref="B386:B417" si="90">CONCATENATE(C386,D386,E386,F386)</f>
        <v>0.01, Boll Buggy 4R-30 (250)</v>
      </c>
      <c r="C386" s="168">
        <v>0.01</v>
      </c>
      <c r="D386" s="164" t="s">
        <v>459</v>
      </c>
      <c r="E386" s="164" t="s">
        <v>340</v>
      </c>
      <c r="F386" s="164" t="s">
        <v>227</v>
      </c>
      <c r="G386" s="164" t="str">
        <f t="shared" ref="G386:G417" si="91">CONCATENATE(E386,F386)</f>
        <v>Boll Buggy 4R-30 (250)</v>
      </c>
      <c r="H386" s="251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  <c r="AG386" s="223">
        <v>31364.999999999996</v>
      </c>
    </row>
    <row r="387" spans="1:33" x14ac:dyDescent="0.2">
      <c r="A387" s="245">
        <v>465</v>
      </c>
      <c r="B387" s="1" t="str">
        <f t="shared" si="90"/>
        <v>0.02, Boll Buggy 4R-30 (325)</v>
      </c>
      <c r="C387" s="168">
        <v>0.02</v>
      </c>
      <c r="D387" s="164" t="s">
        <v>459</v>
      </c>
      <c r="E387" s="164" t="s">
        <v>340</v>
      </c>
      <c r="F387" s="164" t="s">
        <v>356</v>
      </c>
      <c r="G387" s="164" t="str">
        <f t="shared" si="91"/>
        <v>Boll Buggy 4R-30 (325)</v>
      </c>
      <c r="H387" s="251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  <c r="AG387" s="223">
        <v>31364.999999999996</v>
      </c>
    </row>
    <row r="388" spans="1:33" x14ac:dyDescent="0.2">
      <c r="A388" s="245">
        <v>229</v>
      </c>
      <c r="B388" s="1" t="str">
        <f t="shared" si="90"/>
        <v>0.03, Boll Buggy 4R-36 (255)</v>
      </c>
      <c r="C388" s="168">
        <v>0.03</v>
      </c>
      <c r="D388" s="164" t="s">
        <v>459</v>
      </c>
      <c r="E388" s="164" t="s">
        <v>340</v>
      </c>
      <c r="F388" s="164" t="s">
        <v>230</v>
      </c>
      <c r="G388" s="164" t="str">
        <f t="shared" si="91"/>
        <v>Boll Buggy 4R-36 (255)</v>
      </c>
      <c r="H388" s="251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  <c r="AG388" s="223">
        <v>31364.999999999996</v>
      </c>
    </row>
    <row r="389" spans="1:33" x14ac:dyDescent="0.2">
      <c r="A389" s="245">
        <v>269</v>
      </c>
      <c r="B389" s="1" t="str">
        <f t="shared" si="90"/>
        <v>0.04, Boll Buggy 4R-36 (325)</v>
      </c>
      <c r="C389" s="168">
        <v>0.04</v>
      </c>
      <c r="D389" s="164" t="s">
        <v>459</v>
      </c>
      <c r="E389" s="164" t="s">
        <v>340</v>
      </c>
      <c r="F389" s="164" t="s">
        <v>358</v>
      </c>
      <c r="G389" s="164" t="str">
        <f t="shared" si="91"/>
        <v>Boll Buggy 4R-36 (325)</v>
      </c>
      <c r="H389" s="251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  <c r="AG389" s="223">
        <v>31364.999999999996</v>
      </c>
    </row>
    <row r="390" spans="1:33" x14ac:dyDescent="0.2">
      <c r="A390" s="245">
        <v>270</v>
      </c>
      <c r="B390" s="1" t="str">
        <f t="shared" si="90"/>
        <v>0.05, Boll Buggy 5R-30 (255)</v>
      </c>
      <c r="C390" s="168">
        <v>0.05</v>
      </c>
      <c r="D390" s="164" t="s">
        <v>459</v>
      </c>
      <c r="E390" s="164" t="s">
        <v>340</v>
      </c>
      <c r="F390" s="164" t="s">
        <v>357</v>
      </c>
      <c r="G390" s="164" t="str">
        <f t="shared" si="91"/>
        <v>Boll Buggy 5R-30 (255)</v>
      </c>
      <c r="H390" s="251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  <c r="AG390" s="223">
        <v>31364.999999999996</v>
      </c>
    </row>
    <row r="391" spans="1:33" x14ac:dyDescent="0.2">
      <c r="A391" s="245">
        <v>466</v>
      </c>
      <c r="B391" s="1" t="str">
        <f t="shared" si="90"/>
        <v>0.06, Boll Buggy 6R-30 (325)</v>
      </c>
      <c r="C391" s="168">
        <v>0.06</v>
      </c>
      <c r="D391" s="164" t="s">
        <v>459</v>
      </c>
      <c r="E391" s="164" t="s">
        <v>340</v>
      </c>
      <c r="F391" s="164" t="s">
        <v>359</v>
      </c>
      <c r="G391" s="164" t="str">
        <f t="shared" si="91"/>
        <v>Boll Buggy 6R-30 (325)</v>
      </c>
      <c r="H391" s="251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  <c r="AG391" s="223">
        <v>31364.999999999996</v>
      </c>
    </row>
    <row r="392" spans="1:33" x14ac:dyDescent="0.2">
      <c r="A392" s="245">
        <v>271</v>
      </c>
      <c r="B392" s="1" t="str">
        <f t="shared" si="90"/>
        <v>0.07, Boll Buggy 5R-36 (250)</v>
      </c>
      <c r="C392" s="168">
        <v>7.0000000000000007E-2</v>
      </c>
      <c r="D392" s="164" t="s">
        <v>459</v>
      </c>
      <c r="E392" s="164" t="s">
        <v>340</v>
      </c>
      <c r="F392" s="164" t="s">
        <v>233</v>
      </c>
      <c r="G392" s="164" t="str">
        <f t="shared" si="91"/>
        <v>Boll Buggy 5R-36 (250)</v>
      </c>
      <c r="H392" s="251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  <c r="AG392" s="223">
        <v>31364.999999999996</v>
      </c>
    </row>
    <row r="393" spans="1:33" x14ac:dyDescent="0.2">
      <c r="A393" s="245">
        <v>226</v>
      </c>
      <c r="B393" s="1" t="str">
        <f t="shared" si="90"/>
        <v>0.08, Boll Buggy 4R2x1 (350)</v>
      </c>
      <c r="C393" s="168">
        <v>0.08</v>
      </c>
      <c r="D393" s="164" t="s">
        <v>459</v>
      </c>
      <c r="E393" s="164" t="s">
        <v>340</v>
      </c>
      <c r="F393" s="164" t="s">
        <v>234</v>
      </c>
      <c r="G393" s="164" t="str">
        <f t="shared" si="91"/>
        <v>Boll Buggy 4R2x1 (350)</v>
      </c>
      <c r="H393" s="251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  <c r="AG393" s="223">
        <v>31364.999999999996</v>
      </c>
    </row>
    <row r="394" spans="1:33" x14ac:dyDescent="0.2">
      <c r="A394" s="245">
        <v>225</v>
      </c>
      <c r="B394" s="1" t="str">
        <f t="shared" si="90"/>
        <v>0.09, Boll Buggy 6R-36 (330)</v>
      </c>
      <c r="C394" s="168">
        <v>0.09</v>
      </c>
      <c r="D394" s="164" t="s">
        <v>459</v>
      </c>
      <c r="E394" s="164" t="s">
        <v>340</v>
      </c>
      <c r="F394" s="164" t="s">
        <v>360</v>
      </c>
      <c r="G394" s="164" t="str">
        <f t="shared" si="91"/>
        <v>Boll Buggy 6R-36 (330)</v>
      </c>
      <c r="H394" s="251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  <c r="AG394" s="223">
        <v>31364.999999999996</v>
      </c>
    </row>
    <row r="395" spans="1:33" x14ac:dyDescent="0.2">
      <c r="A395" s="245">
        <v>489</v>
      </c>
      <c r="B395" s="1" t="str">
        <f t="shared" si="90"/>
        <v>0.1, Boll Buggy-Stripper 4R-36</v>
      </c>
      <c r="C395" s="168">
        <v>0.1</v>
      </c>
      <c r="D395" s="164" t="s">
        <v>459</v>
      </c>
      <c r="E395" s="164" t="s">
        <v>341</v>
      </c>
      <c r="F395" s="164" t="s">
        <v>73</v>
      </c>
      <c r="G395" s="164" t="str">
        <f t="shared" si="91"/>
        <v>Boll Buggy-Stripper 4R-36</v>
      </c>
      <c r="H395" s="251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  <c r="AG395" s="223">
        <v>31262.499999999996</v>
      </c>
    </row>
    <row r="396" spans="1:33" x14ac:dyDescent="0.2">
      <c r="A396" s="245">
        <v>491</v>
      </c>
      <c r="B396" s="1" t="str">
        <f t="shared" si="90"/>
        <v>0.11, Boll Buggy-Stripper 4R-36</v>
      </c>
      <c r="C396" s="168">
        <v>0.11</v>
      </c>
      <c r="D396" s="164" t="s">
        <v>459</v>
      </c>
      <c r="E396" s="164" t="s">
        <v>341</v>
      </c>
      <c r="F396" s="164" t="s">
        <v>73</v>
      </c>
      <c r="G396" s="164" t="str">
        <f t="shared" si="91"/>
        <v>Boll Buggy-Stripper 4R-36</v>
      </c>
      <c r="H396" s="251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  <c r="AG396" s="223">
        <v>31364.999999999996</v>
      </c>
    </row>
    <row r="397" spans="1:33" x14ac:dyDescent="0.2">
      <c r="A397" s="245">
        <v>493</v>
      </c>
      <c r="B397" s="1" t="str">
        <f t="shared" si="90"/>
        <v>0.12, Boll Buggy-Stripper 5R-30</v>
      </c>
      <c r="C397" s="168">
        <v>0.12</v>
      </c>
      <c r="D397" s="164" t="s">
        <v>459</v>
      </c>
      <c r="E397" s="164" t="s">
        <v>341</v>
      </c>
      <c r="F397" s="164" t="s">
        <v>72</v>
      </c>
      <c r="G397" s="164" t="str">
        <f t="shared" si="91"/>
        <v>Boll Buggy-Stripper 5R-30</v>
      </c>
      <c r="H397" s="251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  <c r="AG397" s="223">
        <v>31364.999999999996</v>
      </c>
    </row>
    <row r="398" spans="1:33" x14ac:dyDescent="0.2">
      <c r="A398" s="245">
        <v>228</v>
      </c>
      <c r="B398" s="1" t="str">
        <f t="shared" si="90"/>
        <v>0.13, Boll Buggy-Stripper 13' Bcast</v>
      </c>
      <c r="C398" s="168">
        <v>0.13</v>
      </c>
      <c r="D398" s="164" t="s">
        <v>459</v>
      </c>
      <c r="E398" s="164" t="s">
        <v>341</v>
      </c>
      <c r="F398" s="164" t="s">
        <v>71</v>
      </c>
      <c r="G398" s="164" t="str">
        <f t="shared" si="91"/>
        <v>Boll Buggy-Stripper 13' Bcast</v>
      </c>
      <c r="H398" s="251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  <c r="AG398" s="223">
        <v>31262.499999999996</v>
      </c>
    </row>
    <row r="399" spans="1:33" x14ac:dyDescent="0.2">
      <c r="A399" s="245">
        <v>490</v>
      </c>
      <c r="B399" s="1" t="str">
        <f t="shared" si="90"/>
        <v>0.14, Boll Buggy-Stripper 4R-30 2x1</v>
      </c>
      <c r="C399" s="168">
        <v>0.14000000000000001</v>
      </c>
      <c r="D399" s="164" t="s">
        <v>459</v>
      </c>
      <c r="E399" s="164" t="s">
        <v>341</v>
      </c>
      <c r="F399" s="164" t="s">
        <v>70</v>
      </c>
      <c r="G399" s="164" t="str">
        <f t="shared" si="91"/>
        <v>Boll Buggy-Stripper 4R-30 2x1</v>
      </c>
      <c r="H399" s="251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  <c r="AG399" s="223">
        <v>31364.999999999996</v>
      </c>
    </row>
    <row r="400" spans="1:33" x14ac:dyDescent="0.2">
      <c r="A400" s="245">
        <v>495</v>
      </c>
      <c r="B400" s="1" t="str">
        <f t="shared" si="90"/>
        <v>0.15, Boll Buggy-Stripper 6R-30</v>
      </c>
      <c r="C400" s="168">
        <v>0.15</v>
      </c>
      <c r="D400" s="164" t="s">
        <v>459</v>
      </c>
      <c r="E400" s="164" t="s">
        <v>341</v>
      </c>
      <c r="F400" s="164" t="s">
        <v>47</v>
      </c>
      <c r="G400" s="164" t="str">
        <f t="shared" si="91"/>
        <v>Boll Buggy-Stripper 6R-30</v>
      </c>
      <c r="H400" s="251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  <c r="AG400" s="223">
        <v>31364.999999999996</v>
      </c>
    </row>
    <row r="401" spans="1:33" x14ac:dyDescent="0.2">
      <c r="A401" s="245">
        <v>494</v>
      </c>
      <c r="B401" s="1" t="str">
        <f t="shared" si="90"/>
        <v>0.16, Boll Buggy-Stripper 5R-36</v>
      </c>
      <c r="C401" s="168">
        <v>0.16</v>
      </c>
      <c r="D401" s="164" t="s">
        <v>459</v>
      </c>
      <c r="E401" s="164" t="s">
        <v>341</v>
      </c>
      <c r="F401" s="164" t="s">
        <v>207</v>
      </c>
      <c r="G401" s="164" t="str">
        <f t="shared" si="91"/>
        <v>Boll Buggy-Stripper 5R-36</v>
      </c>
      <c r="H401" s="251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  <c r="AG401" s="223">
        <v>31364.999999999996</v>
      </c>
    </row>
    <row r="402" spans="1:33" x14ac:dyDescent="0.2">
      <c r="A402" s="245">
        <v>487</v>
      </c>
      <c r="B402" s="1" t="str">
        <f t="shared" si="90"/>
        <v>0.17, Boll Buggy-Stripper 16' Bcast</v>
      </c>
      <c r="C402" s="168">
        <v>0.17</v>
      </c>
      <c r="D402" s="164" t="s">
        <v>459</v>
      </c>
      <c r="E402" s="164" t="s">
        <v>341</v>
      </c>
      <c r="F402" s="164" t="s">
        <v>69</v>
      </c>
      <c r="G402" s="164" t="str">
        <f t="shared" si="91"/>
        <v>Boll Buggy-Stripper 16' Bcast</v>
      </c>
      <c r="H402" s="251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  <c r="AG402" s="223">
        <v>31364.999999999996</v>
      </c>
    </row>
    <row r="403" spans="1:33" x14ac:dyDescent="0.2">
      <c r="A403" s="245">
        <v>492</v>
      </c>
      <c r="B403" s="1" t="str">
        <f t="shared" si="90"/>
        <v>0.18, Boll Buggy-Stripper 4R-36 2x1</v>
      </c>
      <c r="C403" s="168">
        <v>0.18</v>
      </c>
      <c r="D403" s="164" t="s">
        <v>459</v>
      </c>
      <c r="E403" s="164" t="s">
        <v>341</v>
      </c>
      <c r="F403" s="164" t="s">
        <v>208</v>
      </c>
      <c r="G403" s="164" t="str">
        <f t="shared" si="91"/>
        <v>Boll Buggy-Stripper 4R-36 2x1</v>
      </c>
      <c r="H403" s="251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  <c r="AG403" s="223">
        <v>31364.999999999996</v>
      </c>
    </row>
    <row r="404" spans="1:33" x14ac:dyDescent="0.2">
      <c r="A404" s="245">
        <v>677</v>
      </c>
      <c r="B404" s="1" t="str">
        <f t="shared" si="90"/>
        <v>0.19, Boll Buggy-Stripper 6R-36</v>
      </c>
      <c r="C404" s="168">
        <v>0.19</v>
      </c>
      <c r="D404" s="164" t="s">
        <v>459</v>
      </c>
      <c r="E404" s="164" t="s">
        <v>341</v>
      </c>
      <c r="F404" s="164" t="s">
        <v>206</v>
      </c>
      <c r="G404" s="164" t="str">
        <f t="shared" si="91"/>
        <v>Boll Buggy-Stripper 6R-36</v>
      </c>
      <c r="H404" s="251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  <c r="AG404" s="223">
        <v>31364.999999999996</v>
      </c>
    </row>
    <row r="405" spans="1:33" x14ac:dyDescent="0.2">
      <c r="A405" s="245">
        <v>488</v>
      </c>
      <c r="B405" s="1" t="str">
        <f t="shared" si="90"/>
        <v>0.2, Boll Buggy-Stripper 19' Bcast</v>
      </c>
      <c r="C405" s="168">
        <v>0.2</v>
      </c>
      <c r="D405" s="164" t="s">
        <v>459</v>
      </c>
      <c r="E405" s="164" t="s">
        <v>341</v>
      </c>
      <c r="F405" s="164" t="s">
        <v>68</v>
      </c>
      <c r="G405" s="164" t="str">
        <f t="shared" si="91"/>
        <v>Boll Buggy-Stripper 19' Bcast</v>
      </c>
      <c r="H405" s="251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  <c r="AG405" s="223">
        <v>31364.999999999996</v>
      </c>
    </row>
    <row r="406" spans="1:33" x14ac:dyDescent="0.2">
      <c r="A406" s="245">
        <v>679</v>
      </c>
      <c r="B406" s="1" t="str">
        <f t="shared" si="90"/>
        <v>0.21, Boll Buggy-Stripper 8R-30</v>
      </c>
      <c r="C406" s="168">
        <v>0.21</v>
      </c>
      <c r="D406" s="164" t="s">
        <v>459</v>
      </c>
      <c r="E406" s="164" t="s">
        <v>341</v>
      </c>
      <c r="F406" s="164" t="s">
        <v>96</v>
      </c>
      <c r="G406" s="164" t="str">
        <f t="shared" si="91"/>
        <v>Boll Buggy-Stripper 8R-30</v>
      </c>
      <c r="H406" s="251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  <c r="AG406" s="223">
        <v>31364.999999999996</v>
      </c>
    </row>
    <row r="407" spans="1:33" x14ac:dyDescent="0.2">
      <c r="A407" s="245">
        <v>680</v>
      </c>
      <c r="B407" s="1" t="str">
        <f t="shared" si="90"/>
        <v>0.22, Boll Buggy-Stripper 8R-36</v>
      </c>
      <c r="C407" s="168">
        <v>0.22</v>
      </c>
      <c r="D407" s="164" t="s">
        <v>459</v>
      </c>
      <c r="E407" s="164" t="s">
        <v>341</v>
      </c>
      <c r="F407" s="164" t="s">
        <v>205</v>
      </c>
      <c r="G407" s="164" t="str">
        <f t="shared" si="91"/>
        <v>Boll Buggy-Stripper 8R-36</v>
      </c>
      <c r="H407" s="251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  <c r="AG407" s="223">
        <v>31364.999999999996</v>
      </c>
    </row>
    <row r="408" spans="1:33" x14ac:dyDescent="0.2">
      <c r="A408" s="245">
        <v>207</v>
      </c>
      <c r="B408" s="1" t="str">
        <f t="shared" si="90"/>
        <v>0.23, Grain Cart Corn  500 bu</v>
      </c>
      <c r="C408" s="168">
        <v>0.23</v>
      </c>
      <c r="D408" s="164" t="s">
        <v>459</v>
      </c>
      <c r="E408" s="164" t="s">
        <v>342</v>
      </c>
      <c r="F408" s="164" t="s">
        <v>90</v>
      </c>
      <c r="G408" s="164" t="str">
        <f t="shared" si="91"/>
        <v>Grain Cart Corn  500 bu</v>
      </c>
      <c r="H408" s="30">
        <v>23900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260.44190909755849</v>
      </c>
      <c r="W408" s="9">
        <f t="shared" si="95"/>
        <v>1.3022095454877924</v>
      </c>
      <c r="X408" s="8">
        <f t="shared" si="96"/>
        <v>1294.5833333333333</v>
      </c>
      <c r="Y408" s="7">
        <f t="shared" si="97"/>
        <v>6.4729166666666664</v>
      </c>
      <c r="Z408" s="2">
        <f t="shared" si="98"/>
        <v>7170</v>
      </c>
      <c r="AA408" s="2">
        <f t="shared" si="99"/>
        <v>1394.1666666666667</v>
      </c>
      <c r="AB408" s="2">
        <f t="shared" si="100"/>
        <v>15535</v>
      </c>
      <c r="AC408" s="6">
        <f t="shared" si="101"/>
        <v>1398.1499999999999</v>
      </c>
      <c r="AD408" s="6">
        <f t="shared" si="102"/>
        <v>372.84000000000003</v>
      </c>
      <c r="AE408" s="6">
        <f t="shared" si="103"/>
        <v>3165.1566666666668</v>
      </c>
      <c r="AF408" s="5">
        <f t="shared" si="104"/>
        <v>15.825783333333334</v>
      </c>
      <c r="AG408" s="223">
        <v>25317.499999999996</v>
      </c>
    </row>
    <row r="409" spans="1:33" x14ac:dyDescent="0.2">
      <c r="A409" s="245">
        <v>206</v>
      </c>
      <c r="B409" s="1" t="str">
        <f t="shared" si="90"/>
        <v>0.24, Grain Cart Corn  700 bu</v>
      </c>
      <c r="C409" s="168">
        <v>0.24</v>
      </c>
      <c r="D409" s="164" t="s">
        <v>459</v>
      </c>
      <c r="E409" s="164" t="s">
        <v>342</v>
      </c>
      <c r="F409" s="164" t="s">
        <v>89</v>
      </c>
      <c r="G409" s="164" t="str">
        <f t="shared" si="91"/>
        <v>Grain Cart Corn  700 bu</v>
      </c>
      <c r="H409" s="30">
        <v>36800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401.01515710419051</v>
      </c>
      <c r="W409" s="9">
        <f t="shared" si="95"/>
        <v>2.0050757855209524</v>
      </c>
      <c r="X409" s="8">
        <f t="shared" si="96"/>
        <v>1993.3333333333333</v>
      </c>
      <c r="Y409" s="7">
        <f t="shared" si="97"/>
        <v>9.9666666666666668</v>
      </c>
      <c r="Z409" s="2">
        <f t="shared" si="98"/>
        <v>11040</v>
      </c>
      <c r="AA409" s="2">
        <f t="shared" si="99"/>
        <v>2146.6666666666665</v>
      </c>
      <c r="AB409" s="2">
        <f t="shared" si="100"/>
        <v>23920</v>
      </c>
      <c r="AC409" s="6">
        <f t="shared" si="101"/>
        <v>2152.7999999999997</v>
      </c>
      <c r="AD409" s="6">
        <f t="shared" si="102"/>
        <v>574.08000000000004</v>
      </c>
      <c r="AE409" s="6">
        <f t="shared" si="103"/>
        <v>4873.5466666666662</v>
      </c>
      <c r="AF409" s="5">
        <f t="shared" si="104"/>
        <v>24.36773333333333</v>
      </c>
      <c r="AG409" s="223">
        <v>35055</v>
      </c>
    </row>
    <row r="410" spans="1:33" x14ac:dyDescent="0.2">
      <c r="A410" s="245">
        <v>712</v>
      </c>
      <c r="B410" s="1" t="str">
        <f t="shared" si="90"/>
        <v>0.25, Grain Cart Corn 1000 bu</v>
      </c>
      <c r="C410" s="168">
        <v>0.25</v>
      </c>
      <c r="D410" s="164" t="s">
        <v>459</v>
      </c>
      <c r="E410" s="164" t="s">
        <v>342</v>
      </c>
      <c r="F410" s="164" t="s">
        <v>88</v>
      </c>
      <c r="G410" s="164" t="str">
        <f t="shared" si="91"/>
        <v>Grain Cart Corn 1000 bu</v>
      </c>
      <c r="H410" s="30">
        <v>48700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530.6912541025564</v>
      </c>
      <c r="W410" s="9">
        <f t="shared" si="95"/>
        <v>2.6534562705127822</v>
      </c>
      <c r="X410" s="8">
        <f t="shared" si="96"/>
        <v>2637.9166666666665</v>
      </c>
      <c r="Y410" s="7">
        <f t="shared" si="97"/>
        <v>13.189583333333333</v>
      </c>
      <c r="Z410" s="2">
        <f t="shared" si="98"/>
        <v>14610</v>
      </c>
      <c r="AA410" s="2">
        <f t="shared" si="99"/>
        <v>2840.8333333333335</v>
      </c>
      <c r="AB410" s="2">
        <f t="shared" si="100"/>
        <v>31655</v>
      </c>
      <c r="AC410" s="6">
        <f t="shared" si="101"/>
        <v>2848.95</v>
      </c>
      <c r="AD410" s="6">
        <f t="shared" si="102"/>
        <v>759.72</v>
      </c>
      <c r="AE410" s="6">
        <f t="shared" si="103"/>
        <v>6449.5033333333331</v>
      </c>
      <c r="AF410" s="5">
        <f t="shared" si="104"/>
        <v>32.247516666666662</v>
      </c>
      <c r="AG410" s="223">
        <v>49507.499999999993</v>
      </c>
    </row>
    <row r="411" spans="1:33" x14ac:dyDescent="0.2">
      <c r="A411" s="245">
        <v>687</v>
      </c>
      <c r="B411" s="1" t="str">
        <f t="shared" si="90"/>
        <v>0.26, Grain Cart Soybean  500 bu</v>
      </c>
      <c r="C411" s="168">
        <v>0.26</v>
      </c>
      <c r="D411" s="164" t="s">
        <v>459</v>
      </c>
      <c r="E411" s="164" t="s">
        <v>343</v>
      </c>
      <c r="F411" s="164" t="s">
        <v>90</v>
      </c>
      <c r="G411" s="164" t="str">
        <f t="shared" si="91"/>
        <v>Grain Cart Soybean  500 bu</v>
      </c>
      <c r="H411" s="30">
        <v>23900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260.44190909755849</v>
      </c>
      <c r="W411" s="9">
        <f t="shared" si="95"/>
        <v>1.3022095454877924</v>
      </c>
      <c r="X411" s="8">
        <f t="shared" si="96"/>
        <v>1294.5833333333333</v>
      </c>
      <c r="Y411" s="7">
        <f t="shared" si="97"/>
        <v>6.4729166666666664</v>
      </c>
      <c r="Z411" s="2">
        <f t="shared" si="98"/>
        <v>7170</v>
      </c>
      <c r="AA411" s="2">
        <f t="shared" si="99"/>
        <v>1394.1666666666667</v>
      </c>
      <c r="AB411" s="2">
        <f t="shared" si="100"/>
        <v>15535</v>
      </c>
      <c r="AC411" s="6">
        <f t="shared" si="101"/>
        <v>1398.1499999999999</v>
      </c>
      <c r="AD411" s="6">
        <f t="shared" si="102"/>
        <v>372.84000000000003</v>
      </c>
      <c r="AE411" s="6">
        <f t="shared" si="103"/>
        <v>3165.1566666666668</v>
      </c>
      <c r="AF411" s="5">
        <f t="shared" si="104"/>
        <v>15.825783333333334</v>
      </c>
      <c r="AG411" s="223">
        <v>25317.499999999996</v>
      </c>
    </row>
    <row r="412" spans="1:33" x14ac:dyDescent="0.2">
      <c r="A412" s="245">
        <v>688</v>
      </c>
      <c r="B412" s="1" t="str">
        <f t="shared" si="90"/>
        <v>0.27, Grain Cart Soybean  700 bu</v>
      </c>
      <c r="C412" s="168">
        <v>0.27</v>
      </c>
      <c r="D412" s="164" t="s">
        <v>459</v>
      </c>
      <c r="E412" s="164" t="s">
        <v>343</v>
      </c>
      <c r="F412" s="164" t="s">
        <v>89</v>
      </c>
      <c r="G412" s="164" t="str">
        <f t="shared" si="91"/>
        <v>Grain Cart Soybean  700 bu</v>
      </c>
      <c r="H412" s="30">
        <v>36800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401.01515710419051</v>
      </c>
      <c r="W412" s="9">
        <f t="shared" si="95"/>
        <v>2.0050757855209524</v>
      </c>
      <c r="X412" s="8">
        <f t="shared" si="96"/>
        <v>1993.3333333333333</v>
      </c>
      <c r="Y412" s="7">
        <f t="shared" si="97"/>
        <v>9.9666666666666668</v>
      </c>
      <c r="Z412" s="2">
        <f t="shared" si="98"/>
        <v>11040</v>
      </c>
      <c r="AA412" s="2">
        <f t="shared" si="99"/>
        <v>2146.6666666666665</v>
      </c>
      <c r="AB412" s="2">
        <f t="shared" si="100"/>
        <v>23920</v>
      </c>
      <c r="AC412" s="6">
        <f t="shared" si="101"/>
        <v>2152.7999999999997</v>
      </c>
      <c r="AD412" s="6">
        <f t="shared" si="102"/>
        <v>574.08000000000004</v>
      </c>
      <c r="AE412" s="6">
        <f t="shared" si="103"/>
        <v>4873.5466666666662</v>
      </c>
      <c r="AF412" s="5">
        <f t="shared" si="104"/>
        <v>24.36773333333333</v>
      </c>
      <c r="AG412" s="223">
        <v>35055</v>
      </c>
    </row>
    <row r="413" spans="1:33" x14ac:dyDescent="0.2">
      <c r="A413" s="245">
        <v>714</v>
      </c>
      <c r="B413" s="1" t="str">
        <f t="shared" si="90"/>
        <v>0.28, Grain Cart Soybean 1000 bu</v>
      </c>
      <c r="C413" s="168">
        <v>0.28000000000000003</v>
      </c>
      <c r="D413" s="164" t="s">
        <v>459</v>
      </c>
      <c r="E413" s="164" t="s">
        <v>343</v>
      </c>
      <c r="F413" s="164" t="s">
        <v>88</v>
      </c>
      <c r="G413" s="164" t="str">
        <f t="shared" si="91"/>
        <v>Grain Cart Soybean 1000 bu</v>
      </c>
      <c r="H413" s="30">
        <v>48700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530.6912541025564</v>
      </c>
      <c r="W413" s="9">
        <f t="shared" si="95"/>
        <v>2.6534562705127822</v>
      </c>
      <c r="X413" s="8">
        <f t="shared" si="96"/>
        <v>2637.9166666666665</v>
      </c>
      <c r="Y413" s="7">
        <f t="shared" si="97"/>
        <v>13.189583333333333</v>
      </c>
      <c r="Z413" s="2">
        <f t="shared" si="98"/>
        <v>14610</v>
      </c>
      <c r="AA413" s="2">
        <f t="shared" si="99"/>
        <v>2840.8333333333335</v>
      </c>
      <c r="AB413" s="2">
        <f t="shared" si="100"/>
        <v>31655</v>
      </c>
      <c r="AC413" s="6">
        <f t="shared" si="101"/>
        <v>2848.95</v>
      </c>
      <c r="AD413" s="6">
        <f t="shared" si="102"/>
        <v>759.72</v>
      </c>
      <c r="AE413" s="6">
        <f t="shared" si="103"/>
        <v>6449.5033333333331</v>
      </c>
      <c r="AF413" s="5">
        <f t="shared" si="104"/>
        <v>32.247516666666662</v>
      </c>
      <c r="AG413" s="223">
        <v>49507.499999999993</v>
      </c>
    </row>
    <row r="414" spans="1:33" x14ac:dyDescent="0.2">
      <c r="A414" s="245">
        <v>689</v>
      </c>
      <c r="B414" s="1" t="str">
        <f t="shared" si="90"/>
        <v>0.29, Grain Cart Wht/Sor  500 bu</v>
      </c>
      <c r="C414" s="168">
        <v>0.28999999999999998</v>
      </c>
      <c r="D414" s="164" t="s">
        <v>459</v>
      </c>
      <c r="E414" s="164" t="s">
        <v>344</v>
      </c>
      <c r="F414" s="164" t="s">
        <v>90</v>
      </c>
      <c r="G414" s="164" t="str">
        <f t="shared" si="91"/>
        <v>Grain Cart Wht/Sor  500 bu</v>
      </c>
      <c r="H414" s="30">
        <v>23900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260.44190909755849</v>
      </c>
      <c r="W414" s="9">
        <f t="shared" si="95"/>
        <v>1.3022095454877924</v>
      </c>
      <c r="X414" s="8">
        <f t="shared" si="96"/>
        <v>1294.5833333333333</v>
      </c>
      <c r="Y414" s="7">
        <f t="shared" si="97"/>
        <v>6.4729166666666664</v>
      </c>
      <c r="Z414" s="2">
        <f t="shared" si="98"/>
        <v>7170</v>
      </c>
      <c r="AA414" s="2">
        <f t="shared" si="99"/>
        <v>1394.1666666666667</v>
      </c>
      <c r="AB414" s="2">
        <f t="shared" si="100"/>
        <v>15535</v>
      </c>
      <c r="AC414" s="6">
        <f t="shared" si="101"/>
        <v>1398.1499999999999</v>
      </c>
      <c r="AD414" s="6">
        <f t="shared" si="102"/>
        <v>372.84000000000003</v>
      </c>
      <c r="AE414" s="6">
        <f t="shared" si="103"/>
        <v>3165.1566666666668</v>
      </c>
      <c r="AF414" s="5">
        <f t="shared" si="104"/>
        <v>15.825783333333334</v>
      </c>
      <c r="AG414" s="223">
        <v>25317.499999999996</v>
      </c>
    </row>
    <row r="415" spans="1:33" x14ac:dyDescent="0.2">
      <c r="A415" s="245">
        <v>690</v>
      </c>
      <c r="B415" s="1" t="str">
        <f t="shared" si="90"/>
        <v>0.3, Grain Cart Wht/Sor  700 bu</v>
      </c>
      <c r="C415" s="168">
        <v>0.3</v>
      </c>
      <c r="D415" s="164" t="s">
        <v>459</v>
      </c>
      <c r="E415" s="164" t="s">
        <v>344</v>
      </c>
      <c r="F415" s="164" t="s">
        <v>89</v>
      </c>
      <c r="G415" s="164" t="str">
        <f t="shared" si="91"/>
        <v>Grain Cart Wht/Sor  700 bu</v>
      </c>
      <c r="H415" s="30">
        <v>36800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401.01515710419051</v>
      </c>
      <c r="W415" s="9">
        <f t="shared" si="95"/>
        <v>2.0050757855209524</v>
      </c>
      <c r="X415" s="8">
        <f t="shared" si="96"/>
        <v>1993.3333333333333</v>
      </c>
      <c r="Y415" s="7">
        <f t="shared" si="97"/>
        <v>9.9666666666666668</v>
      </c>
      <c r="Z415" s="2">
        <f t="shared" si="98"/>
        <v>11040</v>
      </c>
      <c r="AA415" s="2">
        <f t="shared" si="99"/>
        <v>2146.6666666666665</v>
      </c>
      <c r="AB415" s="2">
        <f t="shared" si="100"/>
        <v>23920</v>
      </c>
      <c r="AC415" s="6">
        <f t="shared" si="101"/>
        <v>2152.7999999999997</v>
      </c>
      <c r="AD415" s="6">
        <f t="shared" si="102"/>
        <v>574.08000000000004</v>
      </c>
      <c r="AE415" s="6">
        <f t="shared" si="103"/>
        <v>4873.5466666666662</v>
      </c>
      <c r="AF415" s="5">
        <f t="shared" si="104"/>
        <v>24.36773333333333</v>
      </c>
      <c r="AG415" s="223">
        <v>35055</v>
      </c>
    </row>
    <row r="416" spans="1:33" x14ac:dyDescent="0.2">
      <c r="A416" s="245">
        <v>715</v>
      </c>
      <c r="B416" s="1" t="str">
        <f t="shared" si="90"/>
        <v>0.31, Grain Cart Wht/Sor 1000 bu</v>
      </c>
      <c r="C416" s="168">
        <v>0.31</v>
      </c>
      <c r="D416" s="164" t="s">
        <v>459</v>
      </c>
      <c r="E416" s="164" t="s">
        <v>344</v>
      </c>
      <c r="F416" s="164" t="s">
        <v>88</v>
      </c>
      <c r="G416" s="164" t="str">
        <f t="shared" si="91"/>
        <v>Grain Cart Wht/Sor 1000 bu</v>
      </c>
      <c r="H416" s="30">
        <v>48700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530.6912541025564</v>
      </c>
      <c r="W416" s="9">
        <f t="shared" si="95"/>
        <v>2.6534562705127822</v>
      </c>
      <c r="X416" s="8">
        <f t="shared" si="96"/>
        <v>2637.9166666666665</v>
      </c>
      <c r="Y416" s="7">
        <f t="shared" si="97"/>
        <v>13.189583333333333</v>
      </c>
      <c r="Z416" s="2">
        <f t="shared" si="98"/>
        <v>14610</v>
      </c>
      <c r="AA416" s="2">
        <f t="shared" si="99"/>
        <v>2840.8333333333335</v>
      </c>
      <c r="AB416" s="2">
        <f t="shared" si="100"/>
        <v>31655</v>
      </c>
      <c r="AC416" s="6">
        <f t="shared" si="101"/>
        <v>2848.95</v>
      </c>
      <c r="AD416" s="6">
        <f t="shared" si="102"/>
        <v>759.72</v>
      </c>
      <c r="AE416" s="6">
        <f t="shared" si="103"/>
        <v>6449.5033333333331</v>
      </c>
      <c r="AF416" s="5">
        <f t="shared" si="104"/>
        <v>32.247516666666662</v>
      </c>
      <c r="AG416" s="223">
        <v>49507.499999999993</v>
      </c>
    </row>
    <row r="417" spans="1:33" x14ac:dyDescent="0.2">
      <c r="A417" s="245">
        <v>428</v>
      </c>
      <c r="B417" s="1" t="str">
        <f t="shared" si="90"/>
        <v>0.32, Header - Corn  6R-30</v>
      </c>
      <c r="C417" s="168">
        <v>0.32</v>
      </c>
      <c r="D417" s="164" t="s">
        <v>459</v>
      </c>
      <c r="E417" s="164" t="s">
        <v>345</v>
      </c>
      <c r="F417" s="164" t="s">
        <v>53</v>
      </c>
      <c r="G417" s="164" t="str">
        <f t="shared" si="91"/>
        <v>Header - Corn  6R-30</v>
      </c>
      <c r="H417" s="30">
        <v>44370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483.50659023676445</v>
      </c>
      <c r="W417" s="9">
        <f t="shared" si="95"/>
        <v>2.4175329511838224</v>
      </c>
      <c r="X417" s="8">
        <f t="shared" si="96"/>
        <v>2218.5</v>
      </c>
      <c r="Y417" s="7">
        <f t="shared" si="97"/>
        <v>11.092499999999999</v>
      </c>
      <c r="Z417" s="2">
        <f t="shared" si="98"/>
        <v>17748</v>
      </c>
      <c r="AA417" s="2">
        <f t="shared" si="99"/>
        <v>2218.5</v>
      </c>
      <c r="AB417" s="2">
        <f t="shared" si="100"/>
        <v>31059</v>
      </c>
      <c r="AC417" s="6">
        <f t="shared" si="101"/>
        <v>2795.31</v>
      </c>
      <c r="AD417" s="6">
        <f t="shared" si="102"/>
        <v>745.41600000000005</v>
      </c>
      <c r="AE417" s="6">
        <f t="shared" si="103"/>
        <v>5759.2259999999997</v>
      </c>
      <c r="AF417" s="5">
        <f t="shared" si="104"/>
        <v>28.796129999999998</v>
      </c>
      <c r="AG417" s="223">
        <v>44587.499999999993</v>
      </c>
    </row>
    <row r="418" spans="1:33" x14ac:dyDescent="0.2">
      <c r="A418" s="245">
        <v>432</v>
      </c>
      <c r="B418" s="1" t="str">
        <f t="shared" ref="B418:B449" si="106">CONCATENATE(C418,D418,E418,F418)</f>
        <v>0.33, Header - Corn  6R-36</v>
      </c>
      <c r="C418" s="168">
        <v>0.33</v>
      </c>
      <c r="D418" s="164" t="s">
        <v>459</v>
      </c>
      <c r="E418" s="164" t="s">
        <v>345</v>
      </c>
      <c r="F418" s="164" t="s">
        <v>202</v>
      </c>
      <c r="G418" s="164" t="str">
        <f t="shared" ref="G418:G449" si="107">CONCATENATE(E418,F418)</f>
        <v>Header - Corn  6R-36</v>
      </c>
      <c r="H418" s="30">
        <v>46700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508.89695208602433</v>
      </c>
      <c r="W418" s="9">
        <f t="shared" ref="W418:W449" si="110">V418/P418</f>
        <v>2.5444847604301217</v>
      </c>
      <c r="X418" s="8">
        <f t="shared" ref="X418:X449" si="111">(H418*N418/100)/O418</f>
        <v>2335</v>
      </c>
      <c r="Y418" s="7">
        <f t="shared" ref="Y418:Y449" si="112">X418/P418</f>
        <v>11.675000000000001</v>
      </c>
      <c r="Z418" s="2">
        <f t="shared" ref="Z418:Z449" si="113">H418*M418/100</f>
        <v>18680</v>
      </c>
      <c r="AA418" s="2">
        <f t="shared" ref="AA418:AA449" si="114">(H418-Z418)/O418</f>
        <v>2335</v>
      </c>
      <c r="AB418" s="2">
        <f t="shared" ref="AB418:AB449" si="115">(Z418+H418)/2</f>
        <v>32690</v>
      </c>
      <c r="AC418" s="6">
        <f t="shared" ref="AC418:AC449" si="116">AB418*intir</f>
        <v>2942.1</v>
      </c>
      <c r="AD418" s="6">
        <f t="shared" ref="AD418:AD449" si="117">AB418*itr</f>
        <v>784.56000000000006</v>
      </c>
      <c r="AE418" s="6">
        <f t="shared" ref="AE418:AE449" si="118">AA418+AC418+AD418</f>
        <v>6061.6600000000008</v>
      </c>
      <c r="AF418" s="5">
        <f t="shared" ref="AF418:AF449" si="119">AE418/P418</f>
        <v>30.308300000000003</v>
      </c>
      <c r="AG418" s="223">
        <v>45817.499999999993</v>
      </c>
    </row>
    <row r="419" spans="1:33" x14ac:dyDescent="0.2">
      <c r="A419" s="245">
        <v>433</v>
      </c>
      <c r="B419" s="1" t="str">
        <f t="shared" si="106"/>
        <v>0.34, Header - Corn  8R-30</v>
      </c>
      <c r="C419" s="168">
        <v>0.34</v>
      </c>
      <c r="D419" s="164" t="s">
        <v>459</v>
      </c>
      <c r="E419" s="164" t="s">
        <v>345</v>
      </c>
      <c r="F419" s="164" t="s">
        <v>25</v>
      </c>
      <c r="G419" s="164" t="str">
        <f t="shared" si="107"/>
        <v>Header - Corn  8R-30</v>
      </c>
      <c r="H419" s="30">
        <v>57324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624.66828439784285</v>
      </c>
      <c r="W419" s="9">
        <f t="shared" si="110"/>
        <v>3.1233414219892142</v>
      </c>
      <c r="X419" s="8">
        <f t="shared" si="111"/>
        <v>2866.2000000000003</v>
      </c>
      <c r="Y419" s="7">
        <f t="shared" si="112"/>
        <v>14.331000000000001</v>
      </c>
      <c r="Z419" s="2">
        <f t="shared" si="113"/>
        <v>22929.599999999999</v>
      </c>
      <c r="AA419" s="2">
        <f t="shared" si="114"/>
        <v>2866.2000000000003</v>
      </c>
      <c r="AB419" s="2">
        <f t="shared" si="115"/>
        <v>40126.800000000003</v>
      </c>
      <c r="AC419" s="6">
        <f t="shared" si="116"/>
        <v>3611.4120000000003</v>
      </c>
      <c r="AD419" s="6">
        <f t="shared" si="117"/>
        <v>963.04320000000007</v>
      </c>
      <c r="AE419" s="6">
        <f t="shared" si="118"/>
        <v>7440.6552000000011</v>
      </c>
      <c r="AF419" s="5">
        <f t="shared" si="119"/>
        <v>37.203276000000002</v>
      </c>
      <c r="AG419" s="223">
        <v>57604.999999999993</v>
      </c>
    </row>
    <row r="420" spans="1:33" x14ac:dyDescent="0.2">
      <c r="A420" s="245">
        <v>438</v>
      </c>
      <c r="B420" s="1" t="str">
        <f t="shared" si="106"/>
        <v>0.35, Header - Corn 12R-20</v>
      </c>
      <c r="C420" s="168">
        <v>0.35</v>
      </c>
      <c r="D420" s="164" t="s">
        <v>459</v>
      </c>
      <c r="E420" s="164" t="s">
        <v>345</v>
      </c>
      <c r="F420" s="164" t="s">
        <v>50</v>
      </c>
      <c r="G420" s="164" t="str">
        <f t="shared" si="107"/>
        <v>Header - Corn 12R-20</v>
      </c>
      <c r="H420" s="30">
        <v>77928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1989.7483057126824</v>
      </c>
      <c r="W420" s="9">
        <f t="shared" si="110"/>
        <v>6.6324943523756081</v>
      </c>
      <c r="X420" s="8">
        <f t="shared" si="111"/>
        <v>5844.6</v>
      </c>
      <c r="Y420" s="7">
        <f t="shared" si="112"/>
        <v>19.482000000000003</v>
      </c>
      <c r="Z420" s="2">
        <f t="shared" si="113"/>
        <v>31171.200000000001</v>
      </c>
      <c r="AA420" s="2">
        <f t="shared" si="114"/>
        <v>5844.6</v>
      </c>
      <c r="AB420" s="2">
        <f t="shared" si="115"/>
        <v>54549.599999999999</v>
      </c>
      <c r="AC420" s="6">
        <f t="shared" si="116"/>
        <v>4909.4639999999999</v>
      </c>
      <c r="AD420" s="6">
        <f t="shared" si="117"/>
        <v>1309.1904</v>
      </c>
      <c r="AE420" s="6">
        <f t="shared" si="118"/>
        <v>12063.2544</v>
      </c>
      <c r="AF420" s="5">
        <f t="shared" si="119"/>
        <v>40.210847999999999</v>
      </c>
      <c r="AG420" s="223">
        <v>78310</v>
      </c>
    </row>
    <row r="421" spans="1:33" x14ac:dyDescent="0.2">
      <c r="A421" s="245">
        <v>437</v>
      </c>
      <c r="B421" s="1" t="str">
        <f t="shared" si="106"/>
        <v>0.36, Header - Corn  8R-36</v>
      </c>
      <c r="C421" s="168">
        <v>0.36</v>
      </c>
      <c r="D421" s="164" t="s">
        <v>459</v>
      </c>
      <c r="E421" s="164" t="s">
        <v>345</v>
      </c>
      <c r="F421" s="164" t="s">
        <v>199</v>
      </c>
      <c r="G421" s="164" t="str">
        <f t="shared" si="107"/>
        <v>Header - Corn  8R-36</v>
      </c>
      <c r="H421" s="30">
        <v>58752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640.22941603764673</v>
      </c>
      <c r="W421" s="9">
        <f t="shared" si="110"/>
        <v>3.2011470801882336</v>
      </c>
      <c r="X421" s="8">
        <f t="shared" si="111"/>
        <v>2937.6</v>
      </c>
      <c r="Y421" s="7">
        <f t="shared" si="112"/>
        <v>14.687999999999999</v>
      </c>
      <c r="Z421" s="2">
        <f t="shared" si="113"/>
        <v>23500.799999999999</v>
      </c>
      <c r="AA421" s="2">
        <f t="shared" si="114"/>
        <v>2937.6</v>
      </c>
      <c r="AB421" s="2">
        <f t="shared" si="115"/>
        <v>41126.400000000001</v>
      </c>
      <c r="AC421" s="6">
        <f t="shared" si="116"/>
        <v>3701.3760000000002</v>
      </c>
      <c r="AD421" s="6">
        <f t="shared" si="117"/>
        <v>987.03360000000009</v>
      </c>
      <c r="AE421" s="6">
        <f t="shared" si="118"/>
        <v>7626.0096000000003</v>
      </c>
      <c r="AF421" s="5">
        <f t="shared" si="119"/>
        <v>38.130048000000002</v>
      </c>
      <c r="AG421" s="223">
        <v>59039.999999999993</v>
      </c>
    </row>
    <row r="422" spans="1:33" x14ac:dyDescent="0.2">
      <c r="A422" s="245">
        <v>439</v>
      </c>
      <c r="B422" s="1" t="str">
        <f t="shared" si="106"/>
        <v>0.37, Header - Corn 12R-30</v>
      </c>
      <c r="C422" s="168">
        <v>0.37</v>
      </c>
      <c r="D422" s="164" t="s">
        <v>459</v>
      </c>
      <c r="E422" s="164" t="s">
        <v>345</v>
      </c>
      <c r="F422" s="164" t="s">
        <v>6</v>
      </c>
      <c r="G422" s="164" t="str">
        <f t="shared" si="107"/>
        <v>Header - Corn 12R-30</v>
      </c>
      <c r="H422" s="30">
        <v>89454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2284.0435394110241</v>
      </c>
      <c r="W422" s="9">
        <f t="shared" si="110"/>
        <v>7.6134784647034133</v>
      </c>
      <c r="X422" s="8">
        <f t="shared" si="111"/>
        <v>6709.05</v>
      </c>
      <c r="Y422" s="7">
        <f t="shared" si="112"/>
        <v>22.363500000000002</v>
      </c>
      <c r="Z422" s="2">
        <f t="shared" si="113"/>
        <v>35781.599999999999</v>
      </c>
      <c r="AA422" s="2">
        <f t="shared" si="114"/>
        <v>6709.05</v>
      </c>
      <c r="AB422" s="2">
        <f t="shared" si="115"/>
        <v>62617.8</v>
      </c>
      <c r="AC422" s="6">
        <f t="shared" si="116"/>
        <v>5635.6019999999999</v>
      </c>
      <c r="AD422" s="6">
        <f t="shared" si="117"/>
        <v>1502.8272000000002</v>
      </c>
      <c r="AE422" s="6">
        <f t="shared" si="118"/>
        <v>13847.4792</v>
      </c>
      <c r="AF422" s="5">
        <f t="shared" si="119"/>
        <v>46.158264000000003</v>
      </c>
      <c r="AG422" s="223">
        <v>89892.499999999985</v>
      </c>
    </row>
    <row r="423" spans="1:33" x14ac:dyDescent="0.2">
      <c r="A423" s="245">
        <v>426</v>
      </c>
      <c r="B423" s="1" t="str">
        <f t="shared" si="106"/>
        <v>0.38, Header -Soybean 22' Flex</v>
      </c>
      <c r="C423" s="168">
        <v>0.38</v>
      </c>
      <c r="D423" s="164" t="s">
        <v>459</v>
      </c>
      <c r="E423" s="164" t="s">
        <v>346</v>
      </c>
      <c r="F423" s="164" t="s">
        <v>83</v>
      </c>
      <c r="G423" s="164" t="str">
        <f t="shared" si="107"/>
        <v>Header -Soybean 22' Flex</v>
      </c>
      <c r="H423" s="30">
        <v>30906</v>
      </c>
      <c r="I423" s="1">
        <v>22</v>
      </c>
      <c r="J423" s="1">
        <v>3.8</v>
      </c>
      <c r="K423" s="1">
        <v>85</v>
      </c>
      <c r="L423" s="4">
        <f t="shared" si="105"/>
        <v>0.11609907120743036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184.07059773153563</v>
      </c>
      <c r="W423" s="9">
        <f t="shared" si="110"/>
        <v>1.2271373182102374</v>
      </c>
      <c r="X423" s="8">
        <f t="shared" si="111"/>
        <v>1545.3</v>
      </c>
      <c r="Y423" s="7">
        <f t="shared" si="112"/>
        <v>10.302</v>
      </c>
      <c r="Z423" s="2">
        <f t="shared" si="113"/>
        <v>12362.4</v>
      </c>
      <c r="AA423" s="2">
        <f t="shared" si="114"/>
        <v>1545.3</v>
      </c>
      <c r="AB423" s="2">
        <f t="shared" si="115"/>
        <v>21634.2</v>
      </c>
      <c r="AC423" s="6">
        <f t="shared" si="116"/>
        <v>1947.078</v>
      </c>
      <c r="AD423" s="6">
        <f t="shared" si="117"/>
        <v>519.22080000000005</v>
      </c>
      <c r="AE423" s="6">
        <f t="shared" si="118"/>
        <v>4011.5987999999998</v>
      </c>
      <c r="AF423" s="5">
        <f t="shared" si="119"/>
        <v>26.743991999999999</v>
      </c>
      <c r="AG423" s="223">
        <v>31057.499999999996</v>
      </c>
    </row>
    <row r="424" spans="1:33" x14ac:dyDescent="0.2">
      <c r="A424" s="245">
        <v>431</v>
      </c>
      <c r="B424" s="1" t="str">
        <f t="shared" si="106"/>
        <v>0.39, Header -Soybean 25' Flex</v>
      </c>
      <c r="C424" s="168">
        <v>0.39</v>
      </c>
      <c r="D424" s="164" t="s">
        <v>459</v>
      </c>
      <c r="E424" s="164" t="s">
        <v>346</v>
      </c>
      <c r="F424" s="164" t="s">
        <v>82</v>
      </c>
      <c r="G424" s="164" t="str">
        <f t="shared" si="107"/>
        <v>Header -Soybean 25' Flex</v>
      </c>
      <c r="H424" s="30">
        <v>33354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198.65044705680577</v>
      </c>
      <c r="W424" s="9">
        <f t="shared" si="110"/>
        <v>1.3243363137120385</v>
      </c>
      <c r="X424" s="8">
        <f t="shared" si="111"/>
        <v>1667.7</v>
      </c>
      <c r="Y424" s="7">
        <f t="shared" si="112"/>
        <v>11.118</v>
      </c>
      <c r="Z424" s="2">
        <f t="shared" si="113"/>
        <v>13341.6</v>
      </c>
      <c r="AA424" s="2">
        <f t="shared" si="114"/>
        <v>1667.7</v>
      </c>
      <c r="AB424" s="2">
        <f t="shared" si="115"/>
        <v>23347.8</v>
      </c>
      <c r="AC424" s="6">
        <f t="shared" si="116"/>
        <v>2101.3019999999997</v>
      </c>
      <c r="AD424" s="6">
        <f t="shared" si="117"/>
        <v>560.34720000000004</v>
      </c>
      <c r="AE424" s="6">
        <f t="shared" si="118"/>
        <v>4329.3491999999997</v>
      </c>
      <c r="AF424" s="5">
        <f t="shared" si="119"/>
        <v>28.862327999999998</v>
      </c>
      <c r="AG424" s="223">
        <v>33517.5</v>
      </c>
    </row>
    <row r="425" spans="1:33" x14ac:dyDescent="0.2">
      <c r="A425" s="245">
        <v>436</v>
      </c>
      <c r="B425" s="1" t="str">
        <f t="shared" si="106"/>
        <v>0.4, Header -Soybean 30' Flex</v>
      </c>
      <c r="C425" s="168">
        <v>0.4</v>
      </c>
      <c r="D425" s="164" t="s">
        <v>459</v>
      </c>
      <c r="E425" s="164" t="s">
        <v>346</v>
      </c>
      <c r="F425" s="164" t="s">
        <v>81</v>
      </c>
      <c r="G425" s="164" t="str">
        <f t="shared" si="107"/>
        <v>Header -Soybean 30' Flex</v>
      </c>
      <c r="H425" s="30">
        <v>31824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189.53804122851193</v>
      </c>
      <c r="W425" s="9">
        <f t="shared" si="110"/>
        <v>1.2635869415234129</v>
      </c>
      <c r="X425" s="8">
        <f t="shared" si="111"/>
        <v>1591.2</v>
      </c>
      <c r="Y425" s="7">
        <f t="shared" si="112"/>
        <v>10.608000000000001</v>
      </c>
      <c r="Z425" s="2">
        <f t="shared" si="113"/>
        <v>12729.6</v>
      </c>
      <c r="AA425" s="2">
        <f t="shared" si="114"/>
        <v>1591.2</v>
      </c>
      <c r="AB425" s="2">
        <f t="shared" si="115"/>
        <v>22276.799999999999</v>
      </c>
      <c r="AC425" s="6">
        <f t="shared" si="116"/>
        <v>2004.9119999999998</v>
      </c>
      <c r="AD425" s="6">
        <f t="shared" si="117"/>
        <v>534.64319999999998</v>
      </c>
      <c r="AE425" s="6">
        <f t="shared" si="118"/>
        <v>4130.7551999999996</v>
      </c>
      <c r="AF425" s="5">
        <f t="shared" si="119"/>
        <v>27.538367999999998</v>
      </c>
      <c r="AG425" s="223">
        <v>31979.999999999996</v>
      </c>
    </row>
    <row r="426" spans="1:33" x14ac:dyDescent="0.2">
      <c r="A426" s="245">
        <v>592</v>
      </c>
      <c r="B426" s="1" t="str">
        <f t="shared" si="106"/>
        <v>0.41, Header -Soybean 35' Flex</v>
      </c>
      <c r="C426" s="168">
        <v>0.41</v>
      </c>
      <c r="D426" s="164" t="s">
        <v>459</v>
      </c>
      <c r="E426" s="164" t="s">
        <v>346</v>
      </c>
      <c r="F426" s="164" t="s">
        <v>80</v>
      </c>
      <c r="G426" s="164" t="str">
        <f t="shared" si="107"/>
        <v>Header -Soybean 35' Flex</v>
      </c>
      <c r="H426" s="30">
        <v>44370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264.25976902052145</v>
      </c>
      <c r="W426" s="9">
        <f t="shared" si="110"/>
        <v>1.7617317934701431</v>
      </c>
      <c r="X426" s="8">
        <f t="shared" si="111"/>
        <v>2218.5</v>
      </c>
      <c r="Y426" s="7">
        <f t="shared" si="112"/>
        <v>14.79</v>
      </c>
      <c r="Z426" s="2">
        <f t="shared" si="113"/>
        <v>17748</v>
      </c>
      <c r="AA426" s="2">
        <f t="shared" si="114"/>
        <v>2218.5</v>
      </c>
      <c r="AB426" s="2">
        <f t="shared" si="115"/>
        <v>31059</v>
      </c>
      <c r="AC426" s="6">
        <f t="shared" si="116"/>
        <v>2795.31</v>
      </c>
      <c r="AD426" s="6">
        <f t="shared" si="117"/>
        <v>745.41600000000005</v>
      </c>
      <c r="AE426" s="6">
        <f t="shared" si="118"/>
        <v>5759.2259999999997</v>
      </c>
      <c r="AF426" s="5">
        <f t="shared" si="119"/>
        <v>38.394839999999995</v>
      </c>
      <c r="AG426" s="223">
        <v>44587.499999999993</v>
      </c>
    </row>
    <row r="427" spans="1:33" x14ac:dyDescent="0.2">
      <c r="A427" s="245">
        <v>424</v>
      </c>
      <c r="B427" s="1" t="str">
        <f t="shared" si="106"/>
        <v>0.42, Header Wheat/Sorghum 22' Rigid</v>
      </c>
      <c r="C427" s="168">
        <v>0.42</v>
      </c>
      <c r="D427" s="164" t="s">
        <v>459</v>
      </c>
      <c r="E427" s="164" t="s">
        <v>347</v>
      </c>
      <c r="F427" s="164" t="s">
        <v>79</v>
      </c>
      <c r="G427" s="164" t="str">
        <f t="shared" si="107"/>
        <v>Header Wheat/Sorghum 22' Rigid</v>
      </c>
      <c r="H427" s="30">
        <v>19890</v>
      </c>
      <c r="I427" s="1">
        <v>22</v>
      </c>
      <c r="J427" s="1">
        <v>3.5</v>
      </c>
      <c r="K427" s="1">
        <v>85</v>
      </c>
      <c r="L427" s="4">
        <f t="shared" si="105"/>
        <v>0.12605042016806722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507.8546068245721</v>
      </c>
      <c r="W427" s="9">
        <f t="shared" si="110"/>
        <v>1.6928486894152404</v>
      </c>
      <c r="X427" s="8">
        <f t="shared" si="111"/>
        <v>1491.75</v>
      </c>
      <c r="Y427" s="7">
        <f t="shared" si="112"/>
        <v>4.9725000000000001</v>
      </c>
      <c r="Z427" s="2">
        <f t="shared" si="113"/>
        <v>7956</v>
      </c>
      <c r="AA427" s="2">
        <f t="shared" si="114"/>
        <v>1491.75</v>
      </c>
      <c r="AB427" s="2">
        <f t="shared" si="115"/>
        <v>13923</v>
      </c>
      <c r="AC427" s="6">
        <f t="shared" si="116"/>
        <v>1253.07</v>
      </c>
      <c r="AD427" s="6">
        <f t="shared" si="117"/>
        <v>334.15199999999999</v>
      </c>
      <c r="AE427" s="6">
        <f t="shared" si="118"/>
        <v>3078.9719999999998</v>
      </c>
      <c r="AF427" s="5">
        <f t="shared" si="119"/>
        <v>10.26324</v>
      </c>
      <c r="AG427" s="223">
        <v>19987.5</v>
      </c>
    </row>
    <row r="428" spans="1:33" x14ac:dyDescent="0.2">
      <c r="A428" s="245">
        <v>429</v>
      </c>
      <c r="B428" s="1" t="str">
        <f t="shared" si="106"/>
        <v>0.43, Header Wheat/Sorghum 25' Rigid</v>
      </c>
      <c r="C428" s="168">
        <v>0.43</v>
      </c>
      <c r="D428" s="164" t="s">
        <v>459</v>
      </c>
      <c r="E428" s="164" t="s">
        <v>347</v>
      </c>
      <c r="F428" s="164" t="s">
        <v>78</v>
      </c>
      <c r="G428" s="164" t="str">
        <f t="shared" si="107"/>
        <v>Header Wheat/Sorghum 25' Rigid</v>
      </c>
      <c r="H428" s="30">
        <v>27846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710.9964495544009</v>
      </c>
      <c r="W428" s="9">
        <f t="shared" si="110"/>
        <v>2.3699881651813364</v>
      </c>
      <c r="X428" s="8">
        <f t="shared" si="111"/>
        <v>2088.4499999999998</v>
      </c>
      <c r="Y428" s="7">
        <f t="shared" si="112"/>
        <v>6.9614999999999991</v>
      </c>
      <c r="Z428" s="2">
        <f t="shared" si="113"/>
        <v>11138.4</v>
      </c>
      <c r="AA428" s="2">
        <f t="shared" si="114"/>
        <v>2088.4499999999998</v>
      </c>
      <c r="AB428" s="2">
        <f t="shared" si="115"/>
        <v>19492.2</v>
      </c>
      <c r="AC428" s="6">
        <f t="shared" si="116"/>
        <v>1754.298</v>
      </c>
      <c r="AD428" s="6">
        <f t="shared" si="117"/>
        <v>467.81280000000004</v>
      </c>
      <c r="AE428" s="6">
        <f t="shared" si="118"/>
        <v>4310.5607999999993</v>
      </c>
      <c r="AF428" s="5">
        <f t="shared" si="119"/>
        <v>14.368535999999997</v>
      </c>
      <c r="AG428" s="223">
        <v>27982.499999999996</v>
      </c>
    </row>
    <row r="429" spans="1:33" x14ac:dyDescent="0.2">
      <c r="A429" s="245">
        <v>434</v>
      </c>
      <c r="B429" s="1" t="str">
        <f t="shared" si="106"/>
        <v>0.44, Header Wheat/Sorghum 30' Rigid</v>
      </c>
      <c r="C429" s="168">
        <v>0.44</v>
      </c>
      <c r="D429" s="164" t="s">
        <v>459</v>
      </c>
      <c r="E429" s="164" t="s">
        <v>347</v>
      </c>
      <c r="F429" s="164" t="s">
        <v>77</v>
      </c>
      <c r="G429" s="164" t="str">
        <f t="shared" si="107"/>
        <v>Header Wheat/Sorghum 30' Rigid</v>
      </c>
      <c r="H429" s="30">
        <v>30906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789.127927527412</v>
      </c>
      <c r="W429" s="9">
        <f t="shared" si="110"/>
        <v>2.6304264250913731</v>
      </c>
      <c r="X429" s="8">
        <f t="shared" si="111"/>
        <v>2317.9499999999998</v>
      </c>
      <c r="Y429" s="7">
        <f t="shared" si="112"/>
        <v>7.7264999999999997</v>
      </c>
      <c r="Z429" s="2">
        <f t="shared" si="113"/>
        <v>12362.4</v>
      </c>
      <c r="AA429" s="2">
        <f t="shared" si="114"/>
        <v>2317.9499999999998</v>
      </c>
      <c r="AB429" s="2">
        <f t="shared" si="115"/>
        <v>21634.2</v>
      </c>
      <c r="AC429" s="6">
        <f t="shared" si="116"/>
        <v>1947.078</v>
      </c>
      <c r="AD429" s="6">
        <f t="shared" si="117"/>
        <v>519.22080000000005</v>
      </c>
      <c r="AE429" s="6">
        <f t="shared" si="118"/>
        <v>4784.2488000000003</v>
      </c>
      <c r="AF429" s="5">
        <f t="shared" si="119"/>
        <v>15.947496000000001</v>
      </c>
      <c r="AG429" s="223">
        <v>31057.499999999996</v>
      </c>
    </row>
    <row r="430" spans="1:33" x14ac:dyDescent="0.2">
      <c r="A430" s="245">
        <v>276</v>
      </c>
      <c r="B430" s="1" t="str">
        <f t="shared" si="106"/>
        <v>0.45, Module Builder 4R-30 (250)</v>
      </c>
      <c r="C430" s="168">
        <v>0.45</v>
      </c>
      <c r="D430" s="164" t="s">
        <v>459</v>
      </c>
      <c r="E430" s="164" t="s">
        <v>348</v>
      </c>
      <c r="F430" s="164" t="s">
        <v>227</v>
      </c>
      <c r="G430" s="164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  <c r="AG430" s="223">
        <v>35567.5</v>
      </c>
    </row>
    <row r="431" spans="1:33" x14ac:dyDescent="0.2">
      <c r="A431" s="245">
        <v>469</v>
      </c>
      <c r="B431" s="1" t="str">
        <f t="shared" si="106"/>
        <v>0.46, Module Builder 4R-30 (325)</v>
      </c>
      <c r="C431" s="168">
        <v>0.46</v>
      </c>
      <c r="D431" s="164" t="s">
        <v>459</v>
      </c>
      <c r="E431" s="164" t="s">
        <v>348</v>
      </c>
      <c r="F431" s="164" t="s">
        <v>356</v>
      </c>
      <c r="G431" s="164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  <c r="AG431" s="223">
        <v>35567.5</v>
      </c>
    </row>
    <row r="432" spans="1:33" x14ac:dyDescent="0.2">
      <c r="A432" s="245">
        <v>124</v>
      </c>
      <c r="B432" s="1" t="str">
        <f t="shared" si="106"/>
        <v>0.47, Module Builder 4R-36 (255)</v>
      </c>
      <c r="C432" s="168">
        <v>0.47</v>
      </c>
      <c r="D432" s="164" t="s">
        <v>459</v>
      </c>
      <c r="E432" s="164" t="s">
        <v>348</v>
      </c>
      <c r="F432" s="164" t="s">
        <v>230</v>
      </c>
      <c r="G432" s="164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  <c r="AG432" s="223">
        <v>35567.5</v>
      </c>
    </row>
    <row r="433" spans="1:33" x14ac:dyDescent="0.2">
      <c r="A433" s="245">
        <v>277</v>
      </c>
      <c r="B433" s="1" t="str">
        <f t="shared" si="106"/>
        <v>0.48, Module Builder 4R-36 (325)</v>
      </c>
      <c r="C433" s="168">
        <v>0.48</v>
      </c>
      <c r="D433" s="164" t="s">
        <v>459</v>
      </c>
      <c r="E433" s="164" t="s">
        <v>348</v>
      </c>
      <c r="F433" s="164" t="s">
        <v>358</v>
      </c>
      <c r="G433" s="164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  <c r="AG433" s="223">
        <v>35567.5</v>
      </c>
    </row>
    <row r="434" spans="1:33" x14ac:dyDescent="0.2">
      <c r="A434" s="245">
        <v>278</v>
      </c>
      <c r="B434" s="1" t="str">
        <f t="shared" si="106"/>
        <v>0.49, Module Builder 5R-30 (255)</v>
      </c>
      <c r="C434" s="168">
        <v>0.49</v>
      </c>
      <c r="D434" s="164" t="s">
        <v>459</v>
      </c>
      <c r="E434" s="164" t="s">
        <v>348</v>
      </c>
      <c r="F434" s="164" t="s">
        <v>357</v>
      </c>
      <c r="G434" s="164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  <c r="AG434" s="223">
        <v>35567.5</v>
      </c>
    </row>
    <row r="435" spans="1:33" x14ac:dyDescent="0.2">
      <c r="A435" s="245">
        <v>470</v>
      </c>
      <c r="B435" s="1" t="str">
        <f t="shared" si="106"/>
        <v>0.5, Module Builder 6R-30 (325)</v>
      </c>
      <c r="C435" s="168">
        <v>0.5</v>
      </c>
      <c r="D435" s="164" t="s">
        <v>459</v>
      </c>
      <c r="E435" s="164" t="s">
        <v>348</v>
      </c>
      <c r="F435" s="164" t="s">
        <v>359</v>
      </c>
      <c r="G435" s="164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  <c r="AG435" s="223">
        <v>35567.5</v>
      </c>
    </row>
    <row r="436" spans="1:33" x14ac:dyDescent="0.2">
      <c r="A436" s="245">
        <v>279</v>
      </c>
      <c r="B436" s="1" t="str">
        <f t="shared" si="106"/>
        <v>0.51, Module Builder 5R-36 (250)</v>
      </c>
      <c r="C436" s="168">
        <v>0.51</v>
      </c>
      <c r="D436" s="164" t="s">
        <v>459</v>
      </c>
      <c r="E436" s="164" t="s">
        <v>348</v>
      </c>
      <c r="F436" s="164" t="s">
        <v>233</v>
      </c>
      <c r="G436" s="164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  <c r="AG436" s="223">
        <v>35567.5</v>
      </c>
    </row>
    <row r="437" spans="1:33" x14ac:dyDescent="0.2">
      <c r="A437" s="245">
        <v>251</v>
      </c>
      <c r="B437" s="1" t="str">
        <f t="shared" si="106"/>
        <v>0.52, Module Builder 4R2x1 (350)</v>
      </c>
      <c r="C437" s="168">
        <v>0.52</v>
      </c>
      <c r="D437" s="164" t="s">
        <v>459</v>
      </c>
      <c r="E437" s="164" t="s">
        <v>348</v>
      </c>
      <c r="F437" s="164" t="s">
        <v>234</v>
      </c>
      <c r="G437" s="164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  <c r="AG437" s="223">
        <v>35567.5</v>
      </c>
    </row>
    <row r="438" spans="1:33" x14ac:dyDescent="0.2">
      <c r="A438" s="245">
        <v>249</v>
      </c>
      <c r="B438" s="1" t="str">
        <f t="shared" si="106"/>
        <v>0.53, Module Builder 6R-36 (330)</v>
      </c>
      <c r="C438" s="168">
        <v>0.53</v>
      </c>
      <c r="D438" s="164" t="s">
        <v>459</v>
      </c>
      <c r="E438" s="164" t="s">
        <v>348</v>
      </c>
      <c r="F438" s="164" t="s">
        <v>360</v>
      </c>
      <c r="G438" s="164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  <c r="AG438" s="223">
        <v>35567.5</v>
      </c>
    </row>
    <row r="439" spans="1:33" x14ac:dyDescent="0.2">
      <c r="A439" s="245">
        <v>498</v>
      </c>
      <c r="B439" s="1" t="str">
        <f t="shared" si="106"/>
        <v>0.54, Module Builder-Strip 4R-36</v>
      </c>
      <c r="C439" s="168">
        <v>0.54</v>
      </c>
      <c r="D439" s="164" t="s">
        <v>459</v>
      </c>
      <c r="E439" s="164" t="s">
        <v>349</v>
      </c>
      <c r="F439" s="164" t="s">
        <v>73</v>
      </c>
      <c r="G439" s="164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  <c r="AG439" s="223">
        <v>35567.5</v>
      </c>
    </row>
    <row r="440" spans="1:33" x14ac:dyDescent="0.2">
      <c r="A440" s="245">
        <v>500</v>
      </c>
      <c r="B440" s="1" t="str">
        <f t="shared" si="106"/>
        <v>0.55, Module Builder-Strip 4R-36</v>
      </c>
      <c r="C440" s="168">
        <v>0.55000000000000004</v>
      </c>
      <c r="D440" s="164" t="s">
        <v>459</v>
      </c>
      <c r="E440" s="164" t="s">
        <v>349</v>
      </c>
      <c r="F440" s="164" t="s">
        <v>73</v>
      </c>
      <c r="G440" s="164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  <c r="AG440" s="223">
        <v>35567.5</v>
      </c>
    </row>
    <row r="441" spans="1:33" x14ac:dyDescent="0.2">
      <c r="A441" s="245">
        <v>502</v>
      </c>
      <c r="B441" s="1" t="str">
        <f t="shared" si="106"/>
        <v>0.56, Module Builder-Strip 5R-30</v>
      </c>
      <c r="C441" s="168">
        <v>0.56000000000000005</v>
      </c>
      <c r="D441" s="164" t="s">
        <v>459</v>
      </c>
      <c r="E441" s="164" t="s">
        <v>349</v>
      </c>
      <c r="F441" s="164" t="s">
        <v>72</v>
      </c>
      <c r="G441" s="164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  <c r="AG441" s="223">
        <v>35567.5</v>
      </c>
    </row>
    <row r="442" spans="1:33" x14ac:dyDescent="0.2">
      <c r="A442" s="245">
        <v>253</v>
      </c>
      <c r="B442" s="1" t="str">
        <f t="shared" si="106"/>
        <v>0.57, Module Builder-Strip 13' Bcast</v>
      </c>
      <c r="C442" s="168">
        <v>0.56999999999999995</v>
      </c>
      <c r="D442" s="164" t="s">
        <v>459</v>
      </c>
      <c r="E442" s="164" t="s">
        <v>349</v>
      </c>
      <c r="F442" s="164" t="s">
        <v>71</v>
      </c>
      <c r="G442" s="164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  <c r="AG442" s="223">
        <v>35567.5</v>
      </c>
    </row>
    <row r="443" spans="1:33" x14ac:dyDescent="0.2">
      <c r="A443" s="245">
        <v>499</v>
      </c>
      <c r="B443" s="1" t="str">
        <f t="shared" si="106"/>
        <v>0.58, Module Builder-Strip 4R-30 2x1</v>
      </c>
      <c r="C443" s="168">
        <v>0.57999999999999996</v>
      </c>
      <c r="D443" s="164" t="s">
        <v>459</v>
      </c>
      <c r="E443" s="164" t="s">
        <v>349</v>
      </c>
      <c r="F443" s="164" t="s">
        <v>70</v>
      </c>
      <c r="G443" s="164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  <c r="AG443" s="223">
        <v>35567.5</v>
      </c>
    </row>
    <row r="444" spans="1:33" x14ac:dyDescent="0.2">
      <c r="A444" s="245">
        <v>504</v>
      </c>
      <c r="B444" s="1" t="str">
        <f t="shared" si="106"/>
        <v>0.59, Module Builder-Strip 6R-30</v>
      </c>
      <c r="C444" s="168">
        <v>0.59</v>
      </c>
      <c r="D444" s="164" t="s">
        <v>459</v>
      </c>
      <c r="E444" s="164" t="s">
        <v>349</v>
      </c>
      <c r="F444" s="164" t="s">
        <v>47</v>
      </c>
      <c r="G444" s="164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  <c r="AG444" s="223">
        <v>35567.5</v>
      </c>
    </row>
    <row r="445" spans="1:33" x14ac:dyDescent="0.2">
      <c r="A445" s="245">
        <v>503</v>
      </c>
      <c r="B445" s="1" t="str">
        <f t="shared" si="106"/>
        <v>0.6, Module Builder-Strip 5R-36</v>
      </c>
      <c r="C445" s="168">
        <v>0.6</v>
      </c>
      <c r="D445" s="164" t="s">
        <v>459</v>
      </c>
      <c r="E445" s="164" t="s">
        <v>349</v>
      </c>
      <c r="F445" s="164" t="s">
        <v>207</v>
      </c>
      <c r="G445" s="164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  <c r="AG445" s="223">
        <v>35567.5</v>
      </c>
    </row>
    <row r="446" spans="1:33" x14ac:dyDescent="0.2">
      <c r="A446" s="245">
        <v>496</v>
      </c>
      <c r="B446" s="1" t="str">
        <f t="shared" si="106"/>
        <v>0.61, Module Builder-Strip 16' Bcast</v>
      </c>
      <c r="C446" s="168">
        <v>0.61</v>
      </c>
      <c r="D446" s="164" t="s">
        <v>459</v>
      </c>
      <c r="E446" s="164" t="s">
        <v>349</v>
      </c>
      <c r="F446" s="164" t="s">
        <v>69</v>
      </c>
      <c r="G446" s="164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  <c r="AG446" s="223">
        <v>35567.5</v>
      </c>
    </row>
    <row r="447" spans="1:33" x14ac:dyDescent="0.2">
      <c r="A447" s="245">
        <v>501</v>
      </c>
      <c r="B447" s="1" t="str">
        <f t="shared" si="106"/>
        <v>0.62, Module Builder-Strip 4R-36 2x1</v>
      </c>
      <c r="C447" s="168">
        <v>0.62</v>
      </c>
      <c r="D447" s="164" t="s">
        <v>459</v>
      </c>
      <c r="E447" s="164" t="s">
        <v>349</v>
      </c>
      <c r="F447" s="164" t="s">
        <v>208</v>
      </c>
      <c r="G447" s="164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  <c r="AG447" s="223">
        <v>35567.5</v>
      </c>
    </row>
    <row r="448" spans="1:33" x14ac:dyDescent="0.2">
      <c r="A448" s="245">
        <v>682</v>
      </c>
      <c r="B448" s="1" t="str">
        <f t="shared" si="106"/>
        <v>0.63, Module Builder-Strip 6R-36</v>
      </c>
      <c r="C448" s="168">
        <v>0.63</v>
      </c>
      <c r="D448" s="164" t="s">
        <v>459</v>
      </c>
      <c r="E448" s="164" t="s">
        <v>349</v>
      </c>
      <c r="F448" s="164" t="s">
        <v>206</v>
      </c>
      <c r="G448" s="164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  <c r="AG448" s="223">
        <v>35567.5</v>
      </c>
    </row>
    <row r="449" spans="1:33" x14ac:dyDescent="0.2">
      <c r="A449" s="245">
        <v>497</v>
      </c>
      <c r="B449" s="1" t="str">
        <f t="shared" si="106"/>
        <v>0.64, Module Builder-Strip 19' Bcast</v>
      </c>
      <c r="C449" s="168">
        <v>0.64</v>
      </c>
      <c r="D449" s="164" t="s">
        <v>459</v>
      </c>
      <c r="E449" s="164" t="s">
        <v>349</v>
      </c>
      <c r="F449" s="164" t="s">
        <v>68</v>
      </c>
      <c r="G449" s="164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  <c r="AG449" s="223">
        <v>35567.5</v>
      </c>
    </row>
    <row r="450" spans="1:33" x14ac:dyDescent="0.2">
      <c r="A450" s="245">
        <v>684</v>
      </c>
      <c r="B450" s="1" t="str">
        <f t="shared" ref="B450:B470" si="121">CONCATENATE(C450,D450,E450,F450)</f>
        <v>0.65, Module Builder-Strip 8R-36</v>
      </c>
      <c r="C450" s="168">
        <v>0.65</v>
      </c>
      <c r="D450" s="164" t="s">
        <v>459</v>
      </c>
      <c r="E450" s="164" t="s">
        <v>349</v>
      </c>
      <c r="F450" s="164" t="s">
        <v>205</v>
      </c>
      <c r="G450" s="164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  <c r="AG450" s="223">
        <v>35567.5</v>
      </c>
    </row>
    <row r="451" spans="1:33" x14ac:dyDescent="0.2">
      <c r="A451" s="245">
        <v>525</v>
      </c>
      <c r="B451" s="1" t="str">
        <f t="shared" si="121"/>
        <v>0.66, Peanut Cond. &amp; Lifter 6-Row</v>
      </c>
      <c r="C451" s="168">
        <v>0.66</v>
      </c>
      <c r="D451" s="164" t="s">
        <v>459</v>
      </c>
      <c r="E451" s="164" t="s">
        <v>350</v>
      </c>
      <c r="F451" s="164" t="s">
        <v>46</v>
      </c>
      <c r="G451" s="164" t="str">
        <f t="shared" si="122"/>
        <v>Peanut Cond. &amp; Lifter 6-Row</v>
      </c>
      <c r="H451" s="30">
        <v>12852</v>
      </c>
      <c r="I451" s="222">
        <v>18</v>
      </c>
      <c r="J451" s="222">
        <v>3.5</v>
      </c>
      <c r="K451" s="222">
        <v>70</v>
      </c>
      <c r="L451" s="224">
        <f t="shared" si="120"/>
        <v>0.18707482993197277</v>
      </c>
      <c r="M451" s="223">
        <v>30</v>
      </c>
      <c r="N451" s="223">
        <v>80</v>
      </c>
      <c r="O451" s="223">
        <v>12</v>
      </c>
      <c r="P451" s="223">
        <v>100</v>
      </c>
      <c r="Q451" s="223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138.14478061074587</v>
      </c>
      <c r="W451" s="9">
        <f t="shared" si="125"/>
        <v>1.3814478061074587</v>
      </c>
      <c r="X451" s="8">
        <f t="shared" si="126"/>
        <v>856.80000000000007</v>
      </c>
      <c r="Y451" s="7">
        <f t="shared" si="127"/>
        <v>8.5680000000000014</v>
      </c>
      <c r="Z451" s="2">
        <f t="shared" si="128"/>
        <v>3855.6</v>
      </c>
      <c r="AA451" s="2">
        <f t="shared" si="129"/>
        <v>749.69999999999993</v>
      </c>
      <c r="AB451" s="2">
        <f t="shared" si="130"/>
        <v>8353.7999999999993</v>
      </c>
      <c r="AC451" s="6">
        <f t="shared" si="131"/>
        <v>751.84199999999987</v>
      </c>
      <c r="AD451" s="6">
        <f t="shared" si="132"/>
        <v>200.49119999999999</v>
      </c>
      <c r="AE451" s="6">
        <f t="shared" si="133"/>
        <v>1702.0331999999999</v>
      </c>
      <c r="AF451" s="5">
        <f t="shared" si="134"/>
        <v>17.020332</v>
      </c>
      <c r="AG451" s="223">
        <v>12914.999999999998</v>
      </c>
    </row>
    <row r="452" spans="1:33" x14ac:dyDescent="0.2">
      <c r="A452" s="245">
        <v>523</v>
      </c>
      <c r="B452" s="1" t="str">
        <f t="shared" si="121"/>
        <v>0.67, Peanut Conditioner 6-Row</v>
      </c>
      <c r="C452" s="168">
        <v>0.67</v>
      </c>
      <c r="D452" s="164" t="s">
        <v>459</v>
      </c>
      <c r="E452" s="164" t="s">
        <v>351</v>
      </c>
      <c r="F452" s="164" t="s">
        <v>46</v>
      </c>
      <c r="G452" s="164" t="str">
        <f t="shared" si="122"/>
        <v>Peanut Conditioner 6-Row</v>
      </c>
      <c r="H452" s="30">
        <v>14688</v>
      </c>
      <c r="I452" s="222">
        <v>18</v>
      </c>
      <c r="J452" s="222">
        <v>3.5</v>
      </c>
      <c r="K452" s="222">
        <v>70</v>
      </c>
      <c r="L452" s="224">
        <f t="shared" si="120"/>
        <v>0.18707482993197277</v>
      </c>
      <c r="M452" s="223">
        <v>30</v>
      </c>
      <c r="N452" s="223">
        <v>80</v>
      </c>
      <c r="O452" s="223">
        <v>12</v>
      </c>
      <c r="P452" s="223">
        <v>100</v>
      </c>
      <c r="Q452" s="223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157.87974926942383</v>
      </c>
      <c r="W452" s="9">
        <f t="shared" si="125"/>
        <v>1.5787974926942383</v>
      </c>
      <c r="X452" s="8">
        <f t="shared" si="126"/>
        <v>979.19999999999993</v>
      </c>
      <c r="Y452" s="7">
        <f t="shared" si="127"/>
        <v>9.7919999999999998</v>
      </c>
      <c r="Z452" s="2">
        <f t="shared" si="128"/>
        <v>4406.3999999999996</v>
      </c>
      <c r="AA452" s="2">
        <f t="shared" si="129"/>
        <v>856.80000000000007</v>
      </c>
      <c r="AB452" s="2">
        <f t="shared" si="130"/>
        <v>9547.2000000000007</v>
      </c>
      <c r="AC452" s="6">
        <f t="shared" si="131"/>
        <v>859.24800000000005</v>
      </c>
      <c r="AD452" s="6">
        <f t="shared" si="132"/>
        <v>229.13280000000003</v>
      </c>
      <c r="AE452" s="6">
        <f t="shared" si="133"/>
        <v>1945.1808000000003</v>
      </c>
      <c r="AF452" s="5">
        <f t="shared" si="134"/>
        <v>19.451808000000003</v>
      </c>
      <c r="AG452" s="223">
        <v>14759.999999999998</v>
      </c>
    </row>
    <row r="453" spans="1:33" x14ac:dyDescent="0.2">
      <c r="A453" s="245">
        <v>570</v>
      </c>
      <c r="B453" s="1" t="str">
        <f t="shared" si="121"/>
        <v>0.68, Peanut Dig/Inverter 4R-30</v>
      </c>
      <c r="C453" s="168">
        <v>0.68</v>
      </c>
      <c r="D453" s="164" t="s">
        <v>459</v>
      </c>
      <c r="E453" s="164" t="s">
        <v>457</v>
      </c>
      <c r="F453" s="164" t="s">
        <v>0</v>
      </c>
      <c r="G453" s="164" t="str">
        <f t="shared" si="122"/>
        <v>Peanut Dig/Inverter 4R-30</v>
      </c>
      <c r="H453" s="30">
        <v>26622</v>
      </c>
      <c r="I453" s="222">
        <v>10</v>
      </c>
      <c r="J453" s="222">
        <v>3.5</v>
      </c>
      <c r="K453" s="222">
        <v>70</v>
      </c>
      <c r="L453" s="224">
        <f t="shared" si="120"/>
        <v>0.33673469387755101</v>
      </c>
      <c r="M453" s="223">
        <v>30</v>
      </c>
      <c r="N453" s="223">
        <v>80</v>
      </c>
      <c r="O453" s="223">
        <v>12</v>
      </c>
      <c r="P453" s="223">
        <v>100</v>
      </c>
      <c r="Q453" s="223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423.93636377900845</v>
      </c>
      <c r="W453" s="9">
        <f t="shared" si="125"/>
        <v>4.2393636377900847</v>
      </c>
      <c r="X453" s="8">
        <f t="shared" si="126"/>
        <v>1774.8</v>
      </c>
      <c r="Y453" s="7">
        <f t="shared" si="127"/>
        <v>17.748000000000001</v>
      </c>
      <c r="Z453" s="2">
        <f t="shared" si="128"/>
        <v>7986.6</v>
      </c>
      <c r="AA453" s="2">
        <f t="shared" si="129"/>
        <v>1552.95</v>
      </c>
      <c r="AB453" s="2">
        <f t="shared" si="130"/>
        <v>17304.3</v>
      </c>
      <c r="AC453" s="6">
        <f t="shared" si="131"/>
        <v>1557.3869999999999</v>
      </c>
      <c r="AD453" s="6">
        <f t="shared" si="132"/>
        <v>415.3032</v>
      </c>
      <c r="AE453" s="6">
        <f t="shared" si="133"/>
        <v>3525.6401999999998</v>
      </c>
      <c r="AF453" s="5">
        <f t="shared" si="134"/>
        <v>35.256402000000001</v>
      </c>
      <c r="AG453" s="223">
        <v>26752.499999999996</v>
      </c>
    </row>
    <row r="454" spans="1:33" x14ac:dyDescent="0.2">
      <c r="A454" s="245">
        <v>520</v>
      </c>
      <c r="B454" s="1" t="str">
        <f t="shared" si="121"/>
        <v>0.69, Peanut Dig/Inverter 4R-36</v>
      </c>
      <c r="C454" s="168">
        <v>0.69</v>
      </c>
      <c r="D454" s="164" t="s">
        <v>459</v>
      </c>
      <c r="E454" s="164" t="s">
        <v>457</v>
      </c>
      <c r="F454" s="164" t="s">
        <v>73</v>
      </c>
      <c r="G454" s="164" t="str">
        <f t="shared" si="122"/>
        <v>Peanut Dig/Inverter 4R-36</v>
      </c>
      <c r="H454" s="30">
        <v>26622</v>
      </c>
      <c r="I454" s="222">
        <v>12</v>
      </c>
      <c r="J454" s="222">
        <v>3.5</v>
      </c>
      <c r="K454" s="222">
        <v>70</v>
      </c>
      <c r="L454" s="224">
        <f t="shared" si="120"/>
        <v>0.28061224489795922</v>
      </c>
      <c r="M454" s="223">
        <v>30</v>
      </c>
      <c r="N454" s="223">
        <v>80</v>
      </c>
      <c r="O454" s="223">
        <v>12</v>
      </c>
      <c r="P454" s="223">
        <v>100</v>
      </c>
      <c r="Q454" s="223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423.93636377900845</v>
      </c>
      <c r="W454" s="9">
        <f t="shared" si="125"/>
        <v>4.2393636377900847</v>
      </c>
      <c r="X454" s="8">
        <f t="shared" si="126"/>
        <v>1774.8</v>
      </c>
      <c r="Y454" s="7">
        <f t="shared" si="127"/>
        <v>17.748000000000001</v>
      </c>
      <c r="Z454" s="2">
        <f t="shared" si="128"/>
        <v>7986.6</v>
      </c>
      <c r="AA454" s="2">
        <f t="shared" si="129"/>
        <v>1552.95</v>
      </c>
      <c r="AB454" s="2">
        <f t="shared" si="130"/>
        <v>17304.3</v>
      </c>
      <c r="AC454" s="6">
        <f t="shared" si="131"/>
        <v>1557.3869999999999</v>
      </c>
      <c r="AD454" s="6">
        <f t="shared" si="132"/>
        <v>415.3032</v>
      </c>
      <c r="AE454" s="6">
        <f t="shared" si="133"/>
        <v>3525.6401999999998</v>
      </c>
      <c r="AF454" s="5">
        <f t="shared" si="134"/>
        <v>35.256402000000001</v>
      </c>
      <c r="AG454" s="223">
        <v>26752.499999999996</v>
      </c>
    </row>
    <row r="455" spans="1:33" x14ac:dyDescent="0.2">
      <c r="A455" s="245">
        <v>521</v>
      </c>
      <c r="B455" s="1" t="str">
        <f t="shared" si="121"/>
        <v>0.7, Peanut Dig/Inverter 6R-36</v>
      </c>
      <c r="C455" s="168">
        <v>0.7</v>
      </c>
      <c r="D455" s="164" t="s">
        <v>459</v>
      </c>
      <c r="E455" s="164" t="s">
        <v>457</v>
      </c>
      <c r="F455" s="164" t="s">
        <v>206</v>
      </c>
      <c r="G455" s="164" t="str">
        <f t="shared" si="122"/>
        <v>Peanut Dig/Inverter 6R-36</v>
      </c>
      <c r="H455" s="30">
        <v>39168</v>
      </c>
      <c r="I455" s="222">
        <v>18</v>
      </c>
      <c r="J455" s="222">
        <v>3.5</v>
      </c>
      <c r="K455" s="222">
        <v>70</v>
      </c>
      <c r="L455" s="224">
        <f t="shared" si="120"/>
        <v>0.18707482993197277</v>
      </c>
      <c r="M455" s="223">
        <v>30</v>
      </c>
      <c r="N455" s="223">
        <v>80</v>
      </c>
      <c r="O455" s="223">
        <v>12</v>
      </c>
      <c r="P455" s="223">
        <v>100</v>
      </c>
      <c r="Q455" s="223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623.72246624957563</v>
      </c>
      <c r="W455" s="9">
        <f t="shared" si="125"/>
        <v>6.2372246624957564</v>
      </c>
      <c r="X455" s="8">
        <f t="shared" si="126"/>
        <v>2611.2000000000003</v>
      </c>
      <c r="Y455" s="7">
        <f t="shared" si="127"/>
        <v>26.112000000000002</v>
      </c>
      <c r="Z455" s="2">
        <f t="shared" si="128"/>
        <v>11750.4</v>
      </c>
      <c r="AA455" s="2">
        <f t="shared" si="129"/>
        <v>2284.7999999999997</v>
      </c>
      <c r="AB455" s="2">
        <f t="shared" si="130"/>
        <v>25459.200000000001</v>
      </c>
      <c r="AC455" s="6">
        <f t="shared" si="131"/>
        <v>2291.328</v>
      </c>
      <c r="AD455" s="6">
        <f t="shared" si="132"/>
        <v>611.02080000000001</v>
      </c>
      <c r="AE455" s="6">
        <f t="shared" si="133"/>
        <v>5187.1487999999999</v>
      </c>
      <c r="AF455" s="5">
        <f t="shared" si="134"/>
        <v>51.871487999999999</v>
      </c>
      <c r="AG455" s="223">
        <v>39360</v>
      </c>
    </row>
    <row r="456" spans="1:33" x14ac:dyDescent="0.2">
      <c r="A456" s="245">
        <v>526</v>
      </c>
      <c r="B456" s="1" t="str">
        <f t="shared" si="121"/>
        <v>0.71, Peanut Dump Cart 6-Row</v>
      </c>
      <c r="C456" s="168">
        <v>0.71</v>
      </c>
      <c r="D456" s="164" t="s">
        <v>459</v>
      </c>
      <c r="E456" s="164" t="s">
        <v>352</v>
      </c>
      <c r="F456" s="164" t="s">
        <v>46</v>
      </c>
      <c r="G456" s="164" t="str">
        <f t="shared" si="122"/>
        <v>Peanut Dump Cart 6-Row</v>
      </c>
      <c r="H456" s="30">
        <v>46410</v>
      </c>
      <c r="I456" s="222">
        <v>18</v>
      </c>
      <c r="J456" s="222">
        <v>2.5</v>
      </c>
      <c r="K456" s="222">
        <v>60</v>
      </c>
      <c r="L456" s="224">
        <f t="shared" si="120"/>
        <v>0.30555555555555552</v>
      </c>
      <c r="M456" s="223">
        <v>30</v>
      </c>
      <c r="N456" s="223">
        <v>50</v>
      </c>
      <c r="O456" s="223">
        <v>10</v>
      </c>
      <c r="P456" s="223">
        <v>150</v>
      </c>
      <c r="Q456" s="223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1303.7650130360666</v>
      </c>
      <c r="W456" s="9">
        <f t="shared" si="125"/>
        <v>8.691766753573777</v>
      </c>
      <c r="X456" s="8">
        <f t="shared" si="126"/>
        <v>2320.5</v>
      </c>
      <c r="Y456" s="7">
        <f t="shared" si="127"/>
        <v>15.47</v>
      </c>
      <c r="Z456" s="2">
        <f t="shared" si="128"/>
        <v>13923</v>
      </c>
      <c r="AA456" s="2">
        <f t="shared" si="129"/>
        <v>3248.7</v>
      </c>
      <c r="AB456" s="2">
        <f t="shared" si="130"/>
        <v>30166.5</v>
      </c>
      <c r="AC456" s="6">
        <f t="shared" si="131"/>
        <v>2714.9849999999997</v>
      </c>
      <c r="AD456" s="6">
        <f t="shared" si="132"/>
        <v>723.99599999999998</v>
      </c>
      <c r="AE456" s="6">
        <f t="shared" si="133"/>
        <v>6687.6809999999996</v>
      </c>
      <c r="AF456" s="5">
        <f t="shared" si="134"/>
        <v>44.584539999999997</v>
      </c>
      <c r="AG456" s="223">
        <v>46637.499999999993</v>
      </c>
    </row>
    <row r="457" spans="1:33" x14ac:dyDescent="0.2">
      <c r="A457" s="245">
        <v>524</v>
      </c>
      <c r="B457" s="1" t="str">
        <f t="shared" si="121"/>
        <v>0.72, Peanut Lifter 6-Row</v>
      </c>
      <c r="C457" s="168">
        <v>0.72</v>
      </c>
      <c r="D457" s="164" t="s">
        <v>459</v>
      </c>
      <c r="E457" s="164" t="s">
        <v>353</v>
      </c>
      <c r="F457" s="164" t="s">
        <v>46</v>
      </c>
      <c r="G457" s="164" t="str">
        <f t="shared" si="122"/>
        <v>Peanut Lifter 6-Row</v>
      </c>
      <c r="H457" s="30">
        <v>6211.8</v>
      </c>
      <c r="I457" s="222">
        <v>18</v>
      </c>
      <c r="J457" s="222">
        <v>3.5</v>
      </c>
      <c r="K457" s="222">
        <v>60</v>
      </c>
      <c r="L457" s="224">
        <f t="shared" si="120"/>
        <v>0.21825396825396828</v>
      </c>
      <c r="M457" s="223">
        <v>30</v>
      </c>
      <c r="N457" s="223">
        <v>80</v>
      </c>
      <c r="O457" s="223">
        <v>12</v>
      </c>
      <c r="P457" s="223">
        <v>100</v>
      </c>
      <c r="Q457" s="223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98.918484881768634</v>
      </c>
      <c r="W457" s="9">
        <f t="shared" si="125"/>
        <v>0.98918484881768631</v>
      </c>
      <c r="X457" s="8">
        <f t="shared" si="126"/>
        <v>414.11999999999995</v>
      </c>
      <c r="Y457" s="7">
        <f t="shared" si="127"/>
        <v>4.1411999999999995</v>
      </c>
      <c r="Z457" s="2">
        <f t="shared" si="128"/>
        <v>1863.54</v>
      </c>
      <c r="AA457" s="2">
        <f t="shared" si="129"/>
        <v>362.35500000000002</v>
      </c>
      <c r="AB457" s="2">
        <f t="shared" si="130"/>
        <v>4037.67</v>
      </c>
      <c r="AC457" s="6">
        <f t="shared" si="131"/>
        <v>363.39029999999997</v>
      </c>
      <c r="AD457" s="6">
        <f t="shared" si="132"/>
        <v>96.904080000000008</v>
      </c>
      <c r="AE457" s="6">
        <f t="shared" si="133"/>
        <v>822.64938000000006</v>
      </c>
      <c r="AF457" s="5">
        <f t="shared" si="134"/>
        <v>8.2264938000000001</v>
      </c>
      <c r="AG457" s="223">
        <v>6242.2499999999991</v>
      </c>
    </row>
    <row r="458" spans="1:33" x14ac:dyDescent="0.2">
      <c r="A458" s="245"/>
      <c r="B458" s="1" t="str">
        <f t="shared" si="121"/>
        <v>0.73, Peanut Wagon 14'</v>
      </c>
      <c r="C458" s="168">
        <v>0.73</v>
      </c>
      <c r="D458" s="164" t="s">
        <v>459</v>
      </c>
      <c r="E458" s="164" t="s">
        <v>454</v>
      </c>
      <c r="F458" s="164" t="s">
        <v>12</v>
      </c>
      <c r="G458" s="164" t="str">
        <f t="shared" si="122"/>
        <v>Peanut Wagon 14'</v>
      </c>
      <c r="H458" s="30">
        <v>4692</v>
      </c>
      <c r="I458" s="222">
        <v>6</v>
      </c>
      <c r="J458" s="222">
        <v>2.5</v>
      </c>
      <c r="K458" s="222">
        <v>60</v>
      </c>
      <c r="L458" s="224">
        <f t="shared" si="120"/>
        <v>0.91666666666666674</v>
      </c>
      <c r="M458" s="223">
        <v>20</v>
      </c>
      <c r="N458" s="223">
        <v>80</v>
      </c>
      <c r="O458" s="223">
        <v>12</v>
      </c>
      <c r="P458" s="223">
        <v>150</v>
      </c>
      <c r="Q458" s="223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131.80921010914082</v>
      </c>
      <c r="W458" s="9">
        <f t="shared" si="125"/>
        <v>0.87872806739427212</v>
      </c>
      <c r="X458" s="8">
        <f t="shared" si="126"/>
        <v>312.8</v>
      </c>
      <c r="Y458" s="7">
        <f t="shared" si="127"/>
        <v>2.0853333333333333</v>
      </c>
      <c r="Z458" s="2">
        <f t="shared" si="128"/>
        <v>938.4</v>
      </c>
      <c r="AA458" s="2">
        <f t="shared" si="129"/>
        <v>312.8</v>
      </c>
      <c r="AB458" s="2">
        <f t="shared" si="130"/>
        <v>2815.2</v>
      </c>
      <c r="AC458" s="6">
        <f t="shared" si="131"/>
        <v>253.36799999999997</v>
      </c>
      <c r="AD458" s="6">
        <f t="shared" si="132"/>
        <v>67.564799999999991</v>
      </c>
      <c r="AE458" s="6">
        <f t="shared" si="133"/>
        <v>633.7328</v>
      </c>
      <c r="AF458" s="5">
        <f t="shared" si="134"/>
        <v>4.2248853333333329</v>
      </c>
      <c r="AG458" s="223">
        <v>4715</v>
      </c>
    </row>
    <row r="459" spans="1:33" x14ac:dyDescent="0.2">
      <c r="A459" s="245"/>
      <c r="B459" s="1" t="str">
        <f t="shared" si="121"/>
        <v>0.74, Peanut Wagon 21'</v>
      </c>
      <c r="C459" s="168">
        <v>0.74</v>
      </c>
      <c r="D459" s="164" t="s">
        <v>459</v>
      </c>
      <c r="E459" s="164" t="s">
        <v>454</v>
      </c>
      <c r="F459" s="164" t="s">
        <v>39</v>
      </c>
      <c r="G459" s="164" t="str">
        <f t="shared" si="122"/>
        <v>Peanut Wagon 21'</v>
      </c>
      <c r="H459" s="30">
        <v>7038</v>
      </c>
      <c r="I459" s="222">
        <v>12</v>
      </c>
      <c r="J459" s="222">
        <v>2.5</v>
      </c>
      <c r="K459" s="222">
        <v>60</v>
      </c>
      <c r="L459" s="224">
        <f t="shared" si="120"/>
        <v>0.45833333333333337</v>
      </c>
      <c r="M459" s="223">
        <v>20</v>
      </c>
      <c r="N459" s="223">
        <v>80</v>
      </c>
      <c r="O459" s="223">
        <v>12</v>
      </c>
      <c r="P459" s="223">
        <v>150</v>
      </c>
      <c r="Q459" s="223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197.71381516371122</v>
      </c>
      <c r="W459" s="9">
        <f t="shared" si="125"/>
        <v>1.3180921010914082</v>
      </c>
      <c r="X459" s="8">
        <f t="shared" si="126"/>
        <v>469.2</v>
      </c>
      <c r="Y459" s="7">
        <f t="shared" si="127"/>
        <v>3.1280000000000001</v>
      </c>
      <c r="Z459" s="2">
        <f t="shared" si="128"/>
        <v>1407.6</v>
      </c>
      <c r="AA459" s="2">
        <f t="shared" si="129"/>
        <v>469.2</v>
      </c>
      <c r="AB459" s="2">
        <f t="shared" si="130"/>
        <v>4222.8</v>
      </c>
      <c r="AC459" s="6">
        <f t="shared" si="131"/>
        <v>380.05200000000002</v>
      </c>
      <c r="AD459" s="6">
        <f t="shared" si="132"/>
        <v>101.3472</v>
      </c>
      <c r="AE459" s="6">
        <f t="shared" si="133"/>
        <v>950.5992</v>
      </c>
      <c r="AF459" s="5">
        <f t="shared" si="134"/>
        <v>6.3373280000000003</v>
      </c>
      <c r="AG459" s="223">
        <v>7072.4999999999991</v>
      </c>
    </row>
    <row r="460" spans="1:33" x14ac:dyDescent="0.2">
      <c r="A460" s="245"/>
      <c r="B460" s="1" t="str">
        <f t="shared" si="121"/>
        <v>0.75, Peanut Wagon 28'</v>
      </c>
      <c r="C460" s="168">
        <v>0.75</v>
      </c>
      <c r="D460" s="164" t="s">
        <v>459</v>
      </c>
      <c r="E460" s="164" t="s">
        <v>454</v>
      </c>
      <c r="F460" s="164" t="s">
        <v>92</v>
      </c>
      <c r="G460" s="164" t="str">
        <f t="shared" si="122"/>
        <v>Peanut Wagon 28'</v>
      </c>
      <c r="H460" s="30">
        <v>8211</v>
      </c>
      <c r="I460" s="222">
        <v>18</v>
      </c>
      <c r="J460" s="222">
        <v>2.5</v>
      </c>
      <c r="K460" s="222">
        <v>60</v>
      </c>
      <c r="L460" s="224">
        <f t="shared" si="120"/>
        <v>0.30555555555555552</v>
      </c>
      <c r="M460" s="223">
        <v>20</v>
      </c>
      <c r="N460" s="223">
        <v>80</v>
      </c>
      <c r="O460" s="223">
        <v>12</v>
      </c>
      <c r="P460" s="223">
        <v>150</v>
      </c>
      <c r="Q460" s="223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230.6661176909964</v>
      </c>
      <c r="W460" s="9">
        <f t="shared" si="125"/>
        <v>1.537774117939976</v>
      </c>
      <c r="X460" s="8">
        <f t="shared" si="126"/>
        <v>547.4</v>
      </c>
      <c r="Y460" s="7">
        <f t="shared" si="127"/>
        <v>3.6493333333333333</v>
      </c>
      <c r="Z460" s="2">
        <f t="shared" si="128"/>
        <v>1642.2</v>
      </c>
      <c r="AA460" s="2">
        <f t="shared" si="129"/>
        <v>547.4</v>
      </c>
      <c r="AB460" s="2">
        <f t="shared" si="130"/>
        <v>4926.6000000000004</v>
      </c>
      <c r="AC460" s="6">
        <f t="shared" si="131"/>
        <v>443.39400000000001</v>
      </c>
      <c r="AD460" s="6">
        <f t="shared" si="132"/>
        <v>118.23840000000001</v>
      </c>
      <c r="AE460" s="6">
        <f t="shared" si="133"/>
        <v>1109.0324000000001</v>
      </c>
      <c r="AF460" s="5">
        <f t="shared" si="134"/>
        <v>7.3935493333333335</v>
      </c>
      <c r="AG460" s="223">
        <v>8251.25</v>
      </c>
    </row>
    <row r="461" spans="1:33" x14ac:dyDescent="0.2">
      <c r="A461" s="245"/>
      <c r="B461" s="1" t="str">
        <f t="shared" si="121"/>
        <v>0.76, Pull-type Peanut Combine 2R-36</v>
      </c>
      <c r="C461" s="168">
        <v>0.76</v>
      </c>
      <c r="D461" s="164" t="s">
        <v>459</v>
      </c>
      <c r="E461" s="164" t="s">
        <v>455</v>
      </c>
      <c r="F461" s="164" t="s">
        <v>456</v>
      </c>
      <c r="G461" s="164" t="str">
        <f t="shared" si="122"/>
        <v>Pull-type Peanut Combine 2R-36</v>
      </c>
      <c r="H461" s="30">
        <v>36516</v>
      </c>
      <c r="I461" s="222">
        <v>6</v>
      </c>
      <c r="J461" s="222">
        <v>2.5</v>
      </c>
      <c r="K461" s="222">
        <v>60</v>
      </c>
      <c r="L461" s="224">
        <f t="shared" si="120"/>
        <v>0.91666666666666674</v>
      </c>
      <c r="M461" s="223">
        <v>20</v>
      </c>
      <c r="N461" s="223">
        <v>40</v>
      </c>
      <c r="O461" s="223">
        <v>10</v>
      </c>
      <c r="P461" s="223">
        <v>150</v>
      </c>
      <c r="Q461" s="223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1025.8195047624438</v>
      </c>
      <c r="W461" s="9">
        <f t="shared" si="125"/>
        <v>6.8387966984162922</v>
      </c>
      <c r="X461" s="8">
        <f t="shared" si="126"/>
        <v>1460.6399999999999</v>
      </c>
      <c r="Y461" s="7">
        <f t="shared" si="127"/>
        <v>9.7375999999999987</v>
      </c>
      <c r="Z461" s="2">
        <f t="shared" si="128"/>
        <v>7303.2</v>
      </c>
      <c r="AA461" s="2">
        <f t="shared" si="129"/>
        <v>2921.2799999999997</v>
      </c>
      <c r="AB461" s="2">
        <f t="shared" si="130"/>
        <v>21909.599999999999</v>
      </c>
      <c r="AC461" s="6">
        <f t="shared" si="131"/>
        <v>1971.8639999999998</v>
      </c>
      <c r="AD461" s="6">
        <f t="shared" si="132"/>
        <v>525.83039999999994</v>
      </c>
      <c r="AE461" s="6">
        <f t="shared" si="133"/>
        <v>5418.9743999999992</v>
      </c>
      <c r="AF461" s="5">
        <f t="shared" si="134"/>
        <v>36.126495999999996</v>
      </c>
      <c r="AG461" s="223">
        <v>36695</v>
      </c>
    </row>
    <row r="462" spans="1:33" x14ac:dyDescent="0.2">
      <c r="A462" s="245"/>
      <c r="B462" s="1" t="str">
        <f t="shared" si="121"/>
        <v>0.77, Pull-type Peanut Combine 4R-36</v>
      </c>
      <c r="C462" s="168">
        <v>0.77</v>
      </c>
      <c r="D462" s="164" t="s">
        <v>459</v>
      </c>
      <c r="E462" s="164" t="s">
        <v>455</v>
      </c>
      <c r="F462" s="164" t="s">
        <v>73</v>
      </c>
      <c r="G462" s="164" t="str">
        <f t="shared" si="122"/>
        <v>Pull-type Peanut Combine 4R-36</v>
      </c>
      <c r="H462" s="30">
        <v>120360</v>
      </c>
      <c r="I462" s="222">
        <v>12</v>
      </c>
      <c r="J462" s="222">
        <v>2.5</v>
      </c>
      <c r="K462" s="222">
        <v>60</v>
      </c>
      <c r="L462" s="224">
        <f t="shared" si="120"/>
        <v>0.45833333333333337</v>
      </c>
      <c r="M462" s="223">
        <v>20</v>
      </c>
      <c r="N462" s="223">
        <v>40</v>
      </c>
      <c r="O462" s="223">
        <v>10</v>
      </c>
      <c r="P462" s="223">
        <v>150</v>
      </c>
      <c r="Q462" s="223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3381.1927810605684</v>
      </c>
      <c r="W462" s="9">
        <f t="shared" si="125"/>
        <v>22.541285207070455</v>
      </c>
      <c r="X462" s="8">
        <f t="shared" si="126"/>
        <v>4814.3999999999996</v>
      </c>
      <c r="Y462" s="7">
        <f t="shared" si="127"/>
        <v>32.095999999999997</v>
      </c>
      <c r="Z462" s="2">
        <f t="shared" si="128"/>
        <v>24072</v>
      </c>
      <c r="AA462" s="2">
        <f t="shared" si="129"/>
        <v>9628.7999999999993</v>
      </c>
      <c r="AB462" s="2">
        <f t="shared" si="130"/>
        <v>72216</v>
      </c>
      <c r="AC462" s="6">
        <f t="shared" si="131"/>
        <v>6499.44</v>
      </c>
      <c r="AD462" s="6">
        <f t="shared" si="132"/>
        <v>1733.184</v>
      </c>
      <c r="AE462" s="6">
        <f t="shared" si="133"/>
        <v>17861.423999999999</v>
      </c>
      <c r="AF462" s="5">
        <f t="shared" si="134"/>
        <v>119.07615999999999</v>
      </c>
      <c r="AG462" s="223">
        <v>120949.99999999999</v>
      </c>
    </row>
    <row r="463" spans="1:33" x14ac:dyDescent="0.2">
      <c r="A463" s="245"/>
      <c r="B463" s="1" t="str">
        <f t="shared" si="121"/>
        <v>0.78, Pull-type Peanut Combine 6R-36</v>
      </c>
      <c r="C463" s="168">
        <v>0.78</v>
      </c>
      <c r="D463" s="164" t="s">
        <v>459</v>
      </c>
      <c r="E463" s="164" t="s">
        <v>455</v>
      </c>
      <c r="F463" s="164" t="s">
        <v>206</v>
      </c>
      <c r="G463" s="164" t="str">
        <f t="shared" si="122"/>
        <v>Pull-type Peanut Combine 6R-36</v>
      </c>
      <c r="H463" s="30">
        <v>137700</v>
      </c>
      <c r="I463" s="222">
        <v>18</v>
      </c>
      <c r="J463" s="222">
        <v>2.5</v>
      </c>
      <c r="K463" s="222">
        <v>60</v>
      </c>
      <c r="L463" s="221">
        <f t="shared" si="120"/>
        <v>0.30555555555555552</v>
      </c>
      <c r="M463" s="223">
        <v>20</v>
      </c>
      <c r="N463" s="223">
        <v>40</v>
      </c>
      <c r="O463" s="223">
        <v>10</v>
      </c>
      <c r="P463" s="223">
        <v>150</v>
      </c>
      <c r="Q463" s="223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3868.3137749421758</v>
      </c>
      <c r="W463" s="9">
        <f t="shared" si="125"/>
        <v>25.788758499614506</v>
      </c>
      <c r="X463" s="8">
        <f t="shared" si="126"/>
        <v>5508</v>
      </c>
      <c r="Y463" s="7">
        <f t="shared" si="127"/>
        <v>36.72</v>
      </c>
      <c r="Z463" s="2">
        <f t="shared" si="128"/>
        <v>27540</v>
      </c>
      <c r="AA463" s="2">
        <f t="shared" si="129"/>
        <v>11016</v>
      </c>
      <c r="AB463" s="2">
        <f t="shared" si="130"/>
        <v>82620</v>
      </c>
      <c r="AC463" s="6">
        <f t="shared" si="131"/>
        <v>7435.7999999999993</v>
      </c>
      <c r="AD463" s="6">
        <f t="shared" si="132"/>
        <v>1982.88</v>
      </c>
      <c r="AE463" s="6">
        <f t="shared" si="133"/>
        <v>20434.68</v>
      </c>
      <c r="AF463" s="5">
        <f t="shared" si="134"/>
        <v>136.2312</v>
      </c>
      <c r="AG463" s="223">
        <v>138375</v>
      </c>
    </row>
    <row r="464" spans="1:33" x14ac:dyDescent="0.2">
      <c r="A464" s="245">
        <v>200</v>
      </c>
      <c r="B464" s="1" t="str">
        <f t="shared" si="121"/>
        <v>0.79, Stalk Shredder 14'</v>
      </c>
      <c r="C464" s="168">
        <v>0.79</v>
      </c>
      <c r="D464" s="164" t="s">
        <v>459</v>
      </c>
      <c r="E464" s="164" t="s">
        <v>354</v>
      </c>
      <c r="F464" s="164" t="s">
        <v>12</v>
      </c>
      <c r="G464" s="164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  <c r="AG464" s="223">
        <v>13529.999999999998</v>
      </c>
    </row>
    <row r="465" spans="1:33" x14ac:dyDescent="0.2">
      <c r="A465" s="245">
        <v>267</v>
      </c>
      <c r="B465" s="1" t="str">
        <f t="shared" si="121"/>
        <v>0.8, Stalk Shredder 20'</v>
      </c>
      <c r="C465" s="168">
        <v>0.8</v>
      </c>
      <c r="D465" s="164" t="s">
        <v>459</v>
      </c>
      <c r="E465" s="164" t="s">
        <v>354</v>
      </c>
      <c r="F465" s="164" t="s">
        <v>8</v>
      </c>
      <c r="G465" s="164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  <c r="AG465" s="223">
        <v>34850</v>
      </c>
    </row>
    <row r="466" spans="1:33" x14ac:dyDescent="0.2">
      <c r="A466" s="245">
        <v>479</v>
      </c>
      <c r="B466" s="1" t="str">
        <f t="shared" si="121"/>
        <v>0.81, Stalk Shredder-Flail 12'</v>
      </c>
      <c r="C466" s="168">
        <v>0.81</v>
      </c>
      <c r="D466" s="164" t="s">
        <v>459</v>
      </c>
      <c r="E466" s="164" t="s">
        <v>355</v>
      </c>
      <c r="F466" s="164" t="s">
        <v>11</v>
      </c>
      <c r="G466" s="164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  <c r="AG466" s="223">
        <v>16194.999999999998</v>
      </c>
    </row>
    <row r="467" spans="1:33" x14ac:dyDescent="0.2">
      <c r="A467" s="245">
        <v>563</v>
      </c>
      <c r="B467" s="1" t="str">
        <f t="shared" si="121"/>
        <v>0.82, Stalk Shredder-Flail 15'</v>
      </c>
      <c r="C467" s="168">
        <v>0.82</v>
      </c>
      <c r="D467" s="164" t="s">
        <v>459</v>
      </c>
      <c r="E467" s="164" t="s">
        <v>355</v>
      </c>
      <c r="F467" s="164" t="s">
        <v>10</v>
      </c>
      <c r="G467" s="164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  <c r="AG467" s="223">
        <v>20397.5</v>
      </c>
    </row>
    <row r="468" spans="1:33" x14ac:dyDescent="0.2">
      <c r="A468" s="245">
        <v>564</v>
      </c>
      <c r="B468" s="1" t="str">
        <f t="shared" si="121"/>
        <v>0.83, Stalk Shredder-Flail 18'</v>
      </c>
      <c r="C468" s="168">
        <v>0.83</v>
      </c>
      <c r="D468" s="164" t="s">
        <v>459</v>
      </c>
      <c r="E468" s="164" t="s">
        <v>355</v>
      </c>
      <c r="F468" s="164" t="s">
        <v>9</v>
      </c>
      <c r="G468" s="164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  <c r="AG468" s="223">
        <v>26342.499999999996</v>
      </c>
    </row>
    <row r="469" spans="1:33" x14ac:dyDescent="0.2">
      <c r="A469" s="245">
        <v>482</v>
      </c>
      <c r="B469" s="1" t="str">
        <f t="shared" si="121"/>
        <v>0.84, Stalk Shredder-Flail 20'</v>
      </c>
      <c r="C469" s="168">
        <v>0.84</v>
      </c>
      <c r="D469" s="164" t="s">
        <v>459</v>
      </c>
      <c r="E469" s="164" t="s">
        <v>355</v>
      </c>
      <c r="F469" s="164" t="s">
        <v>8</v>
      </c>
      <c r="G469" s="164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  <c r="AG469" s="223">
        <v>27572.499999999996</v>
      </c>
    </row>
    <row r="470" spans="1:33" x14ac:dyDescent="0.2">
      <c r="A470" s="245">
        <v>565</v>
      </c>
      <c r="B470" s="1" t="str">
        <f t="shared" si="121"/>
        <v>0.85, Stalk Shredder-Flail 25'</v>
      </c>
      <c r="C470" s="168">
        <v>0.85</v>
      </c>
      <c r="D470" s="164" t="s">
        <v>459</v>
      </c>
      <c r="E470" s="164" t="s">
        <v>355</v>
      </c>
      <c r="F470" s="164" t="s">
        <v>7</v>
      </c>
      <c r="G470" s="164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  <c r="AG470" s="223">
        <v>38642.5</v>
      </c>
    </row>
    <row r="471" spans="1:33" x14ac:dyDescent="0.2">
      <c r="D471" s="164"/>
    </row>
    <row r="472" spans="1:33" x14ac:dyDescent="0.2">
      <c r="D472" s="164"/>
    </row>
    <row r="473" spans="1:33" x14ac:dyDescent="0.2">
      <c r="D473" s="164"/>
    </row>
    <row r="474" spans="1:33" x14ac:dyDescent="0.2">
      <c r="D474" s="164"/>
    </row>
    <row r="475" spans="1:33" x14ac:dyDescent="0.2">
      <c r="D475" s="164"/>
    </row>
    <row r="476" spans="1:33" x14ac:dyDescent="0.2">
      <c r="D476" s="164"/>
    </row>
    <row r="477" spans="1:33" x14ac:dyDescent="0.2">
      <c r="D477" s="164"/>
    </row>
    <row r="478" spans="1:33" x14ac:dyDescent="0.2">
      <c r="D478" s="164"/>
    </row>
    <row r="479" spans="1:33" x14ac:dyDescent="0.2">
      <c r="D479" s="164"/>
    </row>
    <row r="480" spans="1:33" x14ac:dyDescent="0.2">
      <c r="D480" s="164"/>
    </row>
    <row r="481" spans="4:4" x14ac:dyDescent="0.2">
      <c r="D481" s="164"/>
    </row>
    <row r="482" spans="4:4" x14ac:dyDescent="0.2">
      <c r="D482" s="164"/>
    </row>
    <row r="483" spans="4:4" x14ac:dyDescent="0.2">
      <c r="D483" s="164"/>
    </row>
    <row r="484" spans="4:4" x14ac:dyDescent="0.2">
      <c r="D484" s="164"/>
    </row>
    <row r="485" spans="4:4" x14ac:dyDescent="0.2">
      <c r="D485" s="164"/>
    </row>
    <row r="486" spans="4:4" x14ac:dyDescent="0.2">
      <c r="D486" s="164"/>
    </row>
    <row r="487" spans="4:4" x14ac:dyDescent="0.2">
      <c r="D487" s="164"/>
    </row>
    <row r="488" spans="4:4" x14ac:dyDescent="0.2">
      <c r="D488" s="164"/>
    </row>
    <row r="489" spans="4:4" x14ac:dyDescent="0.2">
      <c r="D489" s="164"/>
    </row>
    <row r="490" spans="4:4" x14ac:dyDescent="0.2">
      <c r="D490" s="164"/>
    </row>
    <row r="491" spans="4:4" x14ac:dyDescent="0.2">
      <c r="D491" s="164"/>
    </row>
    <row r="492" spans="4:4" x14ac:dyDescent="0.2">
      <c r="D492" s="164"/>
    </row>
    <row r="510" spans="4:4" x14ac:dyDescent="0.2">
      <c r="D510" s="168" t="s">
        <v>63</v>
      </c>
    </row>
    <row r="511" spans="4:4" x14ac:dyDescent="0.2">
      <c r="D511" s="168" t="s">
        <v>63</v>
      </c>
    </row>
    <row r="512" spans="4:4" x14ac:dyDescent="0.2">
      <c r="D512" s="168" t="s">
        <v>63</v>
      </c>
    </row>
    <row r="513" spans="4:4" x14ac:dyDescent="0.2">
      <c r="D513" s="168" t="s">
        <v>63</v>
      </c>
    </row>
    <row r="514" spans="4:4" x14ac:dyDescent="0.2">
      <c r="D514" s="168" t="s">
        <v>63</v>
      </c>
    </row>
    <row r="515" spans="4:4" x14ac:dyDescent="0.2">
      <c r="D515" s="168" t="s">
        <v>63</v>
      </c>
    </row>
    <row r="516" spans="4:4" x14ac:dyDescent="0.2">
      <c r="D516" s="168" t="s">
        <v>63</v>
      </c>
    </row>
    <row r="517" spans="4:4" x14ac:dyDescent="0.2">
      <c r="D517" s="168" t="s">
        <v>63</v>
      </c>
    </row>
    <row r="518" spans="4:4" x14ac:dyDescent="0.2">
      <c r="D518" s="168" t="s">
        <v>63</v>
      </c>
    </row>
    <row r="519" spans="4:4" x14ac:dyDescent="0.2">
      <c r="D519" s="168" t="s">
        <v>63</v>
      </c>
    </row>
    <row r="520" spans="4:4" x14ac:dyDescent="0.2">
      <c r="D520" s="168" t="s">
        <v>63</v>
      </c>
    </row>
    <row r="521" spans="4:4" x14ac:dyDescent="0.2">
      <c r="D521" s="168" t="s">
        <v>63</v>
      </c>
    </row>
    <row r="522" spans="4:4" x14ac:dyDescent="0.2">
      <c r="D522" s="168" t="s">
        <v>63</v>
      </c>
    </row>
    <row r="523" spans="4:4" x14ac:dyDescent="0.2">
      <c r="D523" s="168" t="s">
        <v>63</v>
      </c>
    </row>
    <row r="524" spans="4:4" x14ac:dyDescent="0.2">
      <c r="D524" s="168" t="s">
        <v>63</v>
      </c>
    </row>
    <row r="525" spans="4:4" x14ac:dyDescent="0.2">
      <c r="D525" s="168" t="s">
        <v>63</v>
      </c>
    </row>
    <row r="526" spans="4:4" x14ac:dyDescent="0.2">
      <c r="D526" s="168" t="s">
        <v>63</v>
      </c>
    </row>
    <row r="527" spans="4:4" x14ac:dyDescent="0.2">
      <c r="D527" s="168" t="s">
        <v>63</v>
      </c>
    </row>
    <row r="528" spans="4:4" x14ac:dyDescent="0.2">
      <c r="D528" s="168" t="s">
        <v>63</v>
      </c>
    </row>
    <row r="529" spans="4:4" x14ac:dyDescent="0.2">
      <c r="D529" s="168" t="s">
        <v>63</v>
      </c>
    </row>
    <row r="530" spans="4:4" x14ac:dyDescent="0.2">
      <c r="D530" s="168" t="s">
        <v>63</v>
      </c>
    </row>
    <row r="531" spans="4:4" x14ac:dyDescent="0.2">
      <c r="D531" s="168" t="s">
        <v>63</v>
      </c>
    </row>
    <row r="532" spans="4:4" x14ac:dyDescent="0.2">
      <c r="D532" s="168" t="s">
        <v>63</v>
      </c>
    </row>
    <row r="533" spans="4:4" x14ac:dyDescent="0.2">
      <c r="D533" s="168" t="s">
        <v>63</v>
      </c>
    </row>
    <row r="534" spans="4:4" x14ac:dyDescent="0.2">
      <c r="D534" s="168" t="s">
        <v>63</v>
      </c>
    </row>
    <row r="535" spans="4:4" x14ac:dyDescent="0.2">
      <c r="D535" s="168" t="s">
        <v>63</v>
      </c>
    </row>
    <row r="536" spans="4:4" x14ac:dyDescent="0.2">
      <c r="D536" s="168" t="s">
        <v>63</v>
      </c>
    </row>
    <row r="537" spans="4:4" x14ac:dyDescent="0.2">
      <c r="D537" s="168" t="s">
        <v>63</v>
      </c>
    </row>
    <row r="538" spans="4:4" x14ac:dyDescent="0.2">
      <c r="D538" s="168" t="s">
        <v>63</v>
      </c>
    </row>
    <row r="539" spans="4:4" x14ac:dyDescent="0.2">
      <c r="D539" s="168" t="s">
        <v>63</v>
      </c>
    </row>
    <row r="540" spans="4:4" x14ac:dyDescent="0.2">
      <c r="D540" s="168" t="s">
        <v>63</v>
      </c>
    </row>
    <row r="541" spans="4:4" x14ac:dyDescent="0.2">
      <c r="D541" s="168" t="s">
        <v>63</v>
      </c>
    </row>
    <row r="542" spans="4:4" x14ac:dyDescent="0.2">
      <c r="D542" s="168" t="s">
        <v>63</v>
      </c>
    </row>
    <row r="543" spans="4:4" x14ac:dyDescent="0.2">
      <c r="D543" s="168" t="s">
        <v>63</v>
      </c>
    </row>
    <row r="544" spans="4:4" x14ac:dyDescent="0.2">
      <c r="D544" s="168" t="s">
        <v>63</v>
      </c>
    </row>
    <row r="545" spans="4:4" x14ac:dyDescent="0.2">
      <c r="D545" s="168" t="s">
        <v>63</v>
      </c>
    </row>
    <row r="546" spans="4:4" x14ac:dyDescent="0.2">
      <c r="D546" s="168" t="s">
        <v>63</v>
      </c>
    </row>
    <row r="547" spans="4:4" x14ac:dyDescent="0.2">
      <c r="D547" s="168" t="s">
        <v>63</v>
      </c>
    </row>
    <row r="548" spans="4:4" x14ac:dyDescent="0.2">
      <c r="D548" s="168" t="s">
        <v>63</v>
      </c>
    </row>
    <row r="549" spans="4:4" x14ac:dyDescent="0.2">
      <c r="D549" s="168" t="s">
        <v>63</v>
      </c>
    </row>
    <row r="550" spans="4:4" x14ac:dyDescent="0.2">
      <c r="D550" s="168" t="s">
        <v>63</v>
      </c>
    </row>
    <row r="551" spans="4:4" x14ac:dyDescent="0.2">
      <c r="D551" s="168" t="s">
        <v>63</v>
      </c>
    </row>
    <row r="552" spans="4:4" x14ac:dyDescent="0.2">
      <c r="D552" s="168" t="s">
        <v>63</v>
      </c>
    </row>
    <row r="553" spans="4:4" x14ac:dyDescent="0.2">
      <c r="D553" s="168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3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.33203125" style="1" bestFit="1" customWidth="1"/>
    <col min="2" max="2" width="34.33203125" style="1" bestFit="1" customWidth="1"/>
    <col min="3" max="3" width="3.5" style="200" bestFit="1" customWidth="1"/>
    <col min="4" max="4" width="2.33203125" style="164" bestFit="1" customWidth="1"/>
    <col min="5" max="5" width="13.5" style="164" bestFit="1" customWidth="1"/>
    <col min="6" max="6" width="7.33203125" style="164" bestFit="1" customWidth="1"/>
    <col min="7" max="7" width="19" style="164" bestFit="1" customWidth="1"/>
    <col min="8" max="8" width="7.1640625" style="223" bestFit="1" customWidth="1"/>
    <col min="9" max="9" width="8.6640625" style="1" bestFit="1" customWidth="1"/>
    <col min="10" max="10" width="5.6640625" style="1" bestFit="1" customWidth="1"/>
    <col min="11" max="11" width="6.33203125" style="1" bestFit="1" customWidth="1"/>
    <col min="12" max="12" width="6" style="1" bestFit="1" customWidth="1"/>
    <col min="13" max="13" width="6.33203125" style="1" bestFit="1" customWidth="1"/>
    <col min="14" max="14" width="5.33203125" style="1" bestFit="1" customWidth="1"/>
    <col min="15" max="15" width="6" style="1" bestFit="1" customWidth="1"/>
    <col min="16" max="16" width="5.5" style="1" bestFit="1" customWidth="1"/>
    <col min="17" max="17" width="9.5" style="1" bestFit="1" customWidth="1"/>
    <col min="18" max="18" width="8.5" style="1" bestFit="1" customWidth="1"/>
    <col min="19" max="19" width="10.5" style="1" bestFit="1" customWidth="1"/>
    <col min="20" max="20" width="9.5" style="1" bestFit="1" customWidth="1"/>
    <col min="21" max="21" width="10.5" style="1" bestFit="1" customWidth="1"/>
    <col min="22" max="25" width="9.5" style="1" bestFit="1" customWidth="1"/>
    <col min="26" max="29" width="6.5" style="240" bestFit="1" customWidth="1"/>
    <col min="30" max="30" width="4.5" style="240" bestFit="1" customWidth="1"/>
    <col min="31" max="31" width="6.6640625" style="240" bestFit="1" customWidth="1"/>
    <col min="32" max="16384" width="8.83203125" style="1"/>
  </cols>
  <sheetData>
    <row r="1" spans="1:32" x14ac:dyDescent="0.2">
      <c r="A1" s="277" t="s">
        <v>466</v>
      </c>
      <c r="B1" s="277"/>
      <c r="C1" s="185">
        <v>2</v>
      </c>
      <c r="D1" s="164">
        <v>3</v>
      </c>
      <c r="E1" s="164">
        <v>4</v>
      </c>
      <c r="F1" s="164">
        <v>5</v>
      </c>
      <c r="G1" s="164">
        <v>6</v>
      </c>
      <c r="H1" s="223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2" x14ac:dyDescent="0.2">
      <c r="B2" s="39"/>
      <c r="C2" s="197"/>
      <c r="D2" s="198"/>
      <c r="E2" s="171"/>
      <c r="O2" s="283" t="s">
        <v>165</v>
      </c>
      <c r="P2" s="283"/>
      <c r="Q2" s="276" t="s">
        <v>129</v>
      </c>
      <c r="R2" s="276"/>
    </row>
    <row r="3" spans="1:32" s="15" customFormat="1" ht="10.25" customHeight="1" x14ac:dyDescent="0.15">
      <c r="A3" s="26" t="s">
        <v>458</v>
      </c>
      <c r="B3" s="26" t="s">
        <v>127</v>
      </c>
      <c r="C3" s="199" t="s">
        <v>128</v>
      </c>
      <c r="D3" s="166" t="s">
        <v>460</v>
      </c>
      <c r="E3" s="167" t="s">
        <v>126</v>
      </c>
      <c r="F3" s="167" t="s">
        <v>125</v>
      </c>
      <c r="G3" s="167" t="s">
        <v>461</v>
      </c>
      <c r="H3" s="17" t="s">
        <v>124</v>
      </c>
      <c r="I3" s="17" t="s">
        <v>178</v>
      </c>
      <c r="J3" s="17" t="s">
        <v>119</v>
      </c>
      <c r="K3" s="17" t="s">
        <v>118</v>
      </c>
      <c r="L3" s="17" t="s">
        <v>117</v>
      </c>
      <c r="M3" s="17" t="s">
        <v>116</v>
      </c>
      <c r="N3" s="18" t="s">
        <v>115</v>
      </c>
      <c r="O3" s="21" t="s">
        <v>114</v>
      </c>
      <c r="P3" s="21" t="s">
        <v>113</v>
      </c>
      <c r="Q3" s="20" t="s">
        <v>108</v>
      </c>
      <c r="R3" s="19" t="s">
        <v>107</v>
      </c>
      <c r="S3" s="18" t="s">
        <v>106</v>
      </c>
      <c r="T3" s="18" t="s">
        <v>105</v>
      </c>
      <c r="U3" s="18" t="s">
        <v>104</v>
      </c>
      <c r="V3" s="18" t="s">
        <v>103</v>
      </c>
      <c r="W3" s="17" t="s">
        <v>102</v>
      </c>
      <c r="X3" s="17" t="s">
        <v>101</v>
      </c>
      <c r="Y3" s="17" t="s">
        <v>100</v>
      </c>
      <c r="Z3" s="241" t="s">
        <v>469</v>
      </c>
      <c r="AA3" s="241" t="s">
        <v>468</v>
      </c>
      <c r="AB3" s="242" t="s">
        <v>470</v>
      </c>
      <c r="AC3" s="241" t="s">
        <v>471</v>
      </c>
      <c r="AD3" s="241" t="s">
        <v>472</v>
      </c>
      <c r="AE3" s="241" t="s">
        <v>473</v>
      </c>
    </row>
    <row r="4" spans="1:32" x14ac:dyDescent="0.2">
      <c r="B4" s="1" t="str">
        <f>CONCATENATE(C4,D4,E4,F4)</f>
        <v>0.01, Combine (200-249 hp) 240 hp</v>
      </c>
      <c r="C4" s="168">
        <v>0.01</v>
      </c>
      <c r="D4" s="164" t="s">
        <v>459</v>
      </c>
      <c r="E4" s="164" t="s">
        <v>441</v>
      </c>
      <c r="F4" s="164" t="s">
        <v>442</v>
      </c>
      <c r="G4" s="164" t="str">
        <f>CONCATENATE(E4,F4)</f>
        <v>Combine (200-249 hp) 240 hp</v>
      </c>
      <c r="H4" s="223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43">
        <f>((1.132-0.165*(L4^0.5)-0.0079*(M4^0.5))^2)*H4</f>
        <v>63419.584701706684</v>
      </c>
      <c r="AA4" s="243">
        <f>(H4-Z4)/L4</f>
        <v>20965.034608191108</v>
      </c>
      <c r="AB4" s="243">
        <f t="shared" ref="AB4:AB43" si="0">(Z4+H4)*intir</f>
        <v>34057.762623153598</v>
      </c>
      <c r="AC4" s="243">
        <f t="shared" ref="AC4:AC43" si="1">(Z4+H4)*itr</f>
        <v>9082.0700328409603</v>
      </c>
      <c r="AD4" s="243">
        <f>(AA4+AB4+AC4)/M4</f>
        <v>320.52433632092834</v>
      </c>
      <c r="AE4" s="244">
        <f>AD4-Y4</f>
        <v>111.94183632092833</v>
      </c>
      <c r="AF4" s="1">
        <v>287000</v>
      </c>
    </row>
    <row r="5" spans="1:32" x14ac:dyDescent="0.2">
      <c r="A5" s="1">
        <v>46</v>
      </c>
      <c r="B5" s="1" t="str">
        <f>CONCATENATE(C5,D5,E5,F5)</f>
        <v>0.02, Combine (250-299 hp) 265 hp</v>
      </c>
      <c r="C5" s="168">
        <v>0.02</v>
      </c>
      <c r="D5" s="164" t="s">
        <v>459</v>
      </c>
      <c r="E5" s="164" t="s">
        <v>210</v>
      </c>
      <c r="F5" s="164" t="s">
        <v>164</v>
      </c>
      <c r="G5" s="164" t="str">
        <f t="shared" ref="G5:G43" si="2">CONCATENATE(E5,F5)</f>
        <v>Combine (250-299 hp) 265 hp</v>
      </c>
      <c r="H5" s="223">
        <v>323000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6729.166666666667</v>
      </c>
      <c r="R5" s="7">
        <f>Q5/M5</f>
        <v>33.645833333333336</v>
      </c>
      <c r="S5" s="2">
        <f>H5*J5/100</f>
        <v>96900</v>
      </c>
      <c r="T5" s="2">
        <f>(H5-S5)/L5</f>
        <v>18841.666666666668</v>
      </c>
      <c r="U5" s="2">
        <f>(S5+H5)/2</f>
        <v>209950</v>
      </c>
      <c r="V5" s="6">
        <f>U5*intir</f>
        <v>18895.5</v>
      </c>
      <c r="W5" s="6">
        <f>U5*itr</f>
        <v>5038.8</v>
      </c>
      <c r="X5" s="6">
        <f>T5+V5+W5</f>
        <v>42775.966666666674</v>
      </c>
      <c r="Y5" s="5">
        <f>X5/M5</f>
        <v>213.87983333333338</v>
      </c>
      <c r="Z5" s="243">
        <f t="shared" ref="Z5:Z11" si="3">((1.132-0.165*(L5^0.5)-0.0079*(M5^0.5))^2)*H5</f>
        <v>65030.240821115105</v>
      </c>
      <c r="AA5" s="243">
        <f t="shared" ref="AA5:AA43" si="4">(H5-Z5)/L5</f>
        <v>21497.479931573744</v>
      </c>
      <c r="AB5" s="243">
        <f t="shared" si="0"/>
        <v>34922.721673900356</v>
      </c>
      <c r="AC5" s="243">
        <f t="shared" si="1"/>
        <v>9312.7257797067632</v>
      </c>
      <c r="AD5" s="243">
        <f t="shared" ref="AD5:AD43" si="5">(AA5+AB5+AC5)/M5</f>
        <v>328.66463692590429</v>
      </c>
      <c r="AE5" s="244">
        <f t="shared" ref="AE5:AE43" si="6">AD5-Y5</f>
        <v>114.78480359257091</v>
      </c>
      <c r="AF5" s="223">
        <v>298275</v>
      </c>
    </row>
    <row r="6" spans="1:32" x14ac:dyDescent="0.2">
      <c r="A6" s="1">
        <v>47</v>
      </c>
      <c r="B6" s="1" t="str">
        <f t="shared" ref="B6:B43" si="7">CONCATENATE(C6,D6,E6,F6)</f>
        <v>0.03, Combine (300-349 hp) 325 hp</v>
      </c>
      <c r="C6" s="168">
        <v>0.03</v>
      </c>
      <c r="D6" s="164" t="s">
        <v>459</v>
      </c>
      <c r="E6" s="164" t="s">
        <v>211</v>
      </c>
      <c r="F6" s="164" t="s">
        <v>163</v>
      </c>
      <c r="G6" s="164" t="str">
        <f t="shared" si="2"/>
        <v>Combine (300-349 hp) 325 hp</v>
      </c>
      <c r="H6" s="251">
        <v>336000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7000</v>
      </c>
      <c r="R6" s="7">
        <f t="shared" ref="R6:R43" si="10">Q6/M6</f>
        <v>23.333333333333332</v>
      </c>
      <c r="S6" s="2">
        <f t="shared" ref="S6:S43" si="11">H6*J6/100</f>
        <v>100800</v>
      </c>
      <c r="T6" s="2">
        <f t="shared" ref="T6:T43" si="12">(H6-S6)/L6</f>
        <v>19600</v>
      </c>
      <c r="U6" s="2">
        <f t="shared" ref="U6:U43" si="13">(S6+H6)/2</f>
        <v>218400</v>
      </c>
      <c r="V6" s="6">
        <f t="shared" ref="V6:V43" si="14">U6*intir</f>
        <v>19656</v>
      </c>
      <c r="W6" s="6">
        <f t="shared" ref="W6:W43" si="15">U6*itr</f>
        <v>5241.6000000000004</v>
      </c>
      <c r="X6" s="6">
        <f t="shared" ref="X6:X43" si="16">T6+V6+W6</f>
        <v>44497.599999999999</v>
      </c>
      <c r="Y6" s="5">
        <f t="shared" ref="Y6:Y43" si="17">X6/M6</f>
        <v>148.32533333333333</v>
      </c>
      <c r="Z6" s="243">
        <f t="shared" si="3"/>
        <v>60288.319193962016</v>
      </c>
      <c r="AA6" s="243">
        <f t="shared" si="4"/>
        <v>22975.973400503164</v>
      </c>
      <c r="AB6" s="243">
        <f t="shared" si="0"/>
        <v>35665.948727456584</v>
      </c>
      <c r="AC6" s="243">
        <f t="shared" si="1"/>
        <v>9510.9196606550886</v>
      </c>
      <c r="AD6" s="243">
        <f t="shared" si="5"/>
        <v>227.1761392953828</v>
      </c>
      <c r="AE6" s="244">
        <f t="shared" si="6"/>
        <v>78.850805962049463</v>
      </c>
      <c r="AF6" s="223">
        <v>333125</v>
      </c>
    </row>
    <row r="7" spans="1:32" x14ac:dyDescent="0.2">
      <c r="A7" s="1">
        <v>48</v>
      </c>
      <c r="B7" s="1" t="str">
        <f t="shared" si="7"/>
        <v>0.04, Combine (350-399 hp) 355 hp</v>
      </c>
      <c r="C7" s="168">
        <v>0.04</v>
      </c>
      <c r="D7" s="164" t="s">
        <v>459</v>
      </c>
      <c r="E7" s="164" t="s">
        <v>212</v>
      </c>
      <c r="F7" s="164" t="s">
        <v>162</v>
      </c>
      <c r="G7" s="164" t="str">
        <f t="shared" si="2"/>
        <v>Combine (350-399 hp) 355 hp</v>
      </c>
      <c r="H7" s="251">
        <v>340000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7083.333333333333</v>
      </c>
      <c r="R7" s="7">
        <f t="shared" si="10"/>
        <v>23.611111111111111</v>
      </c>
      <c r="S7" s="2">
        <f t="shared" si="11"/>
        <v>102000</v>
      </c>
      <c r="T7" s="2">
        <f t="shared" si="12"/>
        <v>19833.333333333332</v>
      </c>
      <c r="U7" s="2">
        <f t="shared" si="13"/>
        <v>221000</v>
      </c>
      <c r="V7" s="6">
        <f t="shared" si="14"/>
        <v>19890</v>
      </c>
      <c r="W7" s="6">
        <f t="shared" si="15"/>
        <v>5304</v>
      </c>
      <c r="X7" s="6">
        <f t="shared" si="16"/>
        <v>45027.333333333328</v>
      </c>
      <c r="Y7" s="5">
        <f t="shared" si="17"/>
        <v>150.0911111111111</v>
      </c>
      <c r="Z7" s="243">
        <f t="shared" si="3"/>
        <v>61006.037279604418</v>
      </c>
      <c r="AA7" s="243">
        <f t="shared" si="4"/>
        <v>23249.4968933663</v>
      </c>
      <c r="AB7" s="243">
        <f t="shared" si="0"/>
        <v>36090.543355164395</v>
      </c>
      <c r="AC7" s="243">
        <f t="shared" si="1"/>
        <v>9624.1448947105055</v>
      </c>
      <c r="AD7" s="243">
        <f t="shared" si="5"/>
        <v>229.88061714413735</v>
      </c>
      <c r="AE7" s="244">
        <f t="shared" si="6"/>
        <v>79.789506033026242</v>
      </c>
      <c r="AF7" s="223">
        <v>358749.99999999994</v>
      </c>
    </row>
    <row r="8" spans="1:32" x14ac:dyDescent="0.2">
      <c r="A8" s="1">
        <v>62</v>
      </c>
      <c r="B8" s="1" t="str">
        <f t="shared" si="7"/>
        <v>0.05, Combine (400-449 hp) 425 hp</v>
      </c>
      <c r="C8" s="168">
        <v>0.05</v>
      </c>
      <c r="D8" s="164" t="s">
        <v>459</v>
      </c>
      <c r="E8" s="164" t="s">
        <v>213</v>
      </c>
      <c r="F8" s="164" t="s">
        <v>161</v>
      </c>
      <c r="G8" s="164" t="str">
        <f t="shared" si="2"/>
        <v>Combine (400-449 hp) 425 hp</v>
      </c>
      <c r="H8" s="223">
        <v>388237.49999999994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8088.2812499999991</v>
      </c>
      <c r="R8" s="7">
        <f t="shared" si="10"/>
        <v>26.960937499999996</v>
      </c>
      <c r="S8" s="2">
        <f t="shared" si="11"/>
        <v>116471.24999999999</v>
      </c>
      <c r="T8" s="2">
        <f t="shared" si="12"/>
        <v>22647.187499999996</v>
      </c>
      <c r="U8" s="2">
        <f t="shared" si="13"/>
        <v>252354.37499999997</v>
      </c>
      <c r="V8" s="6">
        <f t="shared" si="14"/>
        <v>22711.893749999996</v>
      </c>
      <c r="W8" s="6">
        <f t="shared" si="15"/>
        <v>6056.5049999999992</v>
      </c>
      <c r="X8" s="6">
        <f t="shared" si="16"/>
        <v>51415.586249999986</v>
      </c>
      <c r="Y8" s="5">
        <f t="shared" si="17"/>
        <v>171.38528749999995</v>
      </c>
      <c r="Z8" s="243">
        <f t="shared" si="3"/>
        <v>69661.268818648285</v>
      </c>
      <c r="AA8" s="243">
        <f t="shared" si="4"/>
        <v>26548.019265112638</v>
      </c>
      <c r="AB8" s="243">
        <f t="shared" si="0"/>
        <v>41210.88919367834</v>
      </c>
      <c r="AC8" s="243">
        <f t="shared" si="1"/>
        <v>10989.570451647558</v>
      </c>
      <c r="AD8" s="243">
        <f t="shared" si="5"/>
        <v>262.49492970146179</v>
      </c>
      <c r="AE8" s="244">
        <f t="shared" si="6"/>
        <v>91.109642201461838</v>
      </c>
      <c r="AF8" s="223">
        <v>384374.99999999994</v>
      </c>
    </row>
    <row r="9" spans="1:32" x14ac:dyDescent="0.2">
      <c r="A9" s="1">
        <v>63</v>
      </c>
      <c r="B9" s="1" t="str">
        <f t="shared" si="7"/>
        <v>0.06, Combine (450-499 hp) 475 hp</v>
      </c>
      <c r="C9" s="168">
        <v>0.06</v>
      </c>
      <c r="D9" s="164" t="s">
        <v>459</v>
      </c>
      <c r="E9" s="164" t="s">
        <v>254</v>
      </c>
      <c r="F9" s="164" t="s">
        <v>160</v>
      </c>
      <c r="G9" s="164" t="str">
        <f t="shared" si="2"/>
        <v>Combine (450-499 hp) 475 hp</v>
      </c>
      <c r="H9" s="223">
        <v>411014.1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8562.7937499999989</v>
      </c>
      <c r="R9" s="7">
        <f t="shared" si="10"/>
        <v>28.542645833333328</v>
      </c>
      <c r="S9" s="2">
        <f t="shared" si="11"/>
        <v>123304.23</v>
      </c>
      <c r="T9" s="2">
        <f t="shared" si="12"/>
        <v>23975.822499999998</v>
      </c>
      <c r="U9" s="2">
        <f t="shared" si="13"/>
        <v>267159.16499999998</v>
      </c>
      <c r="V9" s="6">
        <f t="shared" si="14"/>
        <v>24044.324849999997</v>
      </c>
      <c r="W9" s="6">
        <f t="shared" si="15"/>
        <v>6411.8199599999998</v>
      </c>
      <c r="X9" s="6">
        <f t="shared" si="16"/>
        <v>54431.96731</v>
      </c>
      <c r="Y9" s="5">
        <f t="shared" si="17"/>
        <v>181.43989103333334</v>
      </c>
      <c r="Z9" s="243">
        <f t="shared" si="3"/>
        <v>73748.063256008987</v>
      </c>
      <c r="AA9" s="243">
        <f t="shared" si="4"/>
        <v>28105.503061999247</v>
      </c>
      <c r="AB9" s="243">
        <f t="shared" si="0"/>
        <v>43628.59469304081</v>
      </c>
      <c r="AC9" s="243">
        <f t="shared" si="1"/>
        <v>11634.291918144216</v>
      </c>
      <c r="AD9" s="243">
        <f t="shared" si="5"/>
        <v>277.89463224394757</v>
      </c>
      <c r="AE9" s="244">
        <f t="shared" si="6"/>
        <v>96.45474121061423</v>
      </c>
      <c r="AF9" s="223">
        <v>406924.99999999994</v>
      </c>
    </row>
    <row r="10" spans="1:32" x14ac:dyDescent="0.2">
      <c r="A10" s="1">
        <v>45</v>
      </c>
      <c r="B10" s="1" t="str">
        <f t="shared" si="7"/>
        <v>0.07, Cotton Stripper 173 hp</v>
      </c>
      <c r="C10" s="168">
        <v>7.0000000000000007E-2</v>
      </c>
      <c r="D10" s="164" t="s">
        <v>459</v>
      </c>
      <c r="E10" s="164" t="s">
        <v>214</v>
      </c>
      <c r="F10" s="164" t="s">
        <v>159</v>
      </c>
      <c r="G10" s="164" t="str">
        <f t="shared" si="2"/>
        <v>Cotton Stripper 173 hp</v>
      </c>
      <c r="H10" s="223">
        <v>176000.99999999997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5500.0312499999991</v>
      </c>
      <c r="R10" s="7">
        <f t="shared" si="10"/>
        <v>27.500156249999996</v>
      </c>
      <c r="S10" s="2">
        <f t="shared" si="11"/>
        <v>52800.299999999988</v>
      </c>
      <c r="T10" s="2">
        <f t="shared" si="12"/>
        <v>15400.087499999998</v>
      </c>
      <c r="U10" s="2">
        <f t="shared" si="13"/>
        <v>114400.64999999998</v>
      </c>
      <c r="V10" s="6">
        <f t="shared" si="14"/>
        <v>10296.058499999997</v>
      </c>
      <c r="W10" s="6">
        <f t="shared" si="15"/>
        <v>2745.6155999999996</v>
      </c>
      <c r="X10" s="6">
        <f t="shared" si="16"/>
        <v>28441.761599999994</v>
      </c>
      <c r="Y10" s="5">
        <f t="shared" si="17"/>
        <v>142.20880799999998</v>
      </c>
      <c r="Z10" s="243">
        <f t="shared" si="3"/>
        <v>53936.946554952265</v>
      </c>
      <c r="AA10" s="243">
        <f t="shared" si="4"/>
        <v>15258.006680630962</v>
      </c>
      <c r="AB10" s="243">
        <f t="shared" si="0"/>
        <v>20694.415189945703</v>
      </c>
      <c r="AC10" s="243">
        <f t="shared" si="1"/>
        <v>5518.5107173188535</v>
      </c>
      <c r="AD10" s="243">
        <f t="shared" si="5"/>
        <v>207.35466293947761</v>
      </c>
      <c r="AE10" s="244">
        <f t="shared" si="6"/>
        <v>65.14585493947763</v>
      </c>
      <c r="AF10" s="223">
        <v>174249.99999999997</v>
      </c>
    </row>
    <row r="11" spans="1:32" x14ac:dyDescent="0.2">
      <c r="A11" s="1">
        <v>64</v>
      </c>
      <c r="B11" s="1" t="str">
        <f t="shared" si="7"/>
        <v>0.08, Tractor (20-39 hp) MFWD 30</v>
      </c>
      <c r="C11" s="168">
        <v>0.08</v>
      </c>
      <c r="D11" s="164" t="s">
        <v>459</v>
      </c>
      <c r="E11" s="164" t="s">
        <v>255</v>
      </c>
      <c r="F11" s="164" t="s">
        <v>158</v>
      </c>
      <c r="G11" s="164" t="str">
        <f t="shared" si="2"/>
        <v>Tractor (20-39 hp) MFWD 30</v>
      </c>
      <c r="H11" s="29">
        <v>32197.829999999998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1724.8837500000002</v>
      </c>
      <c r="R11" s="7">
        <f t="shared" si="10"/>
        <v>2.8748062500000002</v>
      </c>
      <c r="S11" s="2">
        <f t="shared" si="11"/>
        <v>6439.5659999999998</v>
      </c>
      <c r="T11" s="2">
        <f t="shared" si="12"/>
        <v>1839.876</v>
      </c>
      <c r="U11" s="2">
        <f t="shared" si="13"/>
        <v>19318.698</v>
      </c>
      <c r="V11" s="6">
        <f t="shared" si="14"/>
        <v>1738.68282</v>
      </c>
      <c r="W11" s="6">
        <f t="shared" si="15"/>
        <v>463.648752</v>
      </c>
      <c r="X11" s="6">
        <f t="shared" si="16"/>
        <v>4042.2075720000003</v>
      </c>
      <c r="Y11" s="5">
        <f t="shared" si="17"/>
        <v>6.7370126200000007</v>
      </c>
      <c r="Z11" s="243">
        <f t="shared" si="3"/>
        <v>3320.1122720909671</v>
      </c>
      <c r="AA11" s="243">
        <f t="shared" si="4"/>
        <v>2062.6941234220735</v>
      </c>
      <c r="AB11" s="243">
        <f t="shared" si="0"/>
        <v>3196.6148044881866</v>
      </c>
      <c r="AC11" s="243">
        <f t="shared" si="1"/>
        <v>852.43061453018311</v>
      </c>
      <c r="AD11" s="243">
        <f t="shared" si="5"/>
        <v>10.186232570734074</v>
      </c>
      <c r="AE11" s="244">
        <f t="shared" si="6"/>
        <v>3.4492199507340731</v>
      </c>
      <c r="AF11" s="223">
        <v>31877.499999999996</v>
      </c>
    </row>
    <row r="12" spans="1:32" x14ac:dyDescent="0.2">
      <c r="A12" s="1">
        <v>65</v>
      </c>
      <c r="B12" s="1" t="str">
        <f t="shared" si="7"/>
        <v>0.09, Tractor (20-39 hp) MFWD 30</v>
      </c>
      <c r="C12" s="168">
        <v>0.09</v>
      </c>
      <c r="D12" s="164" t="s">
        <v>459</v>
      </c>
      <c r="E12" s="164" t="s">
        <v>255</v>
      </c>
      <c r="F12" s="164" t="s">
        <v>158</v>
      </c>
      <c r="G12" s="164" t="str">
        <f t="shared" si="2"/>
        <v>Tractor (20-39 hp) MFWD 30</v>
      </c>
      <c r="H12" s="29">
        <v>19256.579999999998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1031.6024999999997</v>
      </c>
      <c r="R12" s="7">
        <f t="shared" si="10"/>
        <v>1.7193374999999995</v>
      </c>
      <c r="S12" s="2">
        <f t="shared" si="11"/>
        <v>3851.3159999999998</v>
      </c>
      <c r="T12" s="2">
        <f t="shared" si="12"/>
        <v>1100.376</v>
      </c>
      <c r="U12" s="2">
        <f t="shared" si="13"/>
        <v>11553.947999999999</v>
      </c>
      <c r="V12" s="6">
        <f t="shared" si="14"/>
        <v>1039.8553199999999</v>
      </c>
      <c r="W12" s="6">
        <f t="shared" si="15"/>
        <v>277.29475199999996</v>
      </c>
      <c r="X12" s="6">
        <f t="shared" si="16"/>
        <v>2417.5260719999997</v>
      </c>
      <c r="Y12" s="5">
        <f t="shared" si="17"/>
        <v>4.0292101199999992</v>
      </c>
      <c r="Z12" s="243">
        <f>((0.981-0.093*(L12^0.5)-0.0058*(M12^0.5))^2)*H12</f>
        <v>4641.5533127051503</v>
      </c>
      <c r="AA12" s="243">
        <f t="shared" si="4"/>
        <v>1043.9304776639178</v>
      </c>
      <c r="AB12" s="243">
        <f t="shared" si="0"/>
        <v>2150.8319981434634</v>
      </c>
      <c r="AC12" s="243">
        <f t="shared" si="1"/>
        <v>573.55519950492351</v>
      </c>
      <c r="AD12" s="243">
        <f t="shared" si="5"/>
        <v>6.2805294588538416</v>
      </c>
      <c r="AE12" s="244">
        <f t="shared" si="6"/>
        <v>2.2513193388538424</v>
      </c>
      <c r="AF12" s="223">
        <v>19065</v>
      </c>
    </row>
    <row r="13" spans="1:32" x14ac:dyDescent="0.2">
      <c r="A13" s="1">
        <v>36</v>
      </c>
      <c r="B13" s="1" t="str">
        <f t="shared" si="7"/>
        <v>0.1, Tractor (40-59 hp) 2WD 50</v>
      </c>
      <c r="C13" s="168">
        <v>0.1</v>
      </c>
      <c r="D13" s="164" t="s">
        <v>459</v>
      </c>
      <c r="E13" s="164" t="s">
        <v>256</v>
      </c>
      <c r="F13" s="164" t="s">
        <v>157</v>
      </c>
      <c r="G13" s="164" t="str">
        <f t="shared" si="2"/>
        <v>Tractor (40-59 hp) 2WD 50</v>
      </c>
      <c r="H13" s="29">
        <v>34889.609999999993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1869.0862499999998</v>
      </c>
      <c r="R13" s="7">
        <f t="shared" si="10"/>
        <v>3.1151437499999997</v>
      </c>
      <c r="S13" s="2">
        <f t="shared" si="11"/>
        <v>6977.9219999999987</v>
      </c>
      <c r="T13" s="2">
        <f t="shared" si="12"/>
        <v>1993.6919999999996</v>
      </c>
      <c r="U13" s="2">
        <f t="shared" si="13"/>
        <v>20933.765999999996</v>
      </c>
      <c r="V13" s="6">
        <f t="shared" si="14"/>
        <v>1884.0389399999995</v>
      </c>
      <c r="W13" s="6">
        <f t="shared" si="15"/>
        <v>502.41038399999991</v>
      </c>
      <c r="X13" s="6">
        <f t="shared" si="16"/>
        <v>4380.1413239999993</v>
      </c>
      <c r="Y13" s="5">
        <f t="shared" si="17"/>
        <v>7.3002355399999992</v>
      </c>
      <c r="Z13" s="243">
        <f t="shared" ref="Z13:Z20" si="18">((0.981-0.093*(L13^0.5)-0.0058*(M13^0.5))^2)*H13</f>
        <v>8409.6960558152441</v>
      </c>
      <c r="AA13" s="243">
        <f t="shared" si="4"/>
        <v>1891.4224245846251</v>
      </c>
      <c r="AB13" s="243">
        <f t="shared" si="0"/>
        <v>3896.9375450233711</v>
      </c>
      <c r="AC13" s="243">
        <f t="shared" si="1"/>
        <v>1039.1833453395657</v>
      </c>
      <c r="AD13" s="243">
        <f t="shared" si="5"/>
        <v>11.379238858245937</v>
      </c>
      <c r="AE13" s="244">
        <f t="shared" si="6"/>
        <v>4.0790033182459382</v>
      </c>
      <c r="AF13" s="223">
        <v>34542.5</v>
      </c>
    </row>
    <row r="14" spans="1:32" x14ac:dyDescent="0.2">
      <c r="A14" s="1">
        <v>37</v>
      </c>
      <c r="B14" s="1" t="str">
        <f t="shared" si="7"/>
        <v>0.11, Tractor (40-59 hp) MFWD 50</v>
      </c>
      <c r="C14" s="168">
        <v>0.11</v>
      </c>
      <c r="D14" s="164" t="s">
        <v>459</v>
      </c>
      <c r="E14" s="164" t="s">
        <v>256</v>
      </c>
      <c r="F14" s="164" t="s">
        <v>156</v>
      </c>
      <c r="G14" s="164" t="str">
        <f t="shared" si="2"/>
        <v>Tractor (40-59 hp) MFWD 50</v>
      </c>
      <c r="H14" s="29">
        <v>40273.17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2157.49125</v>
      </c>
      <c r="R14" s="7">
        <f t="shared" si="10"/>
        <v>3.5958187499999998</v>
      </c>
      <c r="S14" s="2">
        <f t="shared" si="11"/>
        <v>8054.6339999999991</v>
      </c>
      <c r="T14" s="2">
        <f t="shared" si="12"/>
        <v>2301.3240000000001</v>
      </c>
      <c r="U14" s="2">
        <f t="shared" si="13"/>
        <v>24163.901999999998</v>
      </c>
      <c r="V14" s="6">
        <f t="shared" si="14"/>
        <v>2174.7511799999997</v>
      </c>
      <c r="W14" s="6">
        <f t="shared" si="15"/>
        <v>579.93364799999995</v>
      </c>
      <c r="X14" s="6">
        <f t="shared" si="16"/>
        <v>5056.008828</v>
      </c>
      <c r="Y14" s="5">
        <f t="shared" si="17"/>
        <v>8.4266813799999998</v>
      </c>
      <c r="Z14" s="243">
        <f t="shared" si="18"/>
        <v>9707.3346163564711</v>
      </c>
      <c r="AA14" s="243">
        <f t="shared" si="4"/>
        <v>2183.2739559745378</v>
      </c>
      <c r="AB14" s="243">
        <f t="shared" si="0"/>
        <v>4498.2454154720817</v>
      </c>
      <c r="AC14" s="243">
        <f t="shared" si="1"/>
        <v>1199.5321107925554</v>
      </c>
      <c r="AD14" s="243">
        <f t="shared" si="5"/>
        <v>13.135085803731959</v>
      </c>
      <c r="AE14" s="244">
        <f t="shared" si="6"/>
        <v>4.7084044237319596</v>
      </c>
      <c r="AF14" s="223">
        <v>39872.5</v>
      </c>
    </row>
    <row r="15" spans="1:32" x14ac:dyDescent="0.2">
      <c r="A15" s="1">
        <v>1</v>
      </c>
      <c r="B15" s="1" t="str">
        <f t="shared" si="7"/>
        <v>0.12, Tractor (40-59 hp) 2WD 50</v>
      </c>
      <c r="C15" s="168">
        <v>0.12</v>
      </c>
      <c r="D15" s="164" t="s">
        <v>459</v>
      </c>
      <c r="E15" s="164" t="s">
        <v>256</v>
      </c>
      <c r="F15" s="164" t="s">
        <v>157</v>
      </c>
      <c r="G15" s="164" t="str">
        <f t="shared" si="2"/>
        <v>Tractor (40-59 hp) 2WD 50</v>
      </c>
      <c r="H15" s="29">
        <v>19567.169999999998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1048.2412499999998</v>
      </c>
      <c r="R15" s="7">
        <f t="shared" si="10"/>
        <v>1.7470687499999997</v>
      </c>
      <c r="S15" s="2">
        <f t="shared" si="11"/>
        <v>3913.4339999999997</v>
      </c>
      <c r="T15" s="2">
        <f t="shared" si="12"/>
        <v>1118.124</v>
      </c>
      <c r="U15" s="2">
        <f t="shared" si="13"/>
        <v>11740.302</v>
      </c>
      <c r="V15" s="6">
        <f t="shared" si="14"/>
        <v>1056.62718</v>
      </c>
      <c r="W15" s="6">
        <f t="shared" si="15"/>
        <v>281.767248</v>
      </c>
      <c r="X15" s="6">
        <f t="shared" si="16"/>
        <v>2456.5184280000003</v>
      </c>
      <c r="Y15" s="5">
        <f t="shared" si="17"/>
        <v>4.0941973800000007</v>
      </c>
      <c r="Z15" s="243">
        <f t="shared" si="18"/>
        <v>4716.4170758132977</v>
      </c>
      <c r="AA15" s="243">
        <f t="shared" si="4"/>
        <v>1060.7680660133358</v>
      </c>
      <c r="AB15" s="243">
        <f t="shared" si="0"/>
        <v>2185.5228368231965</v>
      </c>
      <c r="AC15" s="243">
        <f t="shared" si="1"/>
        <v>582.80608981951912</v>
      </c>
      <c r="AD15" s="243">
        <f t="shared" si="5"/>
        <v>6.3818283210934181</v>
      </c>
      <c r="AE15" s="244">
        <f t="shared" si="6"/>
        <v>2.2876309410934175</v>
      </c>
      <c r="AF15" s="223">
        <v>19372.5</v>
      </c>
    </row>
    <row r="16" spans="1:32" x14ac:dyDescent="0.2">
      <c r="A16" s="1">
        <v>35</v>
      </c>
      <c r="B16" s="1" t="str">
        <f t="shared" si="7"/>
        <v>0.13, Tractor (40-59 hp) MFWD 50</v>
      </c>
      <c r="C16" s="168">
        <v>0.13</v>
      </c>
      <c r="D16" s="164" t="s">
        <v>459</v>
      </c>
      <c r="E16" s="164" t="s">
        <v>256</v>
      </c>
      <c r="F16" s="164" t="s">
        <v>156</v>
      </c>
      <c r="G16" s="164" t="str">
        <f t="shared" si="2"/>
        <v>Tractor (40-59 hp) MFWD 50</v>
      </c>
      <c r="H16" s="29">
        <v>27124.859999999997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1453.1174999999998</v>
      </c>
      <c r="R16" s="7">
        <f t="shared" si="10"/>
        <v>2.4218624999999996</v>
      </c>
      <c r="S16" s="2">
        <f t="shared" si="11"/>
        <v>5424.9719999999998</v>
      </c>
      <c r="T16" s="2">
        <f t="shared" si="12"/>
        <v>1549.992</v>
      </c>
      <c r="U16" s="2">
        <f t="shared" si="13"/>
        <v>16274.915999999997</v>
      </c>
      <c r="V16" s="6">
        <f t="shared" si="14"/>
        <v>1464.7424399999998</v>
      </c>
      <c r="W16" s="6">
        <f t="shared" si="15"/>
        <v>390.59798399999994</v>
      </c>
      <c r="X16" s="6">
        <f t="shared" si="16"/>
        <v>3405.3324239999997</v>
      </c>
      <c r="Y16" s="5">
        <f t="shared" si="17"/>
        <v>5.6755540399999997</v>
      </c>
      <c r="Z16" s="243">
        <f t="shared" si="18"/>
        <v>6538.1019781115556</v>
      </c>
      <c r="AA16" s="243">
        <f t="shared" si="4"/>
        <v>1470.4827158491742</v>
      </c>
      <c r="AB16" s="243">
        <f t="shared" si="0"/>
        <v>3029.66657803004</v>
      </c>
      <c r="AC16" s="243">
        <f t="shared" si="1"/>
        <v>807.91108747467729</v>
      </c>
      <c r="AD16" s="243">
        <f t="shared" si="5"/>
        <v>8.8467673022564863</v>
      </c>
      <c r="AE16" s="244">
        <f t="shared" si="6"/>
        <v>3.1712132622564866</v>
      </c>
      <c r="AF16" s="223">
        <v>26854.999999999996</v>
      </c>
    </row>
    <row r="17" spans="1:32" x14ac:dyDescent="0.2">
      <c r="A17" s="1">
        <v>38</v>
      </c>
      <c r="B17" s="1" t="str">
        <f t="shared" si="7"/>
        <v>0.14, Tractor (60-89 hp) 2WD 75</v>
      </c>
      <c r="C17" s="168">
        <v>0.14000000000000001</v>
      </c>
      <c r="D17" s="164" t="s">
        <v>459</v>
      </c>
      <c r="E17" s="164" t="s">
        <v>257</v>
      </c>
      <c r="F17" s="164" t="s">
        <v>155</v>
      </c>
      <c r="G17" s="164" t="str">
        <f t="shared" si="2"/>
        <v>Tractor (60-89 hp) 2WD 75</v>
      </c>
      <c r="H17" s="29">
        <v>44932.02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2407.0724999999993</v>
      </c>
      <c r="R17" s="7">
        <f t="shared" si="10"/>
        <v>4.0117874999999987</v>
      </c>
      <c r="S17" s="2">
        <f t="shared" si="11"/>
        <v>8986.4039999999986</v>
      </c>
      <c r="T17" s="2">
        <f t="shared" si="12"/>
        <v>2567.5439999999994</v>
      </c>
      <c r="U17" s="2">
        <f t="shared" si="13"/>
        <v>26959.212</v>
      </c>
      <c r="V17" s="6">
        <f t="shared" si="14"/>
        <v>2426.32908</v>
      </c>
      <c r="W17" s="6">
        <f t="shared" si="15"/>
        <v>647.02108799999996</v>
      </c>
      <c r="X17" s="6">
        <f t="shared" si="16"/>
        <v>5640.8941679999989</v>
      </c>
      <c r="Y17" s="5">
        <f t="shared" si="17"/>
        <v>9.4014902799999973</v>
      </c>
      <c r="Z17" s="243">
        <f t="shared" si="18"/>
        <v>10830.291062978684</v>
      </c>
      <c r="AA17" s="243">
        <f t="shared" si="4"/>
        <v>2435.8377812158078</v>
      </c>
      <c r="AB17" s="243">
        <f t="shared" si="0"/>
        <v>5018.6079956680815</v>
      </c>
      <c r="AC17" s="243">
        <f t="shared" si="1"/>
        <v>1338.2954655114884</v>
      </c>
      <c r="AD17" s="243">
        <f t="shared" si="5"/>
        <v>14.654568737325629</v>
      </c>
      <c r="AE17" s="244">
        <f t="shared" si="6"/>
        <v>5.2530784573256319</v>
      </c>
      <c r="AF17" s="223">
        <v>44484.999999999993</v>
      </c>
    </row>
    <row r="18" spans="1:32" x14ac:dyDescent="0.2">
      <c r="A18" s="1">
        <v>40</v>
      </c>
      <c r="B18" s="1" t="str">
        <f t="shared" si="7"/>
        <v>0.15, Tractor (60-89 hp) MFWD 75</v>
      </c>
      <c r="C18" s="168">
        <v>0.15</v>
      </c>
      <c r="D18" s="164" t="s">
        <v>459</v>
      </c>
      <c r="E18" s="164" t="s">
        <v>257</v>
      </c>
      <c r="F18" s="164" t="s">
        <v>154</v>
      </c>
      <c r="G18" s="164" t="str">
        <f t="shared" si="2"/>
        <v>Tractor (60-89 hp) MFWD 75</v>
      </c>
      <c r="H18" s="29">
        <v>49590.869999999995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2656.6537499999999</v>
      </c>
      <c r="R18" s="7">
        <f t="shared" si="10"/>
        <v>4.4277562499999998</v>
      </c>
      <c r="S18" s="2">
        <f t="shared" si="11"/>
        <v>9918.1739999999991</v>
      </c>
      <c r="T18" s="2">
        <f t="shared" si="12"/>
        <v>2833.7639999999997</v>
      </c>
      <c r="U18" s="2">
        <f t="shared" si="13"/>
        <v>29754.521999999997</v>
      </c>
      <c r="V18" s="6">
        <f t="shared" si="14"/>
        <v>2677.9069799999997</v>
      </c>
      <c r="W18" s="6">
        <f t="shared" si="15"/>
        <v>714.10852799999998</v>
      </c>
      <c r="X18" s="6">
        <f t="shared" si="16"/>
        <v>6225.7795079999987</v>
      </c>
      <c r="Y18" s="5">
        <f t="shared" si="17"/>
        <v>10.376299179999998</v>
      </c>
      <c r="Z18" s="243">
        <f t="shared" si="18"/>
        <v>11953.247509600898</v>
      </c>
      <c r="AA18" s="243">
        <f t="shared" si="4"/>
        <v>2688.4016064570783</v>
      </c>
      <c r="AB18" s="243">
        <f t="shared" si="0"/>
        <v>5538.9705758640803</v>
      </c>
      <c r="AC18" s="243">
        <f t="shared" si="1"/>
        <v>1477.0588202304216</v>
      </c>
      <c r="AD18" s="243">
        <f t="shared" si="5"/>
        <v>16.174051670919301</v>
      </c>
      <c r="AE18" s="244">
        <f t="shared" si="6"/>
        <v>5.7977524909193026</v>
      </c>
      <c r="AF18" s="223">
        <v>49097.499999999993</v>
      </c>
    </row>
    <row r="19" spans="1:32" x14ac:dyDescent="0.2">
      <c r="A19" s="1">
        <v>2</v>
      </c>
      <c r="B19" s="1" t="str">
        <f t="shared" si="7"/>
        <v>0.16, Tractor (60-89 hp) 2WD 75</v>
      </c>
      <c r="C19" s="168">
        <v>0.16</v>
      </c>
      <c r="D19" s="164" t="s">
        <v>459</v>
      </c>
      <c r="E19" s="164" t="s">
        <v>257</v>
      </c>
      <c r="F19" s="164" t="s">
        <v>155</v>
      </c>
      <c r="G19" s="164" t="str">
        <f t="shared" si="2"/>
        <v>Tractor (60-89 hp) 2WD 75</v>
      </c>
      <c r="H19" s="29">
        <v>36235.5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1941.1875</v>
      </c>
      <c r="R19" s="7">
        <f t="shared" si="10"/>
        <v>3.2353125</v>
      </c>
      <c r="S19" s="2">
        <f t="shared" si="11"/>
        <v>7247.1</v>
      </c>
      <c r="T19" s="2">
        <f t="shared" si="12"/>
        <v>2070.6</v>
      </c>
      <c r="U19" s="2">
        <f t="shared" si="13"/>
        <v>21741.3</v>
      </c>
      <c r="V19" s="6">
        <f t="shared" si="14"/>
        <v>1956.7169999999999</v>
      </c>
      <c r="W19" s="6">
        <f t="shared" si="15"/>
        <v>521.7912</v>
      </c>
      <c r="X19" s="6">
        <f t="shared" si="16"/>
        <v>4549.1081999999997</v>
      </c>
      <c r="Y19" s="5">
        <f t="shared" si="17"/>
        <v>7.5818469999999998</v>
      </c>
      <c r="Z19" s="243">
        <f t="shared" si="18"/>
        <v>8734.1056959505531</v>
      </c>
      <c r="AA19" s="243">
        <f t="shared" si="4"/>
        <v>1964.3853074321034</v>
      </c>
      <c r="AB19" s="243">
        <f t="shared" si="0"/>
        <v>4047.2645126355496</v>
      </c>
      <c r="AC19" s="243">
        <f t="shared" si="1"/>
        <v>1079.2705367028132</v>
      </c>
      <c r="AD19" s="243">
        <f t="shared" si="5"/>
        <v>11.818200594617444</v>
      </c>
      <c r="AE19" s="244">
        <f t="shared" si="6"/>
        <v>4.2363535946174444</v>
      </c>
      <c r="AF19" s="223">
        <v>35875</v>
      </c>
    </row>
    <row r="20" spans="1:32" x14ac:dyDescent="0.2">
      <c r="A20" s="1">
        <v>39</v>
      </c>
      <c r="B20" s="1" t="str">
        <f t="shared" si="7"/>
        <v>0.17, Tractor (60-89 hp) MFWD 75</v>
      </c>
      <c r="C20" s="168">
        <v>0.17</v>
      </c>
      <c r="D20" s="164" t="s">
        <v>459</v>
      </c>
      <c r="E20" s="164" t="s">
        <v>257</v>
      </c>
      <c r="F20" s="164" t="s">
        <v>154</v>
      </c>
      <c r="G20" s="164" t="str">
        <f t="shared" si="2"/>
        <v>Tractor (60-89 hp) MFWD 75</v>
      </c>
      <c r="H20" s="29">
        <v>40997.879999999997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2196.3150000000001</v>
      </c>
      <c r="R20" s="7">
        <f t="shared" si="10"/>
        <v>3.6605250000000003</v>
      </c>
      <c r="S20" s="2">
        <f t="shared" si="11"/>
        <v>8199.5759999999991</v>
      </c>
      <c r="T20" s="2">
        <f t="shared" si="12"/>
        <v>2342.7359999999999</v>
      </c>
      <c r="U20" s="2">
        <f t="shared" si="13"/>
        <v>24598.727999999999</v>
      </c>
      <c r="V20" s="6">
        <f t="shared" si="14"/>
        <v>2213.8855199999998</v>
      </c>
      <c r="W20" s="6">
        <f t="shared" si="15"/>
        <v>590.36947199999997</v>
      </c>
      <c r="X20" s="6">
        <f t="shared" si="16"/>
        <v>5146.990992</v>
      </c>
      <c r="Y20" s="5">
        <f t="shared" si="17"/>
        <v>8.5783183199999993</v>
      </c>
      <c r="Z20" s="243">
        <f t="shared" si="18"/>
        <v>9882.0167302754817</v>
      </c>
      <c r="AA20" s="243">
        <f t="shared" si="4"/>
        <v>2222.5616621231798</v>
      </c>
      <c r="AB20" s="243">
        <f t="shared" si="0"/>
        <v>4579.1907057247927</v>
      </c>
      <c r="AC20" s="243">
        <f t="shared" si="1"/>
        <v>1221.1175215266114</v>
      </c>
      <c r="AD20" s="243">
        <f t="shared" si="5"/>
        <v>13.371449815624306</v>
      </c>
      <c r="AE20" s="244">
        <f t="shared" si="6"/>
        <v>4.7931314956243067</v>
      </c>
      <c r="AF20" s="223">
        <v>40590</v>
      </c>
    </row>
    <row r="21" spans="1:32" x14ac:dyDescent="0.2">
      <c r="A21" s="1">
        <v>42</v>
      </c>
      <c r="B21" s="1" t="str">
        <f t="shared" si="7"/>
        <v>0.18, Tractor (90-119 hp) 2WD 105</v>
      </c>
      <c r="C21" s="168">
        <v>0.18</v>
      </c>
      <c r="D21" s="164" t="s">
        <v>459</v>
      </c>
      <c r="E21" s="164" t="s">
        <v>258</v>
      </c>
      <c r="F21" s="164" t="s">
        <v>153</v>
      </c>
      <c r="G21" s="164" t="str">
        <f t="shared" si="2"/>
        <v>Tractor (90-119 hp) 2WD 105</v>
      </c>
      <c r="H21" s="29">
        <v>65327.429999999993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2799.7469999999998</v>
      </c>
      <c r="R21" s="7">
        <f t="shared" si="10"/>
        <v>4.666245</v>
      </c>
      <c r="S21" s="2">
        <f t="shared" si="11"/>
        <v>13065.485999999999</v>
      </c>
      <c r="T21" s="2">
        <f t="shared" si="12"/>
        <v>3732.9959999999996</v>
      </c>
      <c r="U21" s="2">
        <f t="shared" si="13"/>
        <v>39196.457999999999</v>
      </c>
      <c r="V21" s="6">
        <f t="shared" si="14"/>
        <v>3527.6812199999999</v>
      </c>
      <c r="W21" s="6">
        <f t="shared" si="15"/>
        <v>940.71499199999994</v>
      </c>
      <c r="X21" s="6">
        <f t="shared" si="16"/>
        <v>8201.3922119999988</v>
      </c>
      <c r="Y21" s="5">
        <f t="shared" si="17"/>
        <v>13.668987019999998</v>
      </c>
      <c r="Z21" s="243">
        <f>((0.942-0.1*(L21^0.5)-0.0008*(M21^0.5))^2)*H21</f>
        <v>19635.157364915027</v>
      </c>
      <c r="AA21" s="243">
        <f t="shared" si="4"/>
        <v>3263.7337596489265</v>
      </c>
      <c r="AB21" s="243">
        <f t="shared" si="0"/>
        <v>7646.6328628423507</v>
      </c>
      <c r="AC21" s="243">
        <f t="shared" si="1"/>
        <v>2039.1020967579605</v>
      </c>
      <c r="AD21" s="243">
        <f t="shared" si="5"/>
        <v>21.582447865415396</v>
      </c>
      <c r="AE21" s="244">
        <f t="shared" si="6"/>
        <v>7.9134608454153987</v>
      </c>
      <c r="AF21" s="223">
        <v>64677.499999999993</v>
      </c>
    </row>
    <row r="22" spans="1:32" x14ac:dyDescent="0.2">
      <c r="A22" s="1">
        <v>43</v>
      </c>
      <c r="B22" s="1" t="str">
        <f t="shared" si="7"/>
        <v>0.19, Tractor (90-119 hp) MFWD 105</v>
      </c>
      <c r="C22" s="168">
        <v>0.19</v>
      </c>
      <c r="D22" s="164" t="s">
        <v>459</v>
      </c>
      <c r="E22" s="164" t="s">
        <v>258</v>
      </c>
      <c r="F22" s="164" t="s">
        <v>152</v>
      </c>
      <c r="G22" s="164" t="str">
        <f t="shared" si="2"/>
        <v>Tractor (90-119 hp) MFWD 105</v>
      </c>
      <c r="H22" s="29">
        <v>77026.319999999992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3301.1279999999997</v>
      </c>
      <c r="R22" s="7">
        <f t="shared" si="10"/>
        <v>5.5018799999999999</v>
      </c>
      <c r="S22" s="2">
        <f t="shared" si="11"/>
        <v>15405.263999999999</v>
      </c>
      <c r="T22" s="2">
        <f t="shared" si="12"/>
        <v>4401.5039999999999</v>
      </c>
      <c r="U22" s="2">
        <f t="shared" si="13"/>
        <v>46215.791999999994</v>
      </c>
      <c r="V22" s="6">
        <f t="shared" si="14"/>
        <v>4159.4212799999996</v>
      </c>
      <c r="W22" s="6">
        <f t="shared" si="15"/>
        <v>1109.1790079999998</v>
      </c>
      <c r="X22" s="6">
        <f t="shared" si="16"/>
        <v>9670.1042879999986</v>
      </c>
      <c r="Y22" s="5">
        <f t="shared" si="17"/>
        <v>16.116840479999997</v>
      </c>
      <c r="Z22" s="243">
        <f t="shared" ref="Z22:Z28" si="19">((0.942-0.1*(L22^0.5)-0.0008*(M22^0.5))^2)*H22</f>
        <v>23151.437526936261</v>
      </c>
      <c r="AA22" s="243">
        <f t="shared" si="4"/>
        <v>3848.2058909331236</v>
      </c>
      <c r="AB22" s="243">
        <f t="shared" si="0"/>
        <v>9015.9981774242624</v>
      </c>
      <c r="AC22" s="243">
        <f t="shared" si="1"/>
        <v>2404.2661806464703</v>
      </c>
      <c r="AD22" s="243">
        <f t="shared" si="5"/>
        <v>25.447450415006429</v>
      </c>
      <c r="AE22" s="244">
        <f t="shared" si="6"/>
        <v>9.3306099350064322</v>
      </c>
      <c r="AF22" s="223">
        <v>76260</v>
      </c>
    </row>
    <row r="23" spans="1:32" x14ac:dyDescent="0.2">
      <c r="A23" s="1">
        <v>3</v>
      </c>
      <c r="B23" s="1" t="str">
        <f t="shared" si="7"/>
        <v>0.2, Tractor (90-119 hp) 2WD 105</v>
      </c>
      <c r="C23" s="168">
        <v>0.2</v>
      </c>
      <c r="D23" s="164" t="s">
        <v>459</v>
      </c>
      <c r="E23" s="164" t="s">
        <v>258</v>
      </c>
      <c r="F23" s="164" t="s">
        <v>153</v>
      </c>
      <c r="G23" s="164" t="str">
        <f t="shared" si="2"/>
        <v>Tractor (90-119 hp) 2WD 105</v>
      </c>
      <c r="H23" s="29">
        <v>56216.789999999994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2409.2909999999997</v>
      </c>
      <c r="R23" s="7">
        <f t="shared" si="10"/>
        <v>4.0154849999999991</v>
      </c>
      <c r="S23" s="2">
        <f t="shared" si="11"/>
        <v>11243.357999999998</v>
      </c>
      <c r="T23" s="2">
        <f t="shared" si="12"/>
        <v>3212.3879999999995</v>
      </c>
      <c r="U23" s="2">
        <f t="shared" si="13"/>
        <v>33730.073999999993</v>
      </c>
      <c r="V23" s="6">
        <f t="shared" si="14"/>
        <v>3035.7066599999994</v>
      </c>
      <c r="W23" s="6">
        <f t="shared" si="15"/>
        <v>809.52177599999982</v>
      </c>
      <c r="X23" s="6">
        <f t="shared" si="16"/>
        <v>7057.6164359999984</v>
      </c>
      <c r="Y23" s="5">
        <f t="shared" si="17"/>
        <v>11.762694059999998</v>
      </c>
      <c r="Z23" s="243">
        <f t="shared" si="19"/>
        <v>16896.815291836545</v>
      </c>
      <c r="AA23" s="243">
        <f t="shared" si="4"/>
        <v>2808.5696220116747</v>
      </c>
      <c r="AB23" s="243">
        <f t="shared" si="0"/>
        <v>6580.224476265289</v>
      </c>
      <c r="AC23" s="243">
        <f t="shared" si="1"/>
        <v>1754.7265270040771</v>
      </c>
      <c r="AD23" s="243">
        <f t="shared" si="5"/>
        <v>18.5725343754684</v>
      </c>
      <c r="AE23" s="244">
        <f t="shared" si="6"/>
        <v>6.8098403154684028</v>
      </c>
      <c r="AF23" s="223">
        <v>55657.499999999993</v>
      </c>
    </row>
    <row r="24" spans="1:32" x14ac:dyDescent="0.2">
      <c r="A24" s="1">
        <v>41</v>
      </c>
      <c r="B24" s="1" t="str">
        <f t="shared" si="7"/>
        <v>0.21, Tractor (90-119 hp) MFWD 105</v>
      </c>
      <c r="C24" s="168">
        <v>0.21</v>
      </c>
      <c r="D24" s="164" t="s">
        <v>459</v>
      </c>
      <c r="E24" s="164" t="s">
        <v>258</v>
      </c>
      <c r="F24" s="164" t="s">
        <v>152</v>
      </c>
      <c r="G24" s="164" t="str">
        <f t="shared" si="2"/>
        <v>Tractor (90-119 hp) MFWD 105</v>
      </c>
      <c r="H24" s="29">
        <v>58908.569999999992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2524.6529999999998</v>
      </c>
      <c r="R24" s="7">
        <f t="shared" si="10"/>
        <v>4.2077549999999997</v>
      </c>
      <c r="S24" s="2">
        <f t="shared" si="11"/>
        <v>11781.714</v>
      </c>
      <c r="T24" s="2">
        <f t="shared" si="12"/>
        <v>3366.2039999999993</v>
      </c>
      <c r="U24" s="2">
        <f t="shared" si="13"/>
        <v>35345.141999999993</v>
      </c>
      <c r="V24" s="6">
        <f t="shared" si="14"/>
        <v>3181.0627799999993</v>
      </c>
      <c r="W24" s="6">
        <f t="shared" si="15"/>
        <v>848.28340799999989</v>
      </c>
      <c r="X24" s="6">
        <f t="shared" si="16"/>
        <v>7395.5501879999983</v>
      </c>
      <c r="Y24" s="5">
        <f t="shared" si="17"/>
        <v>12.325916979999997</v>
      </c>
      <c r="Z24" s="243">
        <f t="shared" si="19"/>
        <v>17705.870904337004</v>
      </c>
      <c r="AA24" s="243">
        <f t="shared" si="4"/>
        <v>2943.0499354044991</v>
      </c>
      <c r="AB24" s="243">
        <f t="shared" si="0"/>
        <v>6895.2996813903292</v>
      </c>
      <c r="AC24" s="243">
        <f t="shared" si="1"/>
        <v>1838.7465817040879</v>
      </c>
      <c r="AD24" s="243">
        <f t="shared" si="5"/>
        <v>19.461826997498196</v>
      </c>
      <c r="AE24" s="244">
        <f t="shared" si="6"/>
        <v>7.1359100174981993</v>
      </c>
      <c r="AF24" s="223">
        <v>58322.499999999993</v>
      </c>
    </row>
    <row r="25" spans="1:32" x14ac:dyDescent="0.2">
      <c r="A25" s="1">
        <v>4</v>
      </c>
      <c r="B25" s="1" t="str">
        <f t="shared" si="7"/>
        <v>0.22, Tractor (120-139 hp) 2WD 130</v>
      </c>
      <c r="C25" s="168">
        <v>0.22</v>
      </c>
      <c r="D25" s="164" t="s">
        <v>459</v>
      </c>
      <c r="E25" s="164" t="s">
        <v>259</v>
      </c>
      <c r="F25" s="164" t="s">
        <v>151</v>
      </c>
      <c r="G25" s="164" t="str">
        <f t="shared" si="2"/>
        <v>Tractor (120-139 hp) 2WD 130</v>
      </c>
      <c r="H25" s="29">
        <v>177000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7585.7142857142853</v>
      </c>
      <c r="R25" s="7">
        <f t="shared" si="10"/>
        <v>12.642857142857142</v>
      </c>
      <c r="S25" s="2">
        <f t="shared" si="11"/>
        <v>35400</v>
      </c>
      <c r="T25" s="2">
        <f t="shared" si="12"/>
        <v>10114.285714285714</v>
      </c>
      <c r="U25" s="2">
        <f t="shared" si="13"/>
        <v>106200</v>
      </c>
      <c r="V25" s="6">
        <f t="shared" si="14"/>
        <v>9558</v>
      </c>
      <c r="W25" s="6">
        <f t="shared" si="15"/>
        <v>2548.8000000000002</v>
      </c>
      <c r="X25" s="6">
        <f t="shared" si="16"/>
        <v>22221.085714285713</v>
      </c>
      <c r="Y25" s="5">
        <f t="shared" si="17"/>
        <v>37.035142857142858</v>
      </c>
      <c r="Z25" s="243">
        <f t="shared" si="19"/>
        <v>53200.054763978318</v>
      </c>
      <c r="AA25" s="243">
        <f t="shared" si="4"/>
        <v>8842.8532311444051</v>
      </c>
      <c r="AB25" s="243">
        <f t="shared" si="0"/>
        <v>20718.004928758048</v>
      </c>
      <c r="AC25" s="243">
        <f t="shared" si="1"/>
        <v>5524.8013143354801</v>
      </c>
      <c r="AD25" s="243">
        <f t="shared" si="5"/>
        <v>58.476099123729895</v>
      </c>
      <c r="AE25" s="244">
        <f t="shared" si="6"/>
        <v>21.440956266587037</v>
      </c>
      <c r="AF25" s="223">
        <v>98707.499999999985</v>
      </c>
    </row>
    <row r="26" spans="1:32" x14ac:dyDescent="0.2">
      <c r="A26" s="1">
        <v>44</v>
      </c>
      <c r="B26" s="1" t="str">
        <f t="shared" si="7"/>
        <v>0.23, Tractor (120-139 hp) MFWD 130</v>
      </c>
      <c r="C26" s="168">
        <v>0.23</v>
      </c>
      <c r="D26" s="164" t="s">
        <v>459</v>
      </c>
      <c r="E26" s="164" t="s">
        <v>259</v>
      </c>
      <c r="F26" s="164" t="s">
        <v>150</v>
      </c>
      <c r="G26" s="164" t="str">
        <f t="shared" si="2"/>
        <v>Tractor (120-139 hp) MFWD 130</v>
      </c>
      <c r="H26" s="29">
        <v>123000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5271.4285714285716</v>
      </c>
      <c r="R26" s="7">
        <f t="shared" si="10"/>
        <v>8.7857142857142865</v>
      </c>
      <c r="S26" s="2">
        <f t="shared" si="11"/>
        <v>24600</v>
      </c>
      <c r="T26" s="2">
        <f t="shared" si="12"/>
        <v>7028.5714285714284</v>
      </c>
      <c r="U26" s="2">
        <f t="shared" si="13"/>
        <v>73800</v>
      </c>
      <c r="V26" s="6">
        <f t="shared" si="14"/>
        <v>6642</v>
      </c>
      <c r="W26" s="6">
        <f t="shared" si="15"/>
        <v>1771.2</v>
      </c>
      <c r="X26" s="6">
        <f t="shared" si="16"/>
        <v>15441.771428571428</v>
      </c>
      <c r="Y26" s="5">
        <f t="shared" si="17"/>
        <v>25.736285714285714</v>
      </c>
      <c r="Z26" s="243">
        <f t="shared" si="19"/>
        <v>36969.529581747644</v>
      </c>
      <c r="AA26" s="243">
        <f t="shared" si="4"/>
        <v>6145.0336013037395</v>
      </c>
      <c r="AB26" s="243">
        <f t="shared" si="0"/>
        <v>14397.25766235729</v>
      </c>
      <c r="AC26" s="243">
        <f t="shared" si="1"/>
        <v>3839.2687099619438</v>
      </c>
      <c r="AD26" s="243">
        <f t="shared" si="5"/>
        <v>40.635933289371614</v>
      </c>
      <c r="AE26" s="244">
        <f t="shared" si="6"/>
        <v>14.899647575085901</v>
      </c>
      <c r="AF26" s="223">
        <v>116849.99999999999</v>
      </c>
    </row>
    <row r="27" spans="1:32" x14ac:dyDescent="0.2">
      <c r="A27" s="1">
        <v>5</v>
      </c>
      <c r="B27" s="1" t="str">
        <f t="shared" si="7"/>
        <v>0.24, Tractor (140-159 hp) 2WD 150</v>
      </c>
      <c r="C27" s="168">
        <v>0.24</v>
      </c>
      <c r="D27" s="164" t="s">
        <v>459</v>
      </c>
      <c r="E27" s="164" t="s">
        <v>260</v>
      </c>
      <c r="F27" s="164" t="s">
        <v>149</v>
      </c>
      <c r="G27" s="164" t="str">
        <f t="shared" si="2"/>
        <v>Tractor (140-159 hp) 2WD 150</v>
      </c>
      <c r="H27" s="29">
        <v>131483.09999999998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5634.9899999999989</v>
      </c>
      <c r="R27" s="7">
        <f t="shared" si="10"/>
        <v>9.3916499999999985</v>
      </c>
      <c r="S27" s="2">
        <f t="shared" si="11"/>
        <v>26296.619999999995</v>
      </c>
      <c r="T27" s="2">
        <f t="shared" si="12"/>
        <v>7513.3199999999988</v>
      </c>
      <c r="U27" s="2">
        <f t="shared" si="13"/>
        <v>78889.859999999986</v>
      </c>
      <c r="V27" s="6">
        <f t="shared" si="14"/>
        <v>7100.0873999999985</v>
      </c>
      <c r="W27" s="6">
        <f t="shared" si="15"/>
        <v>1893.3566399999997</v>
      </c>
      <c r="X27" s="6">
        <f t="shared" si="16"/>
        <v>16506.764039999995</v>
      </c>
      <c r="Y27" s="5">
        <f t="shared" si="17"/>
        <v>27.51127339999999</v>
      </c>
      <c r="Z27" s="243">
        <f t="shared" si="19"/>
        <v>39519.254918291728</v>
      </c>
      <c r="AA27" s="243">
        <f t="shared" si="4"/>
        <v>6568.846077264875</v>
      </c>
      <c r="AB27" s="243">
        <f t="shared" si="0"/>
        <v>15390.211942646252</v>
      </c>
      <c r="AC27" s="243">
        <f t="shared" si="1"/>
        <v>4104.0565180390013</v>
      </c>
      <c r="AD27" s="243">
        <f t="shared" si="5"/>
        <v>43.438524229916879</v>
      </c>
      <c r="AE27" s="244">
        <f t="shared" si="6"/>
        <v>15.92725082991689</v>
      </c>
      <c r="AF27" s="223">
        <v>130174.99999999999</v>
      </c>
    </row>
    <row r="28" spans="1:32" x14ac:dyDescent="0.2">
      <c r="A28" s="1">
        <v>18</v>
      </c>
      <c r="B28" s="1" t="str">
        <f t="shared" si="7"/>
        <v>0.25, Tractor (140-159 hp) MFWD 150</v>
      </c>
      <c r="C28" s="168">
        <v>0.25</v>
      </c>
      <c r="D28" s="164" t="s">
        <v>459</v>
      </c>
      <c r="E28" s="164" t="s">
        <v>260</v>
      </c>
      <c r="F28" s="164" t="s">
        <v>148</v>
      </c>
      <c r="G28" s="164" t="str">
        <f t="shared" si="2"/>
        <v>Tractor (140-159 hp) MFWD 150</v>
      </c>
      <c r="H28" s="29">
        <v>148047.9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6344.9100000000008</v>
      </c>
      <c r="R28" s="7">
        <f t="shared" si="10"/>
        <v>10.574850000000001</v>
      </c>
      <c r="S28" s="2">
        <f t="shared" si="11"/>
        <v>29609.58</v>
      </c>
      <c r="T28" s="2">
        <f t="shared" si="12"/>
        <v>8459.8799999999992</v>
      </c>
      <c r="U28" s="2">
        <f t="shared" si="13"/>
        <v>88828.739999999991</v>
      </c>
      <c r="V28" s="6">
        <f t="shared" si="14"/>
        <v>7994.5865999999987</v>
      </c>
      <c r="W28" s="6">
        <f t="shared" si="15"/>
        <v>2131.88976</v>
      </c>
      <c r="X28" s="6">
        <f t="shared" si="16"/>
        <v>18586.356359999998</v>
      </c>
      <c r="Y28" s="5">
        <f t="shared" si="17"/>
        <v>30.977260599999997</v>
      </c>
      <c r="Z28" s="243">
        <f t="shared" si="19"/>
        <v>44498.058687525343</v>
      </c>
      <c r="AA28" s="243">
        <f t="shared" si="4"/>
        <v>7396.4172366053326</v>
      </c>
      <c r="AB28" s="243">
        <f t="shared" si="0"/>
        <v>17329.13628187728</v>
      </c>
      <c r="AC28" s="243">
        <f t="shared" si="1"/>
        <v>4621.1030085006078</v>
      </c>
      <c r="AD28" s="243">
        <f t="shared" si="5"/>
        <v>48.911094211638698</v>
      </c>
      <c r="AE28" s="244">
        <f t="shared" si="6"/>
        <v>17.9338336116387</v>
      </c>
      <c r="AF28" s="223">
        <v>146575</v>
      </c>
    </row>
    <row r="29" spans="1:32" x14ac:dyDescent="0.2">
      <c r="A29" s="1">
        <v>6</v>
      </c>
      <c r="B29" s="1" t="str">
        <f t="shared" si="7"/>
        <v>0.26, Tractor (160-179 hp) 2WD 170</v>
      </c>
      <c r="C29" s="168">
        <v>0.26</v>
      </c>
      <c r="D29" s="164" t="s">
        <v>459</v>
      </c>
      <c r="E29" s="164" t="s">
        <v>261</v>
      </c>
      <c r="F29" s="164" t="s">
        <v>147</v>
      </c>
      <c r="G29" s="164" t="str">
        <f t="shared" si="2"/>
        <v>Tractor (160-179 hp) 2WD 170</v>
      </c>
      <c r="H29" s="29">
        <v>161506.79999999999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6921.72</v>
      </c>
      <c r="R29" s="7">
        <f t="shared" si="10"/>
        <v>11.536200000000001</v>
      </c>
      <c r="S29" s="2">
        <f t="shared" si="11"/>
        <v>32301.360000000001</v>
      </c>
      <c r="T29" s="2">
        <f t="shared" si="12"/>
        <v>9228.9599999999991</v>
      </c>
      <c r="U29" s="2">
        <f t="shared" si="13"/>
        <v>96904.079999999987</v>
      </c>
      <c r="V29" s="6">
        <f t="shared" si="14"/>
        <v>8721.3671999999988</v>
      </c>
      <c r="W29" s="6">
        <f t="shared" si="15"/>
        <v>2325.6979199999996</v>
      </c>
      <c r="X29" s="6">
        <f t="shared" si="16"/>
        <v>20276.025119999998</v>
      </c>
      <c r="Y29" s="5">
        <f t="shared" si="17"/>
        <v>33.7933752</v>
      </c>
      <c r="Z29" s="243">
        <f>((0.976-0.119*(L29^0.5)-0.0019*(M29^0.5))^2)*H29</f>
        <v>37865.596787051727</v>
      </c>
      <c r="AA29" s="243">
        <f t="shared" si="4"/>
        <v>8831.5145152105888</v>
      </c>
      <c r="AB29" s="243">
        <f t="shared" si="0"/>
        <v>17943.515710834654</v>
      </c>
      <c r="AC29" s="243">
        <f t="shared" si="1"/>
        <v>4784.9375228892413</v>
      </c>
      <c r="AD29" s="243">
        <f t="shared" si="5"/>
        <v>52.599946248224143</v>
      </c>
      <c r="AE29" s="244">
        <f t="shared" si="6"/>
        <v>18.806571048224143</v>
      </c>
      <c r="AF29" s="223">
        <v>159900</v>
      </c>
    </row>
    <row r="30" spans="1:32" x14ac:dyDescent="0.2">
      <c r="A30" s="1">
        <v>19</v>
      </c>
      <c r="B30" s="1" t="str">
        <f t="shared" si="7"/>
        <v>0.27, Tractor (160-179 hp) MFWD 170</v>
      </c>
      <c r="C30" s="168">
        <v>0.27</v>
      </c>
      <c r="D30" s="164" t="s">
        <v>459</v>
      </c>
      <c r="E30" s="164" t="s">
        <v>261</v>
      </c>
      <c r="F30" s="164" t="s">
        <v>146</v>
      </c>
      <c r="G30" s="164" t="str">
        <f t="shared" si="2"/>
        <v>Tractor (160-179 hp) MFWD 170</v>
      </c>
      <c r="H30" s="223">
        <v>161506.79999999999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6921.72</v>
      </c>
      <c r="R30" s="7">
        <f t="shared" si="10"/>
        <v>11.536200000000001</v>
      </c>
      <c r="S30" s="2">
        <f t="shared" si="11"/>
        <v>32301.360000000001</v>
      </c>
      <c r="T30" s="2">
        <f t="shared" si="12"/>
        <v>9228.9599999999991</v>
      </c>
      <c r="U30" s="2">
        <f t="shared" si="13"/>
        <v>96904.079999999987</v>
      </c>
      <c r="V30" s="6">
        <f t="shared" si="14"/>
        <v>8721.3671999999988</v>
      </c>
      <c r="W30" s="6">
        <f t="shared" si="15"/>
        <v>2325.6979199999996</v>
      </c>
      <c r="X30" s="6">
        <f t="shared" si="16"/>
        <v>20276.025119999998</v>
      </c>
      <c r="Y30" s="5">
        <f t="shared" si="17"/>
        <v>33.7933752</v>
      </c>
      <c r="Z30" s="243">
        <f t="shared" ref="Z30:Z40" si="20">((0.976-0.119*(L30^0.5)-0.0019*(M30^0.5))^2)*H30</f>
        <v>37865.596787051727</v>
      </c>
      <c r="AA30" s="243">
        <f t="shared" si="4"/>
        <v>8831.5145152105888</v>
      </c>
      <c r="AB30" s="243">
        <f t="shared" si="0"/>
        <v>17943.515710834654</v>
      </c>
      <c r="AC30" s="243">
        <f t="shared" si="1"/>
        <v>4784.9375228892413</v>
      </c>
      <c r="AD30" s="243">
        <f t="shared" si="5"/>
        <v>52.599946248224143</v>
      </c>
      <c r="AE30" s="244">
        <f t="shared" si="6"/>
        <v>18.806571048224143</v>
      </c>
      <c r="AF30" s="223">
        <v>159900</v>
      </c>
    </row>
    <row r="31" spans="1:32" x14ac:dyDescent="0.2">
      <c r="A31" s="1">
        <v>21</v>
      </c>
      <c r="B31" s="1" t="str">
        <f t="shared" si="7"/>
        <v>0.28, Tractor (180-199 hp) MFWD 190</v>
      </c>
      <c r="C31" s="168">
        <v>0.28000000000000003</v>
      </c>
      <c r="D31" s="164" t="s">
        <v>459</v>
      </c>
      <c r="E31" s="164" t="s">
        <v>262</v>
      </c>
      <c r="F31" s="164" t="s">
        <v>145</v>
      </c>
      <c r="G31" s="164" t="str">
        <f t="shared" si="2"/>
        <v>Tractor (180-199 hp) MFWD 190</v>
      </c>
      <c r="H31" s="29">
        <v>186000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7971.4285714285716</v>
      </c>
      <c r="R31" s="7">
        <f t="shared" si="10"/>
        <v>13.285714285714286</v>
      </c>
      <c r="S31" s="2">
        <f t="shared" si="11"/>
        <v>37200</v>
      </c>
      <c r="T31" s="2">
        <f t="shared" si="12"/>
        <v>10628.571428571429</v>
      </c>
      <c r="U31" s="2">
        <f t="shared" si="13"/>
        <v>111600</v>
      </c>
      <c r="V31" s="6">
        <f>U31*intir</f>
        <v>10044</v>
      </c>
      <c r="W31" s="6">
        <f t="shared" si="15"/>
        <v>2678.4</v>
      </c>
      <c r="X31" s="6">
        <f t="shared" si="16"/>
        <v>23350.971428571429</v>
      </c>
      <c r="Y31" s="5">
        <f t="shared" si="17"/>
        <v>38.918285714285716</v>
      </c>
      <c r="Z31" s="243">
        <f t="shared" si="20"/>
        <v>43608.077197936072</v>
      </c>
      <c r="AA31" s="243">
        <f t="shared" si="4"/>
        <v>10170.851628718852</v>
      </c>
      <c r="AB31" s="243">
        <f t="shared" si="0"/>
        <v>20664.726947814244</v>
      </c>
      <c r="AC31" s="243">
        <f t="shared" si="1"/>
        <v>5510.5938527504659</v>
      </c>
      <c r="AD31" s="243">
        <f t="shared" si="5"/>
        <v>60.576954048805931</v>
      </c>
      <c r="AE31" s="244">
        <f t="shared" si="6"/>
        <v>21.658668334520215</v>
      </c>
      <c r="AF31" s="223">
        <v>171174.99999999997</v>
      </c>
    </row>
    <row r="32" spans="1:32" x14ac:dyDescent="0.2">
      <c r="A32" s="1">
        <v>9</v>
      </c>
      <c r="B32" s="1" t="str">
        <f t="shared" si="7"/>
        <v>0.29, Tractor (200-249 hp) MFWD 225</v>
      </c>
      <c r="C32" s="168">
        <v>0.28999999999999998</v>
      </c>
      <c r="D32" s="164" t="s">
        <v>459</v>
      </c>
      <c r="E32" s="164" t="s">
        <v>263</v>
      </c>
      <c r="F32" s="164" t="s">
        <v>144</v>
      </c>
      <c r="G32" s="164" t="str">
        <f t="shared" si="2"/>
        <v>Tractor (200-249 hp) MFWD 225</v>
      </c>
      <c r="H32" s="29">
        <v>233977.8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10027.619999999999</v>
      </c>
      <c r="R32" s="7">
        <f t="shared" si="10"/>
        <v>16.712699999999998</v>
      </c>
      <c r="S32" s="2">
        <f t="shared" si="11"/>
        <v>46795.56</v>
      </c>
      <c r="T32" s="2">
        <f t="shared" si="12"/>
        <v>13370.16</v>
      </c>
      <c r="U32" s="2">
        <f t="shared" si="13"/>
        <v>140386.68</v>
      </c>
      <c r="V32" s="6">
        <f t="shared" si="14"/>
        <v>12634.801199999998</v>
      </c>
      <c r="W32" s="6">
        <f t="shared" si="15"/>
        <v>3369.2803199999998</v>
      </c>
      <c r="X32" s="6">
        <f t="shared" si="16"/>
        <v>29374.241519999996</v>
      </c>
      <c r="Y32" s="5">
        <f t="shared" si="17"/>
        <v>48.957069199999992</v>
      </c>
      <c r="Z32" s="243">
        <f t="shared" si="20"/>
        <v>54856.569704318521</v>
      </c>
      <c r="AA32" s="243">
        <f t="shared" si="4"/>
        <v>12794.373592548674</v>
      </c>
      <c r="AB32" s="243">
        <f t="shared" si="0"/>
        <v>25995.093273388666</v>
      </c>
      <c r="AC32" s="243">
        <f t="shared" si="1"/>
        <v>6932.0248729036448</v>
      </c>
      <c r="AD32" s="243">
        <f t="shared" si="5"/>
        <v>76.20248623140165</v>
      </c>
      <c r="AE32" s="244">
        <f t="shared" si="6"/>
        <v>27.245417031401658</v>
      </c>
      <c r="AF32" s="223">
        <v>231649.99999999997</v>
      </c>
    </row>
    <row r="33" spans="1:32" x14ac:dyDescent="0.2">
      <c r="A33" s="1">
        <v>22</v>
      </c>
      <c r="B33" s="1" t="str">
        <f t="shared" si="7"/>
        <v>0.3, Tractor (200-249 hp) Track 225</v>
      </c>
      <c r="C33" s="168">
        <v>0.3</v>
      </c>
      <c r="D33" s="164" t="s">
        <v>459</v>
      </c>
      <c r="E33" s="164" t="s">
        <v>263</v>
      </c>
      <c r="F33" s="164" t="s">
        <v>143</v>
      </c>
      <c r="G33" s="164" t="str">
        <f t="shared" si="2"/>
        <v>Tractor (200-249 hp) Track 225</v>
      </c>
      <c r="H33" s="29">
        <v>286778.09999999998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12290.49</v>
      </c>
      <c r="R33" s="7">
        <f t="shared" si="10"/>
        <v>20.48415</v>
      </c>
      <c r="S33" s="2">
        <f t="shared" si="11"/>
        <v>57355.62</v>
      </c>
      <c r="T33" s="2">
        <f t="shared" si="12"/>
        <v>16387.32</v>
      </c>
      <c r="U33" s="2">
        <f t="shared" si="13"/>
        <v>172066.86</v>
      </c>
      <c r="V33" s="6">
        <f t="shared" si="14"/>
        <v>15486.017399999999</v>
      </c>
      <c r="W33" s="6">
        <f t="shared" si="15"/>
        <v>4129.6046399999996</v>
      </c>
      <c r="X33" s="6">
        <f t="shared" si="16"/>
        <v>36002.942039999994</v>
      </c>
      <c r="Y33" s="5">
        <f t="shared" si="17"/>
        <v>60.004903399999989</v>
      </c>
      <c r="Z33" s="243">
        <f t="shared" si="20"/>
        <v>67235.707115470053</v>
      </c>
      <c r="AA33" s="243">
        <f t="shared" si="4"/>
        <v>15681.599491752137</v>
      </c>
      <c r="AB33" s="243">
        <f t="shared" si="0"/>
        <v>31861.242640392305</v>
      </c>
      <c r="AC33" s="243">
        <f t="shared" si="1"/>
        <v>8496.3313707712823</v>
      </c>
      <c r="AD33" s="243">
        <f t="shared" si="5"/>
        <v>93.398622504859532</v>
      </c>
      <c r="AE33" s="244">
        <f t="shared" si="6"/>
        <v>33.393719104859542</v>
      </c>
      <c r="AF33" s="223">
        <v>283925</v>
      </c>
    </row>
    <row r="34" spans="1:32" x14ac:dyDescent="0.2">
      <c r="A34" s="1">
        <v>23</v>
      </c>
      <c r="B34" s="1" t="str">
        <f t="shared" si="7"/>
        <v>0.31, Tractor (250-349 hp) 4WD 300</v>
      </c>
      <c r="C34" s="168">
        <v>0.31</v>
      </c>
      <c r="D34" s="164" t="s">
        <v>459</v>
      </c>
      <c r="E34" s="164" t="s">
        <v>264</v>
      </c>
      <c r="F34" s="164" t="s">
        <v>142</v>
      </c>
      <c r="G34" s="164" t="str">
        <f t="shared" si="2"/>
        <v>Tractor (250-349 hp) 4WD 300</v>
      </c>
      <c r="H34" s="223">
        <v>286778.09999999998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12290.49</v>
      </c>
      <c r="R34" s="7">
        <f t="shared" si="10"/>
        <v>20.48415</v>
      </c>
      <c r="S34" s="2">
        <f t="shared" si="11"/>
        <v>57355.62</v>
      </c>
      <c r="T34" s="2">
        <f t="shared" si="12"/>
        <v>16387.32</v>
      </c>
      <c r="U34" s="2">
        <f t="shared" si="13"/>
        <v>172066.86</v>
      </c>
      <c r="V34" s="6">
        <f t="shared" si="14"/>
        <v>15486.017399999999</v>
      </c>
      <c r="W34" s="6">
        <f t="shared" si="15"/>
        <v>4129.6046399999996</v>
      </c>
      <c r="X34" s="6">
        <f t="shared" si="16"/>
        <v>36002.942039999994</v>
      </c>
      <c r="Y34" s="5">
        <f t="shared" si="17"/>
        <v>60.004903399999989</v>
      </c>
      <c r="Z34" s="243">
        <f t="shared" si="20"/>
        <v>67235.707115470053</v>
      </c>
      <c r="AA34" s="243">
        <f t="shared" si="4"/>
        <v>15681.599491752137</v>
      </c>
      <c r="AB34" s="243">
        <f t="shared" si="0"/>
        <v>31861.242640392305</v>
      </c>
      <c r="AC34" s="243">
        <f t="shared" si="1"/>
        <v>8496.3313707712823</v>
      </c>
      <c r="AD34" s="243">
        <f t="shared" si="5"/>
        <v>93.398622504859532</v>
      </c>
      <c r="AE34" s="244">
        <f t="shared" si="6"/>
        <v>33.393719104859542</v>
      </c>
      <c r="AF34" s="223">
        <v>283925</v>
      </c>
    </row>
    <row r="35" spans="1:32" x14ac:dyDescent="0.2">
      <c r="A35" s="1">
        <v>61</v>
      </c>
      <c r="B35" s="1" t="str">
        <f t="shared" si="7"/>
        <v>0.32, Tractor (250-349 hp) MFWD 300</v>
      </c>
      <c r="C35" s="168">
        <v>0.32</v>
      </c>
      <c r="D35" s="164" t="s">
        <v>459</v>
      </c>
      <c r="E35" s="164" t="s">
        <v>264</v>
      </c>
      <c r="F35" s="164" t="s">
        <v>141</v>
      </c>
      <c r="G35" s="164" t="str">
        <f t="shared" si="2"/>
        <v>Tractor (250-349 hp) MFWD 300</v>
      </c>
      <c r="H35" s="223">
        <v>290919.3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12467.97</v>
      </c>
      <c r="R35" s="7">
        <f t="shared" si="10"/>
        <v>20.779949999999999</v>
      </c>
      <c r="S35" s="2">
        <f t="shared" si="11"/>
        <v>58183.86</v>
      </c>
      <c r="T35" s="2">
        <f t="shared" si="12"/>
        <v>16623.96</v>
      </c>
      <c r="U35" s="2">
        <f t="shared" si="13"/>
        <v>174551.58</v>
      </c>
      <c r="V35" s="6">
        <f t="shared" si="14"/>
        <v>15709.642199999998</v>
      </c>
      <c r="W35" s="6">
        <f t="shared" si="15"/>
        <v>4189.2379199999996</v>
      </c>
      <c r="X35" s="6">
        <f t="shared" si="16"/>
        <v>36522.840119999993</v>
      </c>
      <c r="Y35" s="5">
        <f t="shared" si="17"/>
        <v>60.871400199999989</v>
      </c>
      <c r="Z35" s="243">
        <f t="shared" si="20"/>
        <v>68206.619853599579</v>
      </c>
      <c r="AA35" s="243">
        <f t="shared" si="4"/>
        <v>15908.048581885743</v>
      </c>
      <c r="AB35" s="243">
        <f t="shared" si="0"/>
        <v>32321.332786823961</v>
      </c>
      <c r="AC35" s="243">
        <f t="shared" si="1"/>
        <v>8619.0220764863898</v>
      </c>
      <c r="AD35" s="243">
        <f t="shared" si="5"/>
        <v>94.747339075326835</v>
      </c>
      <c r="AE35" s="244">
        <f t="shared" si="6"/>
        <v>33.875938875326845</v>
      </c>
      <c r="AF35" s="223">
        <v>288025</v>
      </c>
    </row>
    <row r="36" spans="1:32" x14ac:dyDescent="0.2">
      <c r="A36" s="1">
        <v>24</v>
      </c>
      <c r="B36" s="1" t="str">
        <f t="shared" si="7"/>
        <v>0.33, Tractor (250-349 hp) Track 300</v>
      </c>
      <c r="C36" s="168">
        <v>0.33</v>
      </c>
      <c r="D36" s="164" t="s">
        <v>459</v>
      </c>
      <c r="E36" s="164" t="s">
        <v>264</v>
      </c>
      <c r="F36" s="164" t="s">
        <v>140</v>
      </c>
      <c r="G36" s="164" t="str">
        <f t="shared" si="2"/>
        <v>Tractor (250-349 hp) Track 300</v>
      </c>
      <c r="H36" s="223">
        <v>280566.3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12024.27</v>
      </c>
      <c r="R36" s="7">
        <f t="shared" si="10"/>
        <v>20.04045</v>
      </c>
      <c r="S36" s="2">
        <f t="shared" si="11"/>
        <v>56113.26</v>
      </c>
      <c r="T36" s="2">
        <f t="shared" si="12"/>
        <v>16032.359999999999</v>
      </c>
      <c r="U36" s="2">
        <f t="shared" si="13"/>
        <v>168339.78</v>
      </c>
      <c r="V36" s="6">
        <f t="shared" si="14"/>
        <v>15150.580199999999</v>
      </c>
      <c r="W36" s="6">
        <f t="shared" si="15"/>
        <v>4040.15472</v>
      </c>
      <c r="X36" s="6">
        <f t="shared" si="16"/>
        <v>35223.094919999996</v>
      </c>
      <c r="Y36" s="5">
        <f t="shared" si="17"/>
        <v>58.705158199999993</v>
      </c>
      <c r="Z36" s="243">
        <f t="shared" si="20"/>
        <v>65779.33800827575</v>
      </c>
      <c r="AA36" s="243">
        <f t="shared" si="4"/>
        <v>15341.925856551732</v>
      </c>
      <c r="AB36" s="243">
        <f t="shared" si="0"/>
        <v>31171.107420744818</v>
      </c>
      <c r="AC36" s="243">
        <f t="shared" si="1"/>
        <v>8312.2953121986193</v>
      </c>
      <c r="AD36" s="243">
        <f t="shared" si="5"/>
        <v>91.375547649158619</v>
      </c>
      <c r="AE36" s="244">
        <f t="shared" si="6"/>
        <v>32.670389449158627</v>
      </c>
      <c r="AF36" s="223">
        <v>277775</v>
      </c>
    </row>
    <row r="37" spans="1:32" x14ac:dyDescent="0.2">
      <c r="A37" s="1">
        <v>25</v>
      </c>
      <c r="B37" s="1" t="str">
        <f t="shared" si="7"/>
        <v>0.34, Tractor (350-449 hp) 4WD 400</v>
      </c>
      <c r="C37" s="168">
        <v>0.34</v>
      </c>
      <c r="D37" s="164" t="s">
        <v>459</v>
      </c>
      <c r="E37" s="164" t="s">
        <v>265</v>
      </c>
      <c r="F37" s="164" t="s">
        <v>139</v>
      </c>
      <c r="G37" s="164" t="str">
        <f t="shared" si="2"/>
        <v>Tractor (350-449 hp) 4WD 400</v>
      </c>
      <c r="H37" s="223">
        <v>324048.89999999997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13887.809999999998</v>
      </c>
      <c r="R37" s="7">
        <f t="shared" si="10"/>
        <v>23.146349999999995</v>
      </c>
      <c r="S37" s="2">
        <f t="shared" si="11"/>
        <v>64809.779999999992</v>
      </c>
      <c r="T37" s="2">
        <f t="shared" si="12"/>
        <v>18517.079999999998</v>
      </c>
      <c r="U37" s="2">
        <f t="shared" si="13"/>
        <v>194429.33999999997</v>
      </c>
      <c r="V37" s="6">
        <f t="shared" si="14"/>
        <v>17498.640599999995</v>
      </c>
      <c r="W37" s="6">
        <f t="shared" si="15"/>
        <v>4666.3041599999997</v>
      </c>
      <c r="X37" s="6">
        <f t="shared" si="16"/>
        <v>40682.024759999993</v>
      </c>
      <c r="Y37" s="5">
        <f t="shared" si="17"/>
        <v>67.803374599999984</v>
      </c>
      <c r="Z37" s="243">
        <f t="shared" si="20"/>
        <v>75973.921758635828</v>
      </c>
      <c r="AA37" s="243">
        <f t="shared" si="4"/>
        <v>17719.64130295458</v>
      </c>
      <c r="AB37" s="243">
        <f t="shared" si="0"/>
        <v>36002.053958277218</v>
      </c>
      <c r="AC37" s="243">
        <f t="shared" si="1"/>
        <v>9600.5477222072604</v>
      </c>
      <c r="AD37" s="243">
        <f t="shared" si="5"/>
        <v>105.53707163906509</v>
      </c>
      <c r="AE37" s="244">
        <f t="shared" si="6"/>
        <v>37.733697039065106</v>
      </c>
      <c r="AF37" s="223">
        <v>320825</v>
      </c>
    </row>
    <row r="38" spans="1:32" x14ac:dyDescent="0.2">
      <c r="A38" s="1">
        <v>26</v>
      </c>
      <c r="B38" s="1" t="str">
        <f t="shared" si="7"/>
        <v>0.35, Tractor (350-449 hp) Track 400</v>
      </c>
      <c r="C38" s="168">
        <v>0.35</v>
      </c>
      <c r="D38" s="164" t="s">
        <v>459</v>
      </c>
      <c r="E38" s="164" t="s">
        <v>265</v>
      </c>
      <c r="F38" s="164" t="s">
        <v>138</v>
      </c>
      <c r="G38" s="164" t="str">
        <f t="shared" si="2"/>
        <v>Tractor (350-449 hp) Track 400</v>
      </c>
      <c r="H38" s="223">
        <v>376849.19999999995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16150.679999999997</v>
      </c>
      <c r="R38" s="7">
        <f t="shared" si="10"/>
        <v>26.917799999999996</v>
      </c>
      <c r="S38" s="2">
        <f t="shared" si="11"/>
        <v>75369.84</v>
      </c>
      <c r="T38" s="2">
        <f t="shared" si="12"/>
        <v>21534.239999999998</v>
      </c>
      <c r="U38" s="2">
        <f t="shared" si="13"/>
        <v>226109.51999999996</v>
      </c>
      <c r="V38" s="6">
        <f t="shared" si="14"/>
        <v>20349.856799999994</v>
      </c>
      <c r="W38" s="6">
        <f t="shared" si="15"/>
        <v>5426.6284799999994</v>
      </c>
      <c r="X38" s="6">
        <f t="shared" si="16"/>
        <v>47310.725279999991</v>
      </c>
      <c r="Y38" s="5">
        <f t="shared" si="17"/>
        <v>78.851208799999981</v>
      </c>
      <c r="Z38" s="243">
        <f t="shared" si="20"/>
        <v>88353.059169787346</v>
      </c>
      <c r="AA38" s="243">
        <f t="shared" si="4"/>
        <v>20606.867202158046</v>
      </c>
      <c r="AB38" s="243">
        <f t="shared" si="0"/>
        <v>41868.203325280854</v>
      </c>
      <c r="AC38" s="243">
        <f t="shared" si="1"/>
        <v>11164.854220074894</v>
      </c>
      <c r="AD38" s="243">
        <f t="shared" si="5"/>
        <v>122.733207912523</v>
      </c>
      <c r="AE38" s="244">
        <f t="shared" si="6"/>
        <v>43.881999112523019</v>
      </c>
      <c r="AF38" s="223">
        <v>373099.99999999994</v>
      </c>
    </row>
    <row r="39" spans="1:32" x14ac:dyDescent="0.2">
      <c r="A39" s="1">
        <v>56</v>
      </c>
      <c r="B39" s="1" t="str">
        <f t="shared" si="7"/>
        <v>0.36, Tractor (450-550 hp) 4WD 500</v>
      </c>
      <c r="C39" s="168">
        <v>0.36</v>
      </c>
      <c r="D39" s="164" t="s">
        <v>459</v>
      </c>
      <c r="E39" s="164" t="s">
        <v>266</v>
      </c>
      <c r="F39" s="164" t="s">
        <v>137</v>
      </c>
      <c r="G39" s="164" t="str">
        <f t="shared" si="2"/>
        <v>Tractor (450-550 hp) 4WD 500</v>
      </c>
      <c r="H39" s="223">
        <v>413084.69999999995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17703.629999999997</v>
      </c>
      <c r="R39" s="7">
        <f t="shared" si="10"/>
        <v>29.506049999999995</v>
      </c>
      <c r="S39" s="2">
        <f t="shared" si="11"/>
        <v>82616.939999999988</v>
      </c>
      <c r="T39" s="2">
        <f t="shared" si="12"/>
        <v>23604.839999999997</v>
      </c>
      <c r="U39" s="2">
        <f t="shared" si="13"/>
        <v>247850.81999999998</v>
      </c>
      <c r="V39" s="6">
        <f t="shared" si="14"/>
        <v>22306.573799999998</v>
      </c>
      <c r="W39" s="6">
        <f t="shared" si="15"/>
        <v>5948.41968</v>
      </c>
      <c r="X39" s="6">
        <f t="shared" si="16"/>
        <v>51859.833479999994</v>
      </c>
      <c r="Y39" s="5">
        <f t="shared" si="17"/>
        <v>86.433055799999991</v>
      </c>
      <c r="Z39" s="243">
        <f t="shared" si="20"/>
        <v>96848.545628420747</v>
      </c>
      <c r="AA39" s="243">
        <f t="shared" si="4"/>
        <v>22588.296740827085</v>
      </c>
      <c r="AB39" s="243">
        <f t="shared" si="0"/>
        <v>45893.992106557867</v>
      </c>
      <c r="AC39" s="243">
        <f t="shared" si="1"/>
        <v>12238.397895082098</v>
      </c>
      <c r="AD39" s="243">
        <f t="shared" si="5"/>
        <v>134.53447790411175</v>
      </c>
      <c r="AE39" s="244">
        <f t="shared" si="6"/>
        <v>48.101422104111762</v>
      </c>
      <c r="AF39" s="223">
        <v>408974.99999999994</v>
      </c>
    </row>
    <row r="40" spans="1:32" x14ac:dyDescent="0.2">
      <c r="A40" s="1">
        <v>55</v>
      </c>
      <c r="B40" s="1" t="str">
        <f t="shared" si="7"/>
        <v>0.37, Tractor (450-550 hp) Track 500</v>
      </c>
      <c r="C40" s="168">
        <v>0.37</v>
      </c>
      <c r="D40" s="164" t="s">
        <v>459</v>
      </c>
      <c r="E40" s="164" t="s">
        <v>266</v>
      </c>
      <c r="F40" s="164" t="s">
        <v>136</v>
      </c>
      <c r="G40" s="164" t="str">
        <f t="shared" si="2"/>
        <v>Tractor (450-550 hp) Track 500</v>
      </c>
      <c r="H40" s="223">
        <v>373743.3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16017.570000000002</v>
      </c>
      <c r="R40" s="7">
        <f t="shared" si="10"/>
        <v>26.695950000000003</v>
      </c>
      <c r="S40" s="2">
        <f t="shared" si="11"/>
        <v>74748.66</v>
      </c>
      <c r="T40" s="2">
        <f t="shared" si="12"/>
        <v>21356.760000000002</v>
      </c>
      <c r="U40" s="2">
        <f t="shared" si="13"/>
        <v>224245.97999999998</v>
      </c>
      <c r="V40" s="6">
        <f t="shared" si="14"/>
        <v>20182.138199999998</v>
      </c>
      <c r="W40" s="6">
        <f t="shared" si="15"/>
        <v>5381.9035199999998</v>
      </c>
      <c r="X40" s="6">
        <f t="shared" si="16"/>
        <v>46920.801719999996</v>
      </c>
      <c r="Y40" s="5">
        <f t="shared" si="17"/>
        <v>78.2013362</v>
      </c>
      <c r="Z40" s="243">
        <f t="shared" si="20"/>
        <v>87624.874616190209</v>
      </c>
      <c r="AA40" s="243">
        <f t="shared" si="4"/>
        <v>20437.030384557842</v>
      </c>
      <c r="AB40" s="243">
        <f t="shared" si="0"/>
        <v>41523.135715457116</v>
      </c>
      <c r="AC40" s="243">
        <f t="shared" si="1"/>
        <v>11072.836190788565</v>
      </c>
      <c r="AD40" s="243">
        <f t="shared" si="5"/>
        <v>121.72167048467256</v>
      </c>
      <c r="AE40" s="244">
        <f t="shared" si="6"/>
        <v>43.520334284672558</v>
      </c>
      <c r="AF40" s="223">
        <v>370024.99999999994</v>
      </c>
    </row>
    <row r="41" spans="1:32" x14ac:dyDescent="0.2">
      <c r="A41" s="1">
        <v>68</v>
      </c>
      <c r="B41" s="1" t="str">
        <f t="shared" si="7"/>
        <v>0.38, Utility Vehicle 500 CC</v>
      </c>
      <c r="C41" s="168">
        <v>0.38</v>
      </c>
      <c r="D41" s="164" t="s">
        <v>459</v>
      </c>
      <c r="E41" s="164" t="s">
        <v>215</v>
      </c>
      <c r="F41" s="164" t="s">
        <v>135</v>
      </c>
      <c r="G41" s="164" t="str">
        <f t="shared" si="2"/>
        <v>Utility Vehicle 500 CC</v>
      </c>
      <c r="H41" s="223">
        <v>6729.4499999999989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120.16874999999997</v>
      </c>
      <c r="R41" s="7">
        <f t="shared" si="10"/>
        <v>0.6008437499999999</v>
      </c>
      <c r="S41" s="2">
        <f t="shared" si="11"/>
        <v>2018.8349999999998</v>
      </c>
      <c r="T41" s="2">
        <f t="shared" si="12"/>
        <v>336.47249999999991</v>
      </c>
      <c r="U41" s="2">
        <f t="shared" si="13"/>
        <v>4374.142499999999</v>
      </c>
      <c r="V41" s="6">
        <f t="shared" si="14"/>
        <v>393.67282499999988</v>
      </c>
      <c r="W41" s="6">
        <f t="shared" si="15"/>
        <v>104.97941999999998</v>
      </c>
      <c r="X41" s="6">
        <f t="shared" si="16"/>
        <v>835.12474499999973</v>
      </c>
      <c r="Y41" s="5">
        <f t="shared" si="17"/>
        <v>4.1756237249999986</v>
      </c>
      <c r="Z41" s="243">
        <f>((0.786-0.063*(L41^0.5)-0.0033*(M41^0.5))^2)*H41</f>
        <v>1706.720041613072</v>
      </c>
      <c r="AA41" s="243">
        <f t="shared" si="4"/>
        <v>358.76642559906622</v>
      </c>
      <c r="AB41" s="243">
        <f t="shared" si="0"/>
        <v>759.25530374517643</v>
      </c>
      <c r="AC41" s="243">
        <f t="shared" si="1"/>
        <v>202.46808099871373</v>
      </c>
      <c r="AD41" s="243">
        <f t="shared" si="5"/>
        <v>6.6024490517147818</v>
      </c>
      <c r="AE41" s="244">
        <f t="shared" si="6"/>
        <v>2.4268253267147832</v>
      </c>
      <c r="AF41" s="223">
        <v>6662.4999999999991</v>
      </c>
    </row>
    <row r="42" spans="1:32" x14ac:dyDescent="0.2">
      <c r="A42" s="1">
        <v>66</v>
      </c>
      <c r="B42" s="1" t="str">
        <f t="shared" si="7"/>
        <v>0.39, Utility Vehicle 600 CC</v>
      </c>
      <c r="C42" s="168">
        <v>0.39</v>
      </c>
      <c r="D42" s="164" t="s">
        <v>459</v>
      </c>
      <c r="E42" s="164" t="s">
        <v>215</v>
      </c>
      <c r="F42" s="164" t="s">
        <v>134</v>
      </c>
      <c r="G42" s="164" t="str">
        <f t="shared" si="2"/>
        <v>Utility Vehicle 600 CC</v>
      </c>
      <c r="H42" s="223">
        <v>11905.949999999999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212.60625000000002</v>
      </c>
      <c r="R42" s="7">
        <f t="shared" si="10"/>
        <v>1.0630312500000001</v>
      </c>
      <c r="S42" s="2">
        <f t="shared" si="11"/>
        <v>3571.7849999999994</v>
      </c>
      <c r="T42" s="2">
        <f t="shared" si="12"/>
        <v>595.2974999999999</v>
      </c>
      <c r="U42" s="2">
        <f t="shared" si="13"/>
        <v>7738.8674999999994</v>
      </c>
      <c r="V42" s="6">
        <f t="shared" si="14"/>
        <v>696.49807499999997</v>
      </c>
      <c r="W42" s="6">
        <f t="shared" si="15"/>
        <v>185.73281999999998</v>
      </c>
      <c r="X42" s="6">
        <f t="shared" si="16"/>
        <v>1477.5283949999998</v>
      </c>
      <c r="Y42" s="5">
        <f t="shared" si="17"/>
        <v>7.3876419749999993</v>
      </c>
      <c r="Z42" s="243">
        <f t="shared" ref="Z42:Z43" si="21">((0.786-0.063*(L42^0.5)-0.0033*(M42^0.5))^2)*H42</f>
        <v>3019.5816120846662</v>
      </c>
      <c r="AA42" s="243">
        <f t="shared" si="4"/>
        <v>634.74059913680946</v>
      </c>
      <c r="AB42" s="243">
        <f t="shared" si="0"/>
        <v>1343.2978450876199</v>
      </c>
      <c r="AC42" s="243">
        <f t="shared" si="1"/>
        <v>358.21275869003199</v>
      </c>
      <c r="AD42" s="243">
        <f t="shared" si="5"/>
        <v>11.681256014572307</v>
      </c>
      <c r="AE42" s="244">
        <f t="shared" si="6"/>
        <v>4.2936140395723079</v>
      </c>
      <c r="AF42" s="223">
        <v>11787.499999999998</v>
      </c>
    </row>
    <row r="43" spans="1:32" x14ac:dyDescent="0.2">
      <c r="A43" s="1">
        <v>67</v>
      </c>
      <c r="B43" s="1" t="str">
        <f t="shared" si="7"/>
        <v>0.4, Utility Vehicle 800 CC</v>
      </c>
      <c r="C43" s="168">
        <v>0.4</v>
      </c>
      <c r="D43" s="164" t="s">
        <v>459</v>
      </c>
      <c r="E43" s="164" t="s">
        <v>215</v>
      </c>
      <c r="F43" s="164" t="s">
        <v>133</v>
      </c>
      <c r="G43" s="164" t="str">
        <f t="shared" si="2"/>
        <v>Utility Vehicle 800 CC</v>
      </c>
      <c r="H43" s="223">
        <v>14804.789999999999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264.37125000000003</v>
      </c>
      <c r="R43" s="7">
        <f t="shared" si="10"/>
        <v>1.3218562500000002</v>
      </c>
      <c r="S43" s="2">
        <f t="shared" si="11"/>
        <v>4441.4369999999999</v>
      </c>
      <c r="T43" s="2">
        <f t="shared" si="12"/>
        <v>740.23949999999991</v>
      </c>
      <c r="U43" s="2">
        <f t="shared" si="13"/>
        <v>9623.1134999999995</v>
      </c>
      <c r="V43" s="6">
        <f t="shared" si="14"/>
        <v>866.08021499999995</v>
      </c>
      <c r="W43" s="6">
        <f t="shared" si="15"/>
        <v>230.954724</v>
      </c>
      <c r="X43" s="6">
        <f t="shared" si="16"/>
        <v>1837.2744389999998</v>
      </c>
      <c r="Y43" s="5">
        <f t="shared" si="17"/>
        <v>9.1863721949999988</v>
      </c>
      <c r="Z43" s="243">
        <f t="shared" si="21"/>
        <v>3754.7840915487591</v>
      </c>
      <c r="AA43" s="243">
        <f t="shared" si="4"/>
        <v>789.28613631794565</v>
      </c>
      <c r="AB43" s="243">
        <f t="shared" si="0"/>
        <v>1670.3616682393881</v>
      </c>
      <c r="AC43" s="243">
        <f t="shared" si="1"/>
        <v>445.42977819717021</v>
      </c>
      <c r="AD43" s="243">
        <f t="shared" si="5"/>
        <v>14.525387913772519</v>
      </c>
      <c r="AE43" s="244">
        <f t="shared" si="6"/>
        <v>5.3390157187725205</v>
      </c>
      <c r="AF43" s="223">
        <v>14657.499999999998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F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.33203125" style="1" bestFit="1" customWidth="1"/>
    <col min="2" max="2" width="36.1640625" style="1" bestFit="1" customWidth="1"/>
    <col min="3" max="3" width="3.83203125" style="164" bestFit="1" customWidth="1"/>
    <col min="4" max="4" width="2.33203125" style="164" bestFit="1" customWidth="1"/>
    <col min="5" max="5" width="13.1640625" style="164" bestFit="1" customWidth="1"/>
    <col min="6" max="6" width="7.5" style="164" bestFit="1" customWidth="1"/>
    <col min="7" max="7" width="19.6640625" style="164" bestFit="1" customWidth="1"/>
    <col min="8" max="8" width="7" style="223" bestFit="1" customWidth="1"/>
    <col min="9" max="9" width="7" style="28" bestFit="1" customWidth="1"/>
    <col min="10" max="11" width="6" style="1" bestFit="1" customWidth="1"/>
    <col min="12" max="12" width="3.33203125" style="1" bestFit="1" customWidth="1"/>
    <col min="13" max="13" width="8.1640625" style="1" bestFit="1" customWidth="1"/>
    <col min="14" max="14" width="5.6640625" style="1" bestFit="1" customWidth="1"/>
    <col min="15" max="15" width="6.33203125" style="1" bestFit="1" customWidth="1"/>
    <col min="16" max="16" width="6" style="1" bestFit="1" customWidth="1"/>
    <col min="17" max="17" width="6.33203125" style="1" bestFit="1" customWidth="1"/>
    <col min="18" max="19" width="6" style="1" bestFit="1" customWidth="1"/>
    <col min="20" max="20" width="5.5" style="1" bestFit="1" customWidth="1"/>
    <col min="21" max="22" width="4.83203125" style="1" bestFit="1" customWidth="1"/>
    <col min="23" max="23" width="9.5" style="1" bestFit="1" customWidth="1"/>
    <col min="24" max="24" width="8.5" style="1" bestFit="1" customWidth="1"/>
    <col min="25" max="25" width="9.5" style="1" bestFit="1" customWidth="1"/>
    <col min="26" max="26" width="9.5" style="5" bestFit="1" customWidth="1"/>
    <col min="27" max="27" width="10.5" style="1" bestFit="1" customWidth="1"/>
    <col min="28" max="28" width="9.5" style="1" bestFit="1" customWidth="1"/>
    <col min="29" max="29" width="10.5" style="1" bestFit="1" customWidth="1"/>
    <col min="30" max="31" width="9.5" style="1" bestFit="1" customWidth="1"/>
    <col min="32" max="32" width="10.5" style="1" bestFit="1" customWidth="1"/>
    <col min="33" max="33" width="9.5" style="5" bestFit="1" customWidth="1"/>
    <col min="34" max="16384" width="8.83203125" style="1"/>
  </cols>
  <sheetData>
    <row r="1" spans="1:36" x14ac:dyDescent="0.2">
      <c r="A1" s="277" t="s">
        <v>465</v>
      </c>
      <c r="B1" s="277"/>
      <c r="C1" s="164">
        <v>2</v>
      </c>
      <c r="D1" s="164">
        <v>3</v>
      </c>
      <c r="E1" s="164">
        <v>4</v>
      </c>
      <c r="F1" s="164">
        <v>5</v>
      </c>
      <c r="G1" s="1">
        <v>6</v>
      </c>
      <c r="H1" s="223">
        <v>7</v>
      </c>
      <c r="I1" s="30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  <c r="Z1" s="5">
        <v>25</v>
      </c>
      <c r="AA1" s="1">
        <v>26</v>
      </c>
      <c r="AB1" s="1">
        <v>27</v>
      </c>
      <c r="AC1" s="1">
        <v>28</v>
      </c>
      <c r="AD1" s="1">
        <v>29</v>
      </c>
      <c r="AE1" s="1">
        <v>30</v>
      </c>
      <c r="AF1" s="1">
        <v>31</v>
      </c>
      <c r="AG1" s="5">
        <v>32</v>
      </c>
    </row>
    <row r="2" spans="1:36" x14ac:dyDescent="0.2">
      <c r="B2" s="39"/>
      <c r="C2" s="198"/>
      <c r="D2" s="198"/>
      <c r="E2" s="170"/>
      <c r="S2" s="275" t="s">
        <v>130</v>
      </c>
      <c r="T2" s="275"/>
      <c r="U2" s="275"/>
      <c r="V2" s="275"/>
      <c r="W2" s="275"/>
      <c r="X2" s="275"/>
      <c r="Y2" s="276" t="s">
        <v>129</v>
      </c>
      <c r="Z2" s="276"/>
    </row>
    <row r="3" spans="1:36" s="15" customFormat="1" ht="10.25" customHeight="1" x14ac:dyDescent="0.15">
      <c r="A3" s="26" t="s">
        <v>458</v>
      </c>
      <c r="B3" s="26" t="s">
        <v>127</v>
      </c>
      <c r="C3" s="166" t="s">
        <v>128</v>
      </c>
      <c r="D3" s="166" t="s">
        <v>460</v>
      </c>
      <c r="E3" s="167" t="s">
        <v>126</v>
      </c>
      <c r="F3" s="167" t="s">
        <v>125</v>
      </c>
      <c r="G3" s="167" t="s">
        <v>461</v>
      </c>
      <c r="H3" s="17" t="s">
        <v>124</v>
      </c>
      <c r="I3" s="18" t="s">
        <v>178</v>
      </c>
      <c r="J3" s="25" t="s">
        <v>123</v>
      </c>
      <c r="K3" s="24" t="s">
        <v>122</v>
      </c>
      <c r="L3" s="17" t="s">
        <v>121</v>
      </c>
      <c r="M3" s="23" t="s">
        <v>120</v>
      </c>
      <c r="N3" s="17" t="s">
        <v>119</v>
      </c>
      <c r="O3" s="17" t="s">
        <v>118</v>
      </c>
      <c r="P3" s="17" t="s">
        <v>117</v>
      </c>
      <c r="Q3" s="17" t="s">
        <v>116</v>
      </c>
      <c r="R3" s="18" t="s">
        <v>115</v>
      </c>
      <c r="S3" s="21" t="s">
        <v>114</v>
      </c>
      <c r="T3" s="21" t="s">
        <v>113</v>
      </c>
      <c r="U3" s="21" t="s">
        <v>112</v>
      </c>
      <c r="V3" s="21" t="s">
        <v>111</v>
      </c>
      <c r="W3" s="22" t="s">
        <v>110</v>
      </c>
      <c r="X3" s="21" t="s">
        <v>109</v>
      </c>
      <c r="Y3" s="20" t="s">
        <v>108</v>
      </c>
      <c r="Z3" s="192" t="s">
        <v>107</v>
      </c>
      <c r="AA3" s="18" t="s">
        <v>106</v>
      </c>
      <c r="AB3" s="18" t="s">
        <v>105</v>
      </c>
      <c r="AC3" s="18" t="s">
        <v>104</v>
      </c>
      <c r="AD3" s="18" t="s">
        <v>103</v>
      </c>
      <c r="AE3" s="17" t="s">
        <v>102</v>
      </c>
      <c r="AF3" s="17" t="s">
        <v>101</v>
      </c>
      <c r="AG3" s="194" t="s">
        <v>100</v>
      </c>
      <c r="AJ3" s="16"/>
    </row>
    <row r="4" spans="1:36" x14ac:dyDescent="0.2">
      <c r="A4" s="1">
        <v>14</v>
      </c>
      <c r="B4" s="1" t="str">
        <f>CONCATENATE(C4,D4,E4,F4)</f>
        <v>0.01, Cotton Picker 4R-30 (250)</v>
      </c>
      <c r="C4" s="164">
        <v>0.01</v>
      </c>
      <c r="D4" s="164" t="s">
        <v>459</v>
      </c>
      <c r="E4" s="185" t="s">
        <v>216</v>
      </c>
      <c r="F4" s="185" t="s">
        <v>227</v>
      </c>
      <c r="G4" s="164" t="str">
        <f>CONCATENATE(E4,F4)</f>
        <v>Cotton Picker 4R-30 (250)</v>
      </c>
      <c r="H4" s="29">
        <v>309952.5</v>
      </c>
      <c r="I4" s="28">
        <v>12.868119999999999</v>
      </c>
      <c r="J4" s="32">
        <v>10</v>
      </c>
      <c r="K4" s="31">
        <v>3.6</v>
      </c>
      <c r="L4" s="30">
        <v>70</v>
      </c>
      <c r="M4" s="4">
        <f t="shared" ref="M4:M32" si="0">1/((J4*K4*L4/100*5280)/43560)</f>
        <v>0.32738095238095238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32" si="1">Q4*P4</f>
        <v>1600</v>
      </c>
      <c r="T4" s="11">
        <v>1</v>
      </c>
      <c r="U4" s="12">
        <v>0.6</v>
      </c>
      <c r="V4" s="12">
        <v>1.85</v>
      </c>
      <c r="W4" s="27">
        <f t="shared" ref="W4:W32" si="2">(U4*H4)*((T4*Q4/1000)^V4)</f>
        <v>9470.0415825336695</v>
      </c>
      <c r="X4" s="27">
        <f t="shared" ref="X4:X32" si="3">W4/Q4</f>
        <v>47.350207912668346</v>
      </c>
      <c r="Y4" s="8">
        <f t="shared" ref="Y4:Y32" si="4">(H4*O4/100)/P4</f>
        <v>9686.015625</v>
      </c>
      <c r="Z4" s="193">
        <f t="shared" ref="Z4:Z32" si="5">Y4/Q4</f>
        <v>48.430078125000001</v>
      </c>
      <c r="AA4" s="2">
        <f t="shared" ref="AA4:AA32" si="6">H4*N4/100</f>
        <v>92985.75</v>
      </c>
      <c r="AB4" s="2">
        <f t="shared" ref="AB4:AB32" si="7">(H4-AA4)/P4</f>
        <v>27120.84375</v>
      </c>
      <c r="AC4" s="2">
        <f t="shared" ref="AC4:AC32" si="8">(AA4+H4)/2</f>
        <v>201469.125</v>
      </c>
      <c r="AD4" s="2">
        <f t="shared" ref="AD4:AD32" si="9">AC4*intir</f>
        <v>18132.221249999999</v>
      </c>
      <c r="AE4" s="2">
        <f t="shared" ref="AE4:AE32" si="10">AC4*itr</f>
        <v>4835.259</v>
      </c>
      <c r="AF4" s="2">
        <f t="shared" ref="AF4:AF32" si="11">AB4+AD4+AE4</f>
        <v>50088.324000000001</v>
      </c>
      <c r="AG4" s="195">
        <f t="shared" ref="AG4:AG32" si="12">AF4/Q4</f>
        <v>250.44162</v>
      </c>
    </row>
    <row r="5" spans="1:36" x14ac:dyDescent="0.2">
      <c r="A5" s="1">
        <v>100</v>
      </c>
      <c r="B5" s="1" t="str">
        <f t="shared" ref="B5:B32" si="13">CONCATENATE(C5,D5,E5,F5)</f>
        <v>0.02, Cotton Picker 4R-30 (350)</v>
      </c>
      <c r="C5" s="164">
        <v>0.02</v>
      </c>
      <c r="D5" s="164" t="s">
        <v>459</v>
      </c>
      <c r="E5" s="185" t="s">
        <v>216</v>
      </c>
      <c r="F5" s="185" t="s">
        <v>228</v>
      </c>
      <c r="G5" s="164" t="str">
        <f t="shared" ref="G5:G44" si="14">CONCATENATE(E5,F5)</f>
        <v>Cotton Picker 4R-30 (350)</v>
      </c>
      <c r="H5" s="29">
        <v>394485</v>
      </c>
      <c r="I5" s="28">
        <v>18.015000000000001</v>
      </c>
      <c r="J5" s="32">
        <v>10</v>
      </c>
      <c r="K5" s="31">
        <v>3.6</v>
      </c>
      <c r="L5" s="30">
        <v>70</v>
      </c>
      <c r="M5" s="4">
        <f t="shared" si="0"/>
        <v>0.32738095238095238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1"/>
        <v>1600</v>
      </c>
      <c r="T5" s="11">
        <v>1</v>
      </c>
      <c r="U5" s="12">
        <v>0.6</v>
      </c>
      <c r="V5" s="12">
        <v>1.85</v>
      </c>
      <c r="W5" s="27">
        <f t="shared" si="2"/>
        <v>12052.780195951942</v>
      </c>
      <c r="X5" s="27">
        <f t="shared" si="3"/>
        <v>60.263900979759711</v>
      </c>
      <c r="Y5" s="8">
        <f t="shared" si="4"/>
        <v>12327.65625</v>
      </c>
      <c r="Z5" s="193">
        <f t="shared" si="5"/>
        <v>61.638281249999999</v>
      </c>
      <c r="AA5" s="2">
        <f t="shared" si="6"/>
        <v>118345.5</v>
      </c>
      <c r="AB5" s="2">
        <f t="shared" si="7"/>
        <v>34517.4375</v>
      </c>
      <c r="AC5" s="2">
        <f t="shared" si="8"/>
        <v>256415.25</v>
      </c>
      <c r="AD5" s="2">
        <f t="shared" si="9"/>
        <v>23077.372499999998</v>
      </c>
      <c r="AE5" s="2">
        <f t="shared" si="10"/>
        <v>6153.9660000000003</v>
      </c>
      <c r="AF5" s="2">
        <f t="shared" si="11"/>
        <v>63748.775999999998</v>
      </c>
      <c r="AG5" s="195">
        <f t="shared" si="12"/>
        <v>318.74387999999999</v>
      </c>
    </row>
    <row r="6" spans="1:36" x14ac:dyDescent="0.2">
      <c r="A6" s="1">
        <v>15</v>
      </c>
      <c r="B6" s="1" t="str">
        <f t="shared" si="13"/>
        <v>0.03, Cotton Picker 5R-30 (250)</v>
      </c>
      <c r="C6" s="164">
        <v>0.03</v>
      </c>
      <c r="D6" s="164" t="s">
        <v>459</v>
      </c>
      <c r="E6" s="185" t="s">
        <v>216</v>
      </c>
      <c r="F6" s="185" t="s">
        <v>229</v>
      </c>
      <c r="G6" s="164" t="str">
        <f t="shared" si="14"/>
        <v>Cotton Picker 5R-30 (250)</v>
      </c>
      <c r="H6" s="29">
        <v>321223.5</v>
      </c>
      <c r="I6" s="28">
        <v>12.868</v>
      </c>
      <c r="J6" s="32">
        <v>12.5</v>
      </c>
      <c r="K6" s="31">
        <v>3.6</v>
      </c>
      <c r="L6" s="30">
        <v>70</v>
      </c>
      <c r="M6" s="4">
        <f t="shared" si="0"/>
        <v>0.26190476190476192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1"/>
        <v>1600</v>
      </c>
      <c r="T6" s="11">
        <v>1</v>
      </c>
      <c r="U6" s="12">
        <v>0.6</v>
      </c>
      <c r="V6" s="12">
        <v>1.85</v>
      </c>
      <c r="W6" s="27">
        <f t="shared" si="2"/>
        <v>9814.4067309894399</v>
      </c>
      <c r="X6" s="27">
        <f t="shared" si="3"/>
        <v>49.072033654947198</v>
      </c>
      <c r="Y6" s="8">
        <f t="shared" si="4"/>
        <v>10038.234375</v>
      </c>
      <c r="Z6" s="193">
        <f t="shared" si="5"/>
        <v>50.191171875000002</v>
      </c>
      <c r="AA6" s="2">
        <f t="shared" si="6"/>
        <v>96367.05</v>
      </c>
      <c r="AB6" s="2">
        <f t="shared" si="7"/>
        <v>28107.056250000001</v>
      </c>
      <c r="AC6" s="2">
        <f t="shared" si="8"/>
        <v>208795.27499999999</v>
      </c>
      <c r="AD6" s="2">
        <f t="shared" si="9"/>
        <v>18791.57475</v>
      </c>
      <c r="AE6" s="2">
        <f t="shared" si="10"/>
        <v>5011.0865999999996</v>
      </c>
      <c r="AF6" s="2">
        <f t="shared" si="11"/>
        <v>51909.717600000004</v>
      </c>
      <c r="AG6" s="195">
        <f t="shared" si="12"/>
        <v>259.548588</v>
      </c>
    </row>
    <row r="7" spans="1:36" x14ac:dyDescent="0.2">
      <c r="A7" s="1">
        <v>92</v>
      </c>
      <c r="B7" s="1" t="str">
        <f t="shared" si="13"/>
        <v>0.04, Cotton Picker 4R-36 (255)</v>
      </c>
      <c r="C7" s="164">
        <v>0.04</v>
      </c>
      <c r="D7" s="164" t="s">
        <v>459</v>
      </c>
      <c r="E7" s="185" t="s">
        <v>216</v>
      </c>
      <c r="F7" s="185" t="s">
        <v>230</v>
      </c>
      <c r="G7" s="164" t="str">
        <f t="shared" si="14"/>
        <v>Cotton Picker 4R-36 (255)</v>
      </c>
      <c r="H7" s="29">
        <v>321223.5</v>
      </c>
      <c r="I7" s="28">
        <v>13.12548</v>
      </c>
      <c r="J7" s="32">
        <v>12</v>
      </c>
      <c r="K7" s="31">
        <v>3.6</v>
      </c>
      <c r="L7" s="30">
        <v>70</v>
      </c>
      <c r="M7" s="4">
        <f t="shared" si="0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1"/>
        <v>1600</v>
      </c>
      <c r="T7" s="11">
        <v>1</v>
      </c>
      <c r="U7" s="12">
        <v>0.6</v>
      </c>
      <c r="V7" s="12">
        <v>1.85</v>
      </c>
      <c r="W7" s="27">
        <f t="shared" si="2"/>
        <v>9814.4067309894399</v>
      </c>
      <c r="X7" s="27">
        <f t="shared" si="3"/>
        <v>49.072033654947198</v>
      </c>
      <c r="Y7" s="8">
        <f t="shared" si="4"/>
        <v>10038.234375</v>
      </c>
      <c r="Z7" s="193">
        <f t="shared" si="5"/>
        <v>50.191171875000002</v>
      </c>
      <c r="AA7" s="2">
        <f t="shared" si="6"/>
        <v>96367.05</v>
      </c>
      <c r="AB7" s="2">
        <f t="shared" si="7"/>
        <v>28107.056250000001</v>
      </c>
      <c r="AC7" s="2">
        <f t="shared" si="8"/>
        <v>208795.27499999999</v>
      </c>
      <c r="AD7" s="2">
        <f t="shared" si="9"/>
        <v>18791.57475</v>
      </c>
      <c r="AE7" s="2">
        <f t="shared" si="10"/>
        <v>5011.0865999999996</v>
      </c>
      <c r="AF7" s="2">
        <f t="shared" si="11"/>
        <v>51909.717600000004</v>
      </c>
      <c r="AG7" s="195">
        <f t="shared" si="12"/>
        <v>259.548588</v>
      </c>
    </row>
    <row r="8" spans="1:36" x14ac:dyDescent="0.2">
      <c r="A8" s="1">
        <v>45</v>
      </c>
      <c r="B8" s="1" t="str">
        <f t="shared" si="13"/>
        <v>0.05, Cotton Picker 4R-36 (350)</v>
      </c>
      <c r="C8" s="164">
        <v>0.05</v>
      </c>
      <c r="D8" s="164" t="s">
        <v>459</v>
      </c>
      <c r="E8" s="185" t="s">
        <v>216</v>
      </c>
      <c r="F8" s="185" t="s">
        <v>231</v>
      </c>
      <c r="G8" s="164" t="str">
        <f t="shared" si="14"/>
        <v>Cotton Picker 4R-36 (350)</v>
      </c>
      <c r="H8" s="29">
        <v>457602.6</v>
      </c>
      <c r="I8" s="28">
        <v>18.015000000000001</v>
      </c>
      <c r="J8" s="32">
        <v>12</v>
      </c>
      <c r="K8" s="31">
        <v>3.6</v>
      </c>
      <c r="L8" s="30">
        <v>70</v>
      </c>
      <c r="M8" s="4">
        <f t="shared" si="0"/>
        <v>0.27281746031746035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1"/>
        <v>1600</v>
      </c>
      <c r="T8" s="11">
        <v>1</v>
      </c>
      <c r="U8" s="12">
        <v>0.6</v>
      </c>
      <c r="V8" s="12">
        <v>1.85</v>
      </c>
      <c r="W8" s="27">
        <f t="shared" si="2"/>
        <v>13981.225027304254</v>
      </c>
      <c r="X8" s="27">
        <f t="shared" si="3"/>
        <v>69.906125136521268</v>
      </c>
      <c r="Y8" s="8">
        <f t="shared" si="4"/>
        <v>14300.081249999999</v>
      </c>
      <c r="Z8" s="193">
        <f t="shared" si="5"/>
        <v>71.500406249999997</v>
      </c>
      <c r="AA8" s="2">
        <f t="shared" si="6"/>
        <v>137280.78</v>
      </c>
      <c r="AB8" s="2">
        <f t="shared" si="7"/>
        <v>40040.227499999994</v>
      </c>
      <c r="AC8" s="2">
        <f t="shared" si="8"/>
        <v>297441.69</v>
      </c>
      <c r="AD8" s="2">
        <f t="shared" si="9"/>
        <v>26769.752099999998</v>
      </c>
      <c r="AE8" s="2">
        <f t="shared" si="10"/>
        <v>7138.6005599999999</v>
      </c>
      <c r="AF8" s="2">
        <f t="shared" si="11"/>
        <v>73948.580159999998</v>
      </c>
      <c r="AG8" s="195">
        <f t="shared" si="12"/>
        <v>369.74290079999997</v>
      </c>
    </row>
    <row r="9" spans="1:36" x14ac:dyDescent="0.2">
      <c r="A9" s="1">
        <v>105</v>
      </c>
      <c r="B9" s="1" t="str">
        <f t="shared" si="13"/>
        <v>0.06, Cotton Picker 6R-30 (355)</v>
      </c>
      <c r="C9" s="164">
        <v>0.06</v>
      </c>
      <c r="D9" s="164" t="s">
        <v>459</v>
      </c>
      <c r="E9" s="185" t="s">
        <v>216</v>
      </c>
      <c r="F9" s="185" t="s">
        <v>232</v>
      </c>
      <c r="G9" s="164" t="str">
        <f t="shared" si="14"/>
        <v>Cotton Picker 6R-30 (355)</v>
      </c>
      <c r="H9" s="29">
        <v>524101.5</v>
      </c>
      <c r="I9" s="28">
        <v>18.273</v>
      </c>
      <c r="J9" s="32">
        <v>15</v>
      </c>
      <c r="K9" s="31">
        <v>3.6</v>
      </c>
      <c r="L9" s="30">
        <v>70</v>
      </c>
      <c r="M9" s="4">
        <f t="shared" si="0"/>
        <v>0.21825396825396828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1"/>
        <v>1600</v>
      </c>
      <c r="T9" s="11">
        <v>1</v>
      </c>
      <c r="U9" s="12">
        <v>0.6</v>
      </c>
      <c r="V9" s="12">
        <v>1.85</v>
      </c>
      <c r="W9" s="27">
        <f t="shared" si="2"/>
        <v>16012.979403193294</v>
      </c>
      <c r="X9" s="27">
        <f t="shared" si="3"/>
        <v>80.064897015966466</v>
      </c>
      <c r="Y9" s="8">
        <f t="shared" si="4"/>
        <v>16378.171875</v>
      </c>
      <c r="Z9" s="193">
        <f t="shared" si="5"/>
        <v>81.890859375000005</v>
      </c>
      <c r="AA9" s="2">
        <f t="shared" si="6"/>
        <v>157230.45000000001</v>
      </c>
      <c r="AB9" s="2">
        <f t="shared" si="7"/>
        <v>45858.881249999999</v>
      </c>
      <c r="AC9" s="2">
        <f t="shared" si="8"/>
        <v>340665.97499999998</v>
      </c>
      <c r="AD9" s="2">
        <f t="shared" si="9"/>
        <v>30659.937749999997</v>
      </c>
      <c r="AE9" s="2">
        <f t="shared" si="10"/>
        <v>8175.9833999999992</v>
      </c>
      <c r="AF9" s="2">
        <f t="shared" si="11"/>
        <v>84694.802399999986</v>
      </c>
      <c r="AG9" s="195">
        <f t="shared" si="12"/>
        <v>423.4740119999999</v>
      </c>
    </row>
    <row r="10" spans="1:36" x14ac:dyDescent="0.2">
      <c r="A10" s="1">
        <v>42</v>
      </c>
      <c r="B10" s="1" t="str">
        <f t="shared" si="13"/>
        <v>0.07, Cotton Picker 5R-36 (250)</v>
      </c>
      <c r="C10" s="164">
        <v>7.0000000000000007E-2</v>
      </c>
      <c r="D10" s="164" t="s">
        <v>459</v>
      </c>
      <c r="E10" s="185" t="s">
        <v>216</v>
      </c>
      <c r="F10" s="185" t="s">
        <v>233</v>
      </c>
      <c r="G10" s="164" t="str">
        <f t="shared" si="14"/>
        <v>Cotton Picker 5R-36 (250)</v>
      </c>
      <c r="H10" s="29">
        <v>465492.3</v>
      </c>
      <c r="I10" s="28">
        <v>12.868</v>
      </c>
      <c r="J10" s="32">
        <v>15.8</v>
      </c>
      <c r="K10" s="31">
        <v>3.6</v>
      </c>
      <c r="L10" s="30">
        <v>70</v>
      </c>
      <c r="M10" s="4">
        <f t="shared" si="0"/>
        <v>0.20720313441832428</v>
      </c>
      <c r="N10" s="29">
        <v>30</v>
      </c>
      <c r="O10" s="29">
        <v>25</v>
      </c>
      <c r="P10" s="29">
        <v>8</v>
      </c>
      <c r="Q10" s="29">
        <v>200</v>
      </c>
      <c r="R10" s="28">
        <v>0</v>
      </c>
      <c r="S10" s="11">
        <f t="shared" si="1"/>
        <v>1600</v>
      </c>
      <c r="T10" s="11">
        <v>1</v>
      </c>
      <c r="U10" s="12">
        <v>0.6</v>
      </c>
      <c r="V10" s="12">
        <v>1.85</v>
      </c>
      <c r="W10" s="27">
        <f t="shared" si="2"/>
        <v>14222.280631223293</v>
      </c>
      <c r="X10" s="27">
        <f t="shared" si="3"/>
        <v>71.111403156116467</v>
      </c>
      <c r="Y10" s="8">
        <f t="shared" si="4"/>
        <v>14546.634375</v>
      </c>
      <c r="Z10" s="193">
        <f t="shared" si="5"/>
        <v>72.733171874999996</v>
      </c>
      <c r="AA10" s="2">
        <f t="shared" si="6"/>
        <v>139647.69</v>
      </c>
      <c r="AB10" s="2">
        <f t="shared" si="7"/>
        <v>40730.576249999998</v>
      </c>
      <c r="AC10" s="2">
        <f t="shared" si="8"/>
        <v>302569.995</v>
      </c>
      <c r="AD10" s="2">
        <f t="shared" si="9"/>
        <v>27231.29955</v>
      </c>
      <c r="AE10" s="2">
        <f t="shared" si="10"/>
        <v>7261.6798799999997</v>
      </c>
      <c r="AF10" s="2">
        <f t="shared" si="11"/>
        <v>75223.55567999999</v>
      </c>
      <c r="AG10" s="195">
        <f t="shared" si="12"/>
        <v>376.11777839999996</v>
      </c>
    </row>
    <row r="11" spans="1:36" x14ac:dyDescent="0.2">
      <c r="A11" s="1">
        <v>76</v>
      </c>
      <c r="B11" s="1" t="str">
        <f t="shared" si="13"/>
        <v>0.08, Cotton Picker 4R2x1 (350)</v>
      </c>
      <c r="C11" s="164">
        <v>0.08</v>
      </c>
      <c r="D11" s="164" t="s">
        <v>459</v>
      </c>
      <c r="E11" s="185" t="s">
        <v>216</v>
      </c>
      <c r="F11" s="185" t="s">
        <v>234</v>
      </c>
      <c r="G11" s="164" t="str">
        <f t="shared" si="14"/>
        <v>Cotton Picker 4R2x1 (350)</v>
      </c>
      <c r="H11" s="29">
        <v>465492.3</v>
      </c>
      <c r="I11" s="28">
        <v>18.015370000000001</v>
      </c>
      <c r="J11" s="32">
        <v>18</v>
      </c>
      <c r="K11" s="31">
        <v>3.6</v>
      </c>
      <c r="L11" s="30">
        <v>70</v>
      </c>
      <c r="M11" s="4">
        <f t="shared" si="0"/>
        <v>0.18187830687830689</v>
      </c>
      <c r="N11" s="29">
        <v>30</v>
      </c>
      <c r="O11" s="29">
        <v>25</v>
      </c>
      <c r="P11" s="29">
        <v>8</v>
      </c>
      <c r="Q11" s="29">
        <v>200</v>
      </c>
      <c r="R11" s="28">
        <v>0</v>
      </c>
      <c r="S11" s="11">
        <f t="shared" si="1"/>
        <v>1600</v>
      </c>
      <c r="T11" s="11">
        <v>1</v>
      </c>
      <c r="U11" s="12">
        <v>0.6</v>
      </c>
      <c r="V11" s="12">
        <v>1.85</v>
      </c>
      <c r="W11" s="27">
        <f t="shared" si="2"/>
        <v>14222.280631223293</v>
      </c>
      <c r="X11" s="27">
        <f t="shared" si="3"/>
        <v>71.111403156116467</v>
      </c>
      <c r="Y11" s="8">
        <f t="shared" si="4"/>
        <v>14546.634375</v>
      </c>
      <c r="Z11" s="193">
        <f t="shared" si="5"/>
        <v>72.733171874999996</v>
      </c>
      <c r="AA11" s="2">
        <f t="shared" si="6"/>
        <v>139647.69</v>
      </c>
      <c r="AB11" s="2">
        <f t="shared" si="7"/>
        <v>40730.576249999998</v>
      </c>
      <c r="AC11" s="2">
        <f t="shared" si="8"/>
        <v>302569.995</v>
      </c>
      <c r="AD11" s="2">
        <f t="shared" si="9"/>
        <v>27231.29955</v>
      </c>
      <c r="AE11" s="2">
        <f t="shared" si="10"/>
        <v>7261.6798799999997</v>
      </c>
      <c r="AF11" s="2">
        <f t="shared" si="11"/>
        <v>75223.55567999999</v>
      </c>
      <c r="AG11" s="195">
        <f t="shared" si="12"/>
        <v>376.11777839999996</v>
      </c>
    </row>
    <row r="12" spans="1:36" x14ac:dyDescent="0.2">
      <c r="A12" s="1">
        <v>51</v>
      </c>
      <c r="B12" s="1" t="str">
        <f t="shared" si="13"/>
        <v>0.09, Cotton Picker 6R-36 (355)</v>
      </c>
      <c r="C12" s="164">
        <v>0.09</v>
      </c>
      <c r="D12" s="164" t="s">
        <v>459</v>
      </c>
      <c r="E12" s="185" t="s">
        <v>216</v>
      </c>
      <c r="F12" s="185" t="s">
        <v>235</v>
      </c>
      <c r="G12" s="164" t="str">
        <f t="shared" si="14"/>
        <v>Cotton Picker 6R-36 (355)</v>
      </c>
      <c r="H12" s="29">
        <v>538753.80000000005</v>
      </c>
      <c r="I12" s="28">
        <v>18.273</v>
      </c>
      <c r="J12" s="32">
        <v>18</v>
      </c>
      <c r="K12" s="31">
        <v>3.6</v>
      </c>
      <c r="L12" s="30">
        <v>70</v>
      </c>
      <c r="M12" s="4">
        <f t="shared" si="0"/>
        <v>0.18187830687830689</v>
      </c>
      <c r="N12" s="29">
        <v>30</v>
      </c>
      <c r="O12" s="29">
        <v>25</v>
      </c>
      <c r="P12" s="29">
        <v>8</v>
      </c>
      <c r="Q12" s="29">
        <v>200</v>
      </c>
      <c r="R12" s="28">
        <v>0</v>
      </c>
      <c r="S12" s="11">
        <f t="shared" si="1"/>
        <v>1600</v>
      </c>
      <c r="T12" s="11">
        <v>1</v>
      </c>
      <c r="U12" s="12">
        <v>0.6</v>
      </c>
      <c r="V12" s="12">
        <v>1.85</v>
      </c>
      <c r="W12" s="27">
        <f t="shared" si="2"/>
        <v>16460.654096185797</v>
      </c>
      <c r="X12" s="27">
        <f t="shared" si="3"/>
        <v>82.303270480928987</v>
      </c>
      <c r="Y12" s="8">
        <f t="shared" si="4"/>
        <v>16836.056250000001</v>
      </c>
      <c r="Z12" s="193">
        <f t="shared" si="5"/>
        <v>84.180281250000007</v>
      </c>
      <c r="AA12" s="2">
        <f t="shared" si="6"/>
        <v>161626.14000000001</v>
      </c>
      <c r="AB12" s="2">
        <f t="shared" si="7"/>
        <v>47140.957500000004</v>
      </c>
      <c r="AC12" s="2">
        <f t="shared" si="8"/>
        <v>350189.97000000003</v>
      </c>
      <c r="AD12" s="2">
        <f t="shared" si="9"/>
        <v>31517.097300000001</v>
      </c>
      <c r="AE12" s="2">
        <f t="shared" si="10"/>
        <v>8404.5592800000013</v>
      </c>
      <c r="AF12" s="2">
        <f t="shared" si="11"/>
        <v>87062.614080000014</v>
      </c>
      <c r="AG12" s="195">
        <f t="shared" si="12"/>
        <v>435.31307040000007</v>
      </c>
    </row>
    <row r="13" spans="1:36" x14ac:dyDescent="0.2">
      <c r="A13" s="1">
        <v>102</v>
      </c>
      <c r="B13" s="1" t="str">
        <f t="shared" si="13"/>
        <v>0.1, Cotton Picker/Module 4R-36 (365)</v>
      </c>
      <c r="C13" s="164">
        <v>0.1</v>
      </c>
      <c r="D13" s="164" t="s">
        <v>459</v>
      </c>
      <c r="E13" s="185" t="s">
        <v>217</v>
      </c>
      <c r="F13" s="185" t="s">
        <v>236</v>
      </c>
      <c r="G13" s="164" t="str">
        <f t="shared" si="14"/>
        <v>Cotton Picker/Module 4R-36 (365)</v>
      </c>
      <c r="H13" s="29">
        <v>617650.80000000005</v>
      </c>
      <c r="I13" s="28">
        <v>18.786999999999999</v>
      </c>
      <c r="J13" s="32">
        <v>12</v>
      </c>
      <c r="K13" s="31">
        <v>3.6</v>
      </c>
      <c r="L13" s="30">
        <v>70</v>
      </c>
      <c r="M13" s="4">
        <f t="shared" si="0"/>
        <v>0.27281746031746035</v>
      </c>
      <c r="N13" s="29">
        <v>30</v>
      </c>
      <c r="O13" s="29">
        <v>25</v>
      </c>
      <c r="P13" s="29">
        <v>8</v>
      </c>
      <c r="Q13" s="29">
        <v>200</v>
      </c>
      <c r="R13" s="28">
        <v>0</v>
      </c>
      <c r="S13" s="11">
        <f t="shared" si="1"/>
        <v>1600</v>
      </c>
      <c r="T13" s="11">
        <v>1</v>
      </c>
      <c r="U13" s="12">
        <v>0.6</v>
      </c>
      <c r="V13" s="12">
        <v>1.85</v>
      </c>
      <c r="W13" s="27">
        <f t="shared" si="2"/>
        <v>18871.210135376186</v>
      </c>
      <c r="X13" s="27">
        <f t="shared" si="3"/>
        <v>94.356050676880926</v>
      </c>
      <c r="Y13" s="8">
        <f t="shared" si="4"/>
        <v>19301.587500000001</v>
      </c>
      <c r="Z13" s="193">
        <f t="shared" si="5"/>
        <v>96.507937500000011</v>
      </c>
      <c r="AA13" s="2">
        <f t="shared" si="6"/>
        <v>185295.24</v>
      </c>
      <c r="AB13" s="2">
        <f t="shared" si="7"/>
        <v>54044.445000000007</v>
      </c>
      <c r="AC13" s="2">
        <f t="shared" si="8"/>
        <v>401473.02</v>
      </c>
      <c r="AD13" s="2">
        <f t="shared" si="9"/>
        <v>36132.571799999998</v>
      </c>
      <c r="AE13" s="2">
        <f t="shared" si="10"/>
        <v>9635.3524800000014</v>
      </c>
      <c r="AF13" s="2">
        <f t="shared" si="11"/>
        <v>99812.369280000014</v>
      </c>
      <c r="AG13" s="195">
        <f t="shared" si="12"/>
        <v>499.06184640000009</v>
      </c>
    </row>
    <row r="14" spans="1:36" x14ac:dyDescent="0.2">
      <c r="A14" s="1">
        <v>106</v>
      </c>
      <c r="B14" s="1" t="str">
        <f t="shared" si="13"/>
        <v>0.11, Cotton Picker/Module 6R-30 (365)</v>
      </c>
      <c r="C14" s="164">
        <v>0.11</v>
      </c>
      <c r="D14" s="164" t="s">
        <v>459</v>
      </c>
      <c r="E14" s="185" t="s">
        <v>217</v>
      </c>
      <c r="F14" s="185" t="s">
        <v>237</v>
      </c>
      <c r="G14" s="164" t="str">
        <f t="shared" si="14"/>
        <v>Cotton Picker/Module 6R-30 (365)</v>
      </c>
      <c r="H14" s="29">
        <v>685276.8</v>
      </c>
      <c r="I14" s="28">
        <v>18.786999999999999</v>
      </c>
      <c r="J14" s="32">
        <v>15</v>
      </c>
      <c r="K14" s="31">
        <v>3.6</v>
      </c>
      <c r="L14" s="30">
        <v>70</v>
      </c>
      <c r="M14" s="4">
        <f t="shared" si="0"/>
        <v>0.21825396825396828</v>
      </c>
      <c r="N14" s="29">
        <v>30</v>
      </c>
      <c r="O14" s="29">
        <v>25</v>
      </c>
      <c r="P14" s="29">
        <v>8</v>
      </c>
      <c r="Q14" s="29">
        <v>200</v>
      </c>
      <c r="R14" s="28">
        <v>0</v>
      </c>
      <c r="S14" s="11">
        <f t="shared" si="1"/>
        <v>1600</v>
      </c>
      <c r="T14" s="11">
        <v>1</v>
      </c>
      <c r="U14" s="12">
        <v>0.6</v>
      </c>
      <c r="V14" s="12">
        <v>1.85</v>
      </c>
      <c r="W14" s="27">
        <f t="shared" si="2"/>
        <v>20937.401026110805</v>
      </c>
      <c r="X14" s="27">
        <f t="shared" si="3"/>
        <v>104.68700513055403</v>
      </c>
      <c r="Y14" s="8">
        <f t="shared" si="4"/>
        <v>21414.9</v>
      </c>
      <c r="Z14" s="193">
        <f t="shared" si="5"/>
        <v>107.0745</v>
      </c>
      <c r="AA14" s="2">
        <f t="shared" si="6"/>
        <v>205583.04</v>
      </c>
      <c r="AB14" s="2">
        <f t="shared" si="7"/>
        <v>59961.72</v>
      </c>
      <c r="AC14" s="2">
        <f t="shared" si="8"/>
        <v>445429.92000000004</v>
      </c>
      <c r="AD14" s="2">
        <f t="shared" si="9"/>
        <v>40088.692800000004</v>
      </c>
      <c r="AE14" s="2">
        <f t="shared" si="10"/>
        <v>10690.318080000001</v>
      </c>
      <c r="AF14" s="2">
        <f t="shared" si="11"/>
        <v>110740.73088</v>
      </c>
      <c r="AG14" s="195">
        <f t="shared" si="12"/>
        <v>553.7036544</v>
      </c>
    </row>
    <row r="15" spans="1:36" x14ac:dyDescent="0.2">
      <c r="A15" s="1">
        <v>94</v>
      </c>
      <c r="B15" s="1" t="str">
        <f t="shared" si="13"/>
        <v>0.12, Cotton Picker/Module 6R-30 (500)</v>
      </c>
      <c r="C15" s="164">
        <v>0.12</v>
      </c>
      <c r="D15" s="164" t="s">
        <v>459</v>
      </c>
      <c r="E15" s="185" t="s">
        <v>217</v>
      </c>
      <c r="F15" s="185" t="s">
        <v>238</v>
      </c>
      <c r="G15" s="164" t="str">
        <f t="shared" si="14"/>
        <v>Cotton Picker/Module 6R-30 (500)</v>
      </c>
      <c r="H15" s="29">
        <v>775444.79999999993</v>
      </c>
      <c r="I15" s="28">
        <v>25.736000000000001</v>
      </c>
      <c r="J15" s="32">
        <v>15</v>
      </c>
      <c r="K15" s="31">
        <v>3.6</v>
      </c>
      <c r="L15" s="30">
        <v>70</v>
      </c>
      <c r="M15" s="4">
        <f t="shared" si="0"/>
        <v>0.21825396825396828</v>
      </c>
      <c r="N15" s="29">
        <v>30</v>
      </c>
      <c r="O15" s="29">
        <v>25</v>
      </c>
      <c r="P15" s="29">
        <v>8</v>
      </c>
      <c r="Q15" s="29">
        <v>200</v>
      </c>
      <c r="R15" s="28">
        <v>0</v>
      </c>
      <c r="S15" s="11">
        <f t="shared" si="1"/>
        <v>1600</v>
      </c>
      <c r="T15" s="11">
        <v>1</v>
      </c>
      <c r="U15" s="12">
        <v>0.6</v>
      </c>
      <c r="V15" s="12">
        <v>1.85</v>
      </c>
      <c r="W15" s="27">
        <f t="shared" si="2"/>
        <v>23692.322213756957</v>
      </c>
      <c r="X15" s="27">
        <f t="shared" si="3"/>
        <v>118.46161106878479</v>
      </c>
      <c r="Y15" s="8">
        <f t="shared" si="4"/>
        <v>24232.65</v>
      </c>
      <c r="Z15" s="193">
        <f t="shared" si="5"/>
        <v>121.16325000000001</v>
      </c>
      <c r="AA15" s="2">
        <f t="shared" si="6"/>
        <v>232633.43999999997</v>
      </c>
      <c r="AB15" s="2">
        <f t="shared" si="7"/>
        <v>67851.42</v>
      </c>
      <c r="AC15" s="2">
        <f t="shared" si="8"/>
        <v>504039.11999999994</v>
      </c>
      <c r="AD15" s="2">
        <f t="shared" si="9"/>
        <v>45363.520799999991</v>
      </c>
      <c r="AE15" s="2">
        <f t="shared" si="10"/>
        <v>12096.938879999998</v>
      </c>
      <c r="AF15" s="2">
        <f t="shared" si="11"/>
        <v>125311.87967999998</v>
      </c>
      <c r="AG15" s="195">
        <f t="shared" si="12"/>
        <v>626.55939839999996</v>
      </c>
    </row>
    <row r="16" spans="1:36" x14ac:dyDescent="0.2">
      <c r="A16" s="1">
        <v>55</v>
      </c>
      <c r="B16" s="1" t="str">
        <f t="shared" si="13"/>
        <v>0.13, Cotton Picker/Module 6R-36 (365)</v>
      </c>
      <c r="C16" s="164">
        <v>0.13</v>
      </c>
      <c r="D16" s="164" t="s">
        <v>459</v>
      </c>
      <c r="E16" s="185" t="s">
        <v>217</v>
      </c>
      <c r="F16" s="185" t="s">
        <v>239</v>
      </c>
      <c r="G16" s="164" t="str">
        <f t="shared" si="14"/>
        <v>Cotton Picker/Module 6R-36 (365)</v>
      </c>
      <c r="H16" s="29">
        <v>683022.6</v>
      </c>
      <c r="I16" s="28">
        <v>18.786999999999999</v>
      </c>
      <c r="J16" s="32">
        <v>18</v>
      </c>
      <c r="K16" s="31">
        <v>3.6</v>
      </c>
      <c r="L16" s="30">
        <v>70</v>
      </c>
      <c r="M16" s="4">
        <f t="shared" si="0"/>
        <v>0.18187830687830689</v>
      </c>
      <c r="N16" s="29">
        <v>30</v>
      </c>
      <c r="O16" s="29">
        <v>25</v>
      </c>
      <c r="P16" s="29">
        <v>8</v>
      </c>
      <c r="Q16" s="29">
        <v>200</v>
      </c>
      <c r="R16" s="28">
        <v>0</v>
      </c>
      <c r="S16" s="11">
        <f t="shared" si="1"/>
        <v>1600</v>
      </c>
      <c r="T16" s="11">
        <v>1</v>
      </c>
      <c r="U16" s="12">
        <v>0.6</v>
      </c>
      <c r="V16" s="12">
        <v>1.85</v>
      </c>
      <c r="W16" s="27">
        <f t="shared" si="2"/>
        <v>20868.527996419649</v>
      </c>
      <c r="X16" s="27">
        <f t="shared" si="3"/>
        <v>104.34263998209825</v>
      </c>
      <c r="Y16" s="8">
        <f t="shared" si="4"/>
        <v>21344.456249999999</v>
      </c>
      <c r="Z16" s="193">
        <f t="shared" si="5"/>
        <v>106.72228124999999</v>
      </c>
      <c r="AA16" s="2">
        <f t="shared" si="6"/>
        <v>204906.78</v>
      </c>
      <c r="AB16" s="2">
        <f t="shared" si="7"/>
        <v>59764.477499999994</v>
      </c>
      <c r="AC16" s="2">
        <f t="shared" si="8"/>
        <v>443964.69</v>
      </c>
      <c r="AD16" s="2">
        <f t="shared" si="9"/>
        <v>39956.822099999998</v>
      </c>
      <c r="AE16" s="2">
        <f t="shared" si="10"/>
        <v>10655.15256</v>
      </c>
      <c r="AF16" s="2">
        <f t="shared" si="11"/>
        <v>110376.45216</v>
      </c>
      <c r="AG16" s="195">
        <f t="shared" si="12"/>
        <v>551.88226080000004</v>
      </c>
    </row>
    <row r="17" spans="1:33" x14ac:dyDescent="0.2">
      <c r="A17" s="1">
        <v>84</v>
      </c>
      <c r="B17" s="1" t="str">
        <f t="shared" si="13"/>
        <v>0.14, Cotton Picker/Module 6R-36 (500)</v>
      </c>
      <c r="C17" s="164">
        <v>0.14000000000000001</v>
      </c>
      <c r="D17" s="164" t="s">
        <v>459</v>
      </c>
      <c r="E17" s="185" t="s">
        <v>217</v>
      </c>
      <c r="F17" s="185" t="s">
        <v>240</v>
      </c>
      <c r="G17" s="164" t="str">
        <f t="shared" si="14"/>
        <v>Cotton Picker/Module 6R-36 (500)</v>
      </c>
      <c r="H17" s="29">
        <v>776571.9</v>
      </c>
      <c r="I17" s="28">
        <v>25.736000000000001</v>
      </c>
      <c r="J17" s="32">
        <v>18</v>
      </c>
      <c r="K17" s="31">
        <v>3.6</v>
      </c>
      <c r="L17" s="30">
        <v>70</v>
      </c>
      <c r="M17" s="4">
        <f t="shared" si="0"/>
        <v>0.18187830687830689</v>
      </c>
      <c r="N17" s="29">
        <v>30</v>
      </c>
      <c r="O17" s="29">
        <v>25</v>
      </c>
      <c r="P17" s="29">
        <v>8</v>
      </c>
      <c r="Q17" s="29">
        <v>200</v>
      </c>
      <c r="R17" s="28">
        <v>0</v>
      </c>
      <c r="S17" s="11">
        <f t="shared" si="1"/>
        <v>1600</v>
      </c>
      <c r="T17" s="11">
        <v>1</v>
      </c>
      <c r="U17" s="12">
        <v>0.6</v>
      </c>
      <c r="V17" s="12">
        <v>1.85</v>
      </c>
      <c r="W17" s="27">
        <f t="shared" si="2"/>
        <v>23726.758728602541</v>
      </c>
      <c r="X17" s="27">
        <f t="shared" si="3"/>
        <v>118.63379364301271</v>
      </c>
      <c r="Y17" s="8">
        <f t="shared" si="4"/>
        <v>24267.871875000001</v>
      </c>
      <c r="Z17" s="193">
        <f t="shared" si="5"/>
        <v>121.339359375</v>
      </c>
      <c r="AA17" s="2">
        <f t="shared" si="6"/>
        <v>232971.57</v>
      </c>
      <c r="AB17" s="2">
        <f t="shared" si="7"/>
        <v>67950.041250000009</v>
      </c>
      <c r="AC17" s="2">
        <f t="shared" si="8"/>
        <v>504771.73499999999</v>
      </c>
      <c r="AD17" s="2">
        <f t="shared" si="9"/>
        <v>45429.456149999998</v>
      </c>
      <c r="AE17" s="2">
        <f t="shared" si="10"/>
        <v>12114.521639999999</v>
      </c>
      <c r="AF17" s="2">
        <f t="shared" si="11"/>
        <v>125494.01904000001</v>
      </c>
      <c r="AG17" s="195">
        <f t="shared" si="12"/>
        <v>627.47009520000006</v>
      </c>
    </row>
    <row r="18" spans="1:33" s="223" customFormat="1" x14ac:dyDescent="0.2">
      <c r="A18" s="223">
        <v>107</v>
      </c>
      <c r="B18" s="223" t="str">
        <f t="shared" si="13"/>
        <v xml:space="preserve">0.15, Backhoe 2WD Cab </v>
      </c>
      <c r="C18" s="164">
        <v>0.15</v>
      </c>
      <c r="D18" s="164" t="s">
        <v>459</v>
      </c>
      <c r="E18" s="185" t="s">
        <v>475</v>
      </c>
      <c r="F18" s="185" t="s">
        <v>474</v>
      </c>
      <c r="G18" s="164" t="str">
        <f t="shared" si="14"/>
        <v xml:space="preserve">Backhoe 2WD Cab </v>
      </c>
      <c r="H18" s="29">
        <v>84532.5</v>
      </c>
      <c r="I18" s="28">
        <v>2.125</v>
      </c>
      <c r="J18" s="32">
        <v>2</v>
      </c>
      <c r="K18" s="31">
        <v>10</v>
      </c>
      <c r="L18" s="30">
        <v>80</v>
      </c>
      <c r="M18" s="224">
        <f t="shared" si="0"/>
        <v>0.515625</v>
      </c>
      <c r="N18" s="29">
        <v>30</v>
      </c>
      <c r="O18" s="29">
        <v>15</v>
      </c>
      <c r="P18" s="29">
        <v>15</v>
      </c>
      <c r="Q18" s="29">
        <v>150</v>
      </c>
      <c r="R18" s="28">
        <v>0</v>
      </c>
      <c r="S18" s="11">
        <f t="shared" si="1"/>
        <v>2250</v>
      </c>
      <c r="T18" s="11">
        <v>1</v>
      </c>
      <c r="U18" s="12">
        <v>0.7</v>
      </c>
      <c r="V18" s="12">
        <v>2.25</v>
      </c>
      <c r="W18" s="27">
        <f t="shared" si="2"/>
        <v>828.56595784155263</v>
      </c>
      <c r="X18" s="246">
        <f t="shared" si="3"/>
        <v>5.5237730522770176</v>
      </c>
      <c r="Y18" s="8">
        <f t="shared" si="4"/>
        <v>845.32500000000005</v>
      </c>
      <c r="Z18" s="193">
        <f t="shared" si="5"/>
        <v>5.6355000000000004</v>
      </c>
      <c r="AA18" s="2">
        <f t="shared" si="6"/>
        <v>25359.75</v>
      </c>
      <c r="AB18" s="2">
        <f t="shared" si="7"/>
        <v>3944.85</v>
      </c>
      <c r="AC18" s="2">
        <f t="shared" si="8"/>
        <v>54946.125</v>
      </c>
      <c r="AD18" s="2">
        <f t="shared" ref="AD18" si="15">AC18*intir</f>
        <v>4945.1512499999999</v>
      </c>
      <c r="AE18" s="2">
        <f t="shared" ref="AE18" si="16">AC18*itr</f>
        <v>1318.7070000000001</v>
      </c>
      <c r="AF18" s="2">
        <f t="shared" ref="AF18" si="17">AB18+AD18+AE18</f>
        <v>10208.70825</v>
      </c>
      <c r="AG18" s="195">
        <f t="shared" ref="AG18" si="18">AF18/Q18</f>
        <v>68.058054999999996</v>
      </c>
    </row>
    <row r="19" spans="1:33" x14ac:dyDescent="0.2">
      <c r="A19" s="1">
        <v>22</v>
      </c>
      <c r="B19" s="1" t="str">
        <f t="shared" si="13"/>
        <v>0.16, Dry Applicator SP 70' 300 cu ft</v>
      </c>
      <c r="C19" s="164">
        <v>0.16</v>
      </c>
      <c r="D19" s="164" t="s">
        <v>459</v>
      </c>
      <c r="E19" s="185" t="s">
        <v>218</v>
      </c>
      <c r="F19" s="185" t="s">
        <v>241</v>
      </c>
      <c r="G19" s="164" t="str">
        <f t="shared" si="14"/>
        <v>Dry Applicator SP 70' 300 cu ft</v>
      </c>
      <c r="H19" s="29">
        <v>325731.90000000002</v>
      </c>
      <c r="I19" s="28">
        <v>16.984999999999999</v>
      </c>
      <c r="J19" s="32">
        <v>70</v>
      </c>
      <c r="K19" s="31">
        <v>12</v>
      </c>
      <c r="L19" s="30">
        <v>65</v>
      </c>
      <c r="M19" s="4">
        <f t="shared" si="0"/>
        <v>1.5109890109890108E-2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1"/>
        <v>2800</v>
      </c>
      <c r="T19" s="11">
        <v>1</v>
      </c>
      <c r="U19" s="12">
        <v>0.4</v>
      </c>
      <c r="V19" s="12">
        <v>1.4</v>
      </c>
      <c r="W19" s="27">
        <f t="shared" si="2"/>
        <v>29965.087207142809</v>
      </c>
      <c r="X19" s="27">
        <f t="shared" si="3"/>
        <v>85.614534877550881</v>
      </c>
      <c r="Y19" s="8">
        <f t="shared" si="4"/>
        <v>6107.4731250000004</v>
      </c>
      <c r="Z19" s="193">
        <f t="shared" si="5"/>
        <v>17.449923214285715</v>
      </c>
      <c r="AA19" s="2">
        <f t="shared" si="6"/>
        <v>97719.57</v>
      </c>
      <c r="AB19" s="2">
        <f t="shared" si="7"/>
        <v>28501.541250000002</v>
      </c>
      <c r="AC19" s="2">
        <f t="shared" si="8"/>
        <v>211725.73500000002</v>
      </c>
      <c r="AD19" s="2">
        <f t="shared" si="9"/>
        <v>19055.316150000002</v>
      </c>
      <c r="AE19" s="2">
        <f t="shared" si="10"/>
        <v>5081.4176400000006</v>
      </c>
      <c r="AF19" s="2">
        <f t="shared" si="11"/>
        <v>52638.275040000008</v>
      </c>
      <c r="AG19" s="195">
        <f t="shared" si="12"/>
        <v>150.39507154285715</v>
      </c>
    </row>
    <row r="20" spans="1:33" x14ac:dyDescent="0.2">
      <c r="A20" s="1">
        <v>85</v>
      </c>
      <c r="B20" s="1" t="str">
        <f t="shared" si="13"/>
        <v>0.17, Sprayer  110 Gal 30' 50 hp</v>
      </c>
      <c r="C20" s="164">
        <v>0.17</v>
      </c>
      <c r="D20" s="164" t="s">
        <v>459</v>
      </c>
      <c r="E20" s="185" t="s">
        <v>219</v>
      </c>
      <c r="F20" s="185" t="s">
        <v>242</v>
      </c>
      <c r="G20" s="164" t="str">
        <f t="shared" si="14"/>
        <v>Sprayer  110 Gal 30' 50 hp</v>
      </c>
      <c r="H20" s="29">
        <v>49592.4</v>
      </c>
      <c r="I20" s="28">
        <v>2.419</v>
      </c>
      <c r="J20" s="32">
        <v>30</v>
      </c>
      <c r="K20" s="31">
        <v>12</v>
      </c>
      <c r="L20" s="30">
        <v>65</v>
      </c>
      <c r="M20" s="4">
        <f t="shared" si="0"/>
        <v>3.5256410256410256E-2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1"/>
        <v>2800</v>
      </c>
      <c r="T20" s="11">
        <v>1</v>
      </c>
      <c r="U20" s="12">
        <v>0.2</v>
      </c>
      <c r="V20" s="12">
        <v>2.25</v>
      </c>
      <c r="W20" s="27">
        <f t="shared" si="2"/>
        <v>934.54070370168085</v>
      </c>
      <c r="X20" s="27">
        <f t="shared" si="3"/>
        <v>2.6701162962905167</v>
      </c>
      <c r="Y20" s="8">
        <f t="shared" si="4"/>
        <v>929.85749999999996</v>
      </c>
      <c r="Z20" s="193">
        <f t="shared" si="5"/>
        <v>2.656735714285714</v>
      </c>
      <c r="AA20" s="2">
        <f t="shared" si="6"/>
        <v>14877.72</v>
      </c>
      <c r="AB20" s="2">
        <f t="shared" si="7"/>
        <v>4339.335</v>
      </c>
      <c r="AC20" s="2">
        <f t="shared" si="8"/>
        <v>32235.06</v>
      </c>
      <c r="AD20" s="2">
        <f t="shared" si="9"/>
        <v>2901.1554000000001</v>
      </c>
      <c r="AE20" s="2">
        <f t="shared" si="10"/>
        <v>773.6414400000001</v>
      </c>
      <c r="AF20" s="2">
        <f t="shared" si="11"/>
        <v>8014.1318400000009</v>
      </c>
      <c r="AG20" s="195">
        <f t="shared" si="12"/>
        <v>22.897519542857147</v>
      </c>
    </row>
    <row r="21" spans="1:33" x14ac:dyDescent="0.2">
      <c r="A21" s="13">
        <v>72</v>
      </c>
      <c r="B21" s="1" t="str">
        <f t="shared" si="13"/>
        <v>0.18, Sprayer  300-450 gal 60' 125 hp</v>
      </c>
      <c r="C21" s="164">
        <v>0.18</v>
      </c>
      <c r="D21" s="164" t="s">
        <v>459</v>
      </c>
      <c r="E21" s="186" t="s">
        <v>220</v>
      </c>
      <c r="F21" s="186" t="s">
        <v>243</v>
      </c>
      <c r="G21" s="164" t="str">
        <f t="shared" si="14"/>
        <v>Sprayer  300-450 gal 60' 125 hp</v>
      </c>
      <c r="H21" s="35">
        <v>116091.3</v>
      </c>
      <c r="I21" s="34">
        <v>5.6619999999999999</v>
      </c>
      <c r="J21" s="38">
        <v>60</v>
      </c>
      <c r="K21" s="37">
        <v>12</v>
      </c>
      <c r="L21" s="36">
        <v>65</v>
      </c>
      <c r="M21" s="14">
        <f t="shared" si="0"/>
        <v>1.7628205128205128E-2</v>
      </c>
      <c r="N21" s="35">
        <v>30</v>
      </c>
      <c r="O21" s="35">
        <v>15</v>
      </c>
      <c r="P21" s="35">
        <v>8</v>
      </c>
      <c r="Q21" s="35">
        <v>350</v>
      </c>
      <c r="R21" s="34">
        <v>0</v>
      </c>
      <c r="S21" s="11">
        <f t="shared" si="1"/>
        <v>2800</v>
      </c>
      <c r="T21" s="11">
        <v>1</v>
      </c>
      <c r="U21" s="12">
        <v>0.2</v>
      </c>
      <c r="V21" s="12">
        <v>2.25</v>
      </c>
      <c r="W21" s="27">
        <f t="shared" si="2"/>
        <v>2187.6748291198437</v>
      </c>
      <c r="X21" s="27">
        <f t="shared" si="3"/>
        <v>6.2504995117709816</v>
      </c>
      <c r="Y21" s="8">
        <f t="shared" si="4"/>
        <v>2176.711875</v>
      </c>
      <c r="Z21" s="193">
        <f t="shared" si="5"/>
        <v>6.2191767857142857</v>
      </c>
      <c r="AA21" s="33">
        <f t="shared" si="6"/>
        <v>34827.39</v>
      </c>
      <c r="AB21" s="33">
        <f t="shared" si="7"/>
        <v>10157.98875</v>
      </c>
      <c r="AC21" s="33">
        <f t="shared" si="8"/>
        <v>75459.345000000001</v>
      </c>
      <c r="AD21" s="2">
        <f t="shared" si="9"/>
        <v>6791.34105</v>
      </c>
      <c r="AE21" s="33">
        <f t="shared" si="10"/>
        <v>1811.0242800000001</v>
      </c>
      <c r="AF21" s="33">
        <f t="shared" si="11"/>
        <v>18760.354080000001</v>
      </c>
      <c r="AG21" s="196">
        <f t="shared" si="12"/>
        <v>53.601011657142863</v>
      </c>
    </row>
    <row r="22" spans="1:33" x14ac:dyDescent="0.2">
      <c r="A22" s="1">
        <v>99</v>
      </c>
      <c r="B22" s="1" t="str">
        <f t="shared" si="13"/>
        <v>0.19, Sprayer  300-450 gal 80' 125 hp</v>
      </c>
      <c r="C22" s="164">
        <v>0.19</v>
      </c>
      <c r="D22" s="164" t="s">
        <v>459</v>
      </c>
      <c r="E22" s="185" t="s">
        <v>220</v>
      </c>
      <c r="F22" s="185" t="s">
        <v>244</v>
      </c>
      <c r="G22" s="164" t="str">
        <f t="shared" si="14"/>
        <v>Sprayer  300-450 gal 80' 125 hp</v>
      </c>
      <c r="H22" s="29">
        <v>116091.3</v>
      </c>
      <c r="I22" s="28">
        <v>6.4340000000000002</v>
      </c>
      <c r="J22" s="32">
        <v>80</v>
      </c>
      <c r="K22" s="31">
        <v>12</v>
      </c>
      <c r="L22" s="30">
        <v>65</v>
      </c>
      <c r="M22" s="4">
        <f t="shared" si="0"/>
        <v>1.3221153846153846E-2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1"/>
        <v>2800</v>
      </c>
      <c r="T22" s="11">
        <v>1</v>
      </c>
      <c r="U22" s="12">
        <v>0.2</v>
      </c>
      <c r="V22" s="12">
        <v>2.25</v>
      </c>
      <c r="W22" s="27">
        <f t="shared" si="2"/>
        <v>2187.6748291198437</v>
      </c>
      <c r="X22" s="27">
        <f t="shared" si="3"/>
        <v>6.2504995117709816</v>
      </c>
      <c r="Y22" s="8">
        <f t="shared" si="4"/>
        <v>2176.711875</v>
      </c>
      <c r="Z22" s="193">
        <f t="shared" si="5"/>
        <v>6.2191767857142857</v>
      </c>
      <c r="AA22" s="2">
        <f t="shared" si="6"/>
        <v>34827.39</v>
      </c>
      <c r="AB22" s="2">
        <f t="shared" si="7"/>
        <v>10157.98875</v>
      </c>
      <c r="AC22" s="2">
        <f t="shared" si="8"/>
        <v>75459.345000000001</v>
      </c>
      <c r="AD22" s="2">
        <f t="shared" si="9"/>
        <v>6791.34105</v>
      </c>
      <c r="AE22" s="2">
        <f t="shared" si="10"/>
        <v>1811.0242800000001</v>
      </c>
      <c r="AF22" s="2">
        <f t="shared" si="11"/>
        <v>18760.354080000001</v>
      </c>
      <c r="AG22" s="195">
        <f t="shared" si="12"/>
        <v>53.601011657142863</v>
      </c>
    </row>
    <row r="23" spans="1:33" x14ac:dyDescent="0.2">
      <c r="A23" s="1">
        <v>48</v>
      </c>
      <c r="B23" s="1" t="str">
        <f t="shared" si="13"/>
        <v>0.2, Sprayer  600-750 gal 60' 175 hp</v>
      </c>
      <c r="C23" s="164">
        <v>0.2</v>
      </c>
      <c r="D23" s="164" t="s">
        <v>459</v>
      </c>
      <c r="E23" s="185" t="s">
        <v>221</v>
      </c>
      <c r="F23" s="185" t="s">
        <v>245</v>
      </c>
      <c r="G23" s="164" t="str">
        <f t="shared" si="14"/>
        <v>Sprayer  600-750 gal 60' 175 hp</v>
      </c>
      <c r="H23" s="29">
        <v>196115.4</v>
      </c>
      <c r="I23" s="28">
        <v>9</v>
      </c>
      <c r="J23" s="32">
        <v>60</v>
      </c>
      <c r="K23" s="31">
        <v>12</v>
      </c>
      <c r="L23" s="30">
        <v>65</v>
      </c>
      <c r="M23" s="4">
        <f t="shared" si="0"/>
        <v>1.7628205128205128E-2</v>
      </c>
      <c r="N23" s="29">
        <v>30</v>
      </c>
      <c r="O23" s="29">
        <v>15</v>
      </c>
      <c r="P23" s="29">
        <v>8</v>
      </c>
      <c r="Q23" s="29">
        <v>350</v>
      </c>
      <c r="R23" s="28">
        <v>0</v>
      </c>
      <c r="S23" s="11">
        <f t="shared" si="1"/>
        <v>2800</v>
      </c>
      <c r="T23" s="11">
        <v>1</v>
      </c>
      <c r="U23" s="12">
        <v>0.2</v>
      </c>
      <c r="V23" s="12">
        <v>2.25</v>
      </c>
      <c r="W23" s="27">
        <f t="shared" si="2"/>
        <v>3695.683691911192</v>
      </c>
      <c r="X23" s="27">
        <f t="shared" si="3"/>
        <v>10.559096262603406</v>
      </c>
      <c r="Y23" s="8">
        <f t="shared" si="4"/>
        <v>3677.1637500000002</v>
      </c>
      <c r="Z23" s="193">
        <f t="shared" si="5"/>
        <v>10.506182142857144</v>
      </c>
      <c r="AA23" s="2">
        <f t="shared" si="6"/>
        <v>58834.62</v>
      </c>
      <c r="AB23" s="2">
        <f t="shared" si="7"/>
        <v>17160.0975</v>
      </c>
      <c r="AC23" s="2">
        <f t="shared" si="8"/>
        <v>127475.01</v>
      </c>
      <c r="AD23" s="2">
        <f t="shared" si="9"/>
        <v>11472.750899999999</v>
      </c>
      <c r="AE23" s="2">
        <f t="shared" si="10"/>
        <v>3059.4002399999999</v>
      </c>
      <c r="AF23" s="2">
        <f t="shared" si="11"/>
        <v>31692.248639999998</v>
      </c>
      <c r="AG23" s="195">
        <f t="shared" si="12"/>
        <v>90.549281828571424</v>
      </c>
    </row>
    <row r="24" spans="1:33" x14ac:dyDescent="0.2">
      <c r="A24" s="1">
        <v>104</v>
      </c>
      <c r="B24" s="1" t="str">
        <f t="shared" si="13"/>
        <v>0.21, Sprayer  600-825 gal 80' 175 hp</v>
      </c>
      <c r="C24" s="164">
        <v>0.21</v>
      </c>
      <c r="D24" s="164" t="s">
        <v>459</v>
      </c>
      <c r="E24" s="185" t="s">
        <v>222</v>
      </c>
      <c r="F24" s="185" t="s">
        <v>246</v>
      </c>
      <c r="G24" s="164" t="str">
        <f t="shared" si="14"/>
        <v>Sprayer  600-825 gal 80' 175 hp</v>
      </c>
      <c r="H24" s="29">
        <v>196115.4</v>
      </c>
      <c r="I24" s="28">
        <v>11.811999999999999</v>
      </c>
      <c r="J24" s="32">
        <v>80</v>
      </c>
      <c r="K24" s="31">
        <v>12</v>
      </c>
      <c r="L24" s="30">
        <v>65</v>
      </c>
      <c r="M24" s="4">
        <f t="shared" si="0"/>
        <v>1.3221153846153846E-2</v>
      </c>
      <c r="N24" s="29">
        <v>30</v>
      </c>
      <c r="O24" s="29">
        <v>15</v>
      </c>
      <c r="P24" s="29">
        <v>8</v>
      </c>
      <c r="Q24" s="29">
        <v>350</v>
      </c>
      <c r="R24" s="28">
        <v>0</v>
      </c>
      <c r="S24" s="11">
        <f t="shared" si="1"/>
        <v>2800</v>
      </c>
      <c r="T24" s="11">
        <v>1</v>
      </c>
      <c r="U24" s="12">
        <v>0.2</v>
      </c>
      <c r="V24" s="12">
        <v>2.25</v>
      </c>
      <c r="W24" s="27">
        <f t="shared" si="2"/>
        <v>3695.683691911192</v>
      </c>
      <c r="X24" s="27">
        <f t="shared" si="3"/>
        <v>10.559096262603406</v>
      </c>
      <c r="Y24" s="8">
        <f t="shared" si="4"/>
        <v>3677.1637500000002</v>
      </c>
      <c r="Z24" s="193">
        <f t="shared" si="5"/>
        <v>10.506182142857144</v>
      </c>
      <c r="AA24" s="2">
        <f t="shared" si="6"/>
        <v>58834.62</v>
      </c>
      <c r="AB24" s="2">
        <f t="shared" si="7"/>
        <v>17160.0975</v>
      </c>
      <c r="AC24" s="2">
        <f t="shared" si="8"/>
        <v>127475.01</v>
      </c>
      <c r="AD24" s="2">
        <f t="shared" si="9"/>
        <v>11472.750899999999</v>
      </c>
      <c r="AE24" s="2">
        <f t="shared" si="10"/>
        <v>3059.4002399999999</v>
      </c>
      <c r="AF24" s="2">
        <f t="shared" si="11"/>
        <v>31692.248639999998</v>
      </c>
      <c r="AG24" s="195">
        <f t="shared" si="12"/>
        <v>90.549281828571424</v>
      </c>
    </row>
    <row r="25" spans="1:33" x14ac:dyDescent="0.2">
      <c r="A25" s="1">
        <v>31</v>
      </c>
      <c r="B25" s="1" t="str">
        <f t="shared" si="13"/>
        <v>0.22, Sprayer  600-825 gal 90' 250 hp</v>
      </c>
      <c r="C25" s="164">
        <v>0.22</v>
      </c>
      <c r="D25" s="164" t="s">
        <v>459</v>
      </c>
      <c r="E25" s="185" t="s">
        <v>222</v>
      </c>
      <c r="F25" s="185" t="s">
        <v>247</v>
      </c>
      <c r="G25" s="164" t="str">
        <f t="shared" si="14"/>
        <v>Sprayer  600-825 gal 90' 250 hp</v>
      </c>
      <c r="H25" s="29">
        <v>286283.40000000002</v>
      </c>
      <c r="I25" s="28">
        <v>12.739000000000001</v>
      </c>
      <c r="J25" s="32">
        <v>90</v>
      </c>
      <c r="K25" s="31">
        <v>12</v>
      </c>
      <c r="L25" s="30">
        <v>65</v>
      </c>
      <c r="M25" s="4">
        <f t="shared" si="0"/>
        <v>1.1752136752136752E-2</v>
      </c>
      <c r="N25" s="29">
        <v>30</v>
      </c>
      <c r="O25" s="29">
        <v>15</v>
      </c>
      <c r="P25" s="29">
        <v>8</v>
      </c>
      <c r="Q25" s="29">
        <v>350</v>
      </c>
      <c r="R25" s="28">
        <v>0</v>
      </c>
      <c r="S25" s="11">
        <f t="shared" si="1"/>
        <v>2800</v>
      </c>
      <c r="T25" s="11">
        <v>1</v>
      </c>
      <c r="U25" s="12">
        <v>0.2</v>
      </c>
      <c r="V25" s="12">
        <v>2.25</v>
      </c>
      <c r="W25" s="27">
        <f t="shared" si="2"/>
        <v>5394.8486077324305</v>
      </c>
      <c r="X25" s="27">
        <f t="shared" si="3"/>
        <v>15.413853164949801</v>
      </c>
      <c r="Y25" s="8">
        <f t="shared" si="4"/>
        <v>5367.8137500000003</v>
      </c>
      <c r="Z25" s="193">
        <f t="shared" si="5"/>
        <v>15.336610714285715</v>
      </c>
      <c r="AA25" s="2">
        <f t="shared" si="6"/>
        <v>85885.02</v>
      </c>
      <c r="AB25" s="2">
        <f t="shared" si="7"/>
        <v>25049.797500000001</v>
      </c>
      <c r="AC25" s="2">
        <f t="shared" si="8"/>
        <v>186084.21000000002</v>
      </c>
      <c r="AD25" s="2">
        <f t="shared" si="9"/>
        <v>16747.5789</v>
      </c>
      <c r="AE25" s="2">
        <f t="shared" si="10"/>
        <v>4466.0210400000005</v>
      </c>
      <c r="AF25" s="2">
        <f t="shared" si="11"/>
        <v>46263.397440000001</v>
      </c>
      <c r="AG25" s="195">
        <f t="shared" si="12"/>
        <v>132.18113554285713</v>
      </c>
    </row>
    <row r="26" spans="1:33" x14ac:dyDescent="0.2">
      <c r="A26" s="1">
        <v>93</v>
      </c>
      <c r="B26" s="1" t="str">
        <f t="shared" si="13"/>
        <v>0.23, Sprayer  800 gal 80' 250 hp</v>
      </c>
      <c r="C26" s="164">
        <v>0.23</v>
      </c>
      <c r="D26" s="164" t="s">
        <v>459</v>
      </c>
      <c r="E26" s="185" t="s">
        <v>223</v>
      </c>
      <c r="F26" s="185" t="s">
        <v>248</v>
      </c>
      <c r="G26" s="164" t="str">
        <f t="shared" si="14"/>
        <v>Sprayer  800 gal 80' 250 hp</v>
      </c>
      <c r="H26" s="29">
        <v>272758.2</v>
      </c>
      <c r="I26" s="28">
        <v>12.8681</v>
      </c>
      <c r="J26" s="32">
        <v>80</v>
      </c>
      <c r="K26" s="31">
        <v>12</v>
      </c>
      <c r="L26" s="30">
        <v>65</v>
      </c>
      <c r="M26" s="4">
        <f t="shared" si="0"/>
        <v>1.3221153846153846E-2</v>
      </c>
      <c r="N26" s="29">
        <v>30</v>
      </c>
      <c r="O26" s="29">
        <v>15</v>
      </c>
      <c r="P26" s="29">
        <v>8</v>
      </c>
      <c r="Q26" s="29">
        <v>350</v>
      </c>
      <c r="R26" s="28">
        <v>0</v>
      </c>
      <c r="S26" s="11">
        <f t="shared" si="1"/>
        <v>2800</v>
      </c>
      <c r="T26" s="11">
        <v>1</v>
      </c>
      <c r="U26" s="12">
        <v>0.2</v>
      </c>
      <c r="V26" s="12">
        <v>2.25</v>
      </c>
      <c r="W26" s="27">
        <f t="shared" si="2"/>
        <v>5139.9738703592448</v>
      </c>
      <c r="X26" s="27">
        <f t="shared" si="3"/>
        <v>14.685639629597842</v>
      </c>
      <c r="Y26" s="8">
        <f t="shared" si="4"/>
        <v>5114.2162500000004</v>
      </c>
      <c r="Z26" s="193">
        <f t="shared" si="5"/>
        <v>14.61204642857143</v>
      </c>
      <c r="AA26" s="2">
        <f t="shared" si="6"/>
        <v>81827.460000000006</v>
      </c>
      <c r="AB26" s="2">
        <f t="shared" si="7"/>
        <v>23866.342499999999</v>
      </c>
      <c r="AC26" s="2">
        <f t="shared" si="8"/>
        <v>177292.83000000002</v>
      </c>
      <c r="AD26" s="2">
        <f t="shared" si="9"/>
        <v>15956.354700000002</v>
      </c>
      <c r="AE26" s="2">
        <f t="shared" si="10"/>
        <v>4255.0279200000004</v>
      </c>
      <c r="AF26" s="2">
        <f t="shared" si="11"/>
        <v>44077.725120000003</v>
      </c>
      <c r="AG26" s="195">
        <f t="shared" si="12"/>
        <v>125.9363574857143</v>
      </c>
    </row>
    <row r="27" spans="1:33" x14ac:dyDescent="0.2">
      <c r="A27" s="1">
        <v>56</v>
      </c>
      <c r="B27" s="1" t="str">
        <f t="shared" si="13"/>
        <v>0.24, Sprayer  800 gal 100' 250 hp</v>
      </c>
      <c r="C27" s="164">
        <v>0.24</v>
      </c>
      <c r="D27" s="164" t="s">
        <v>459</v>
      </c>
      <c r="E27" s="185" t="s">
        <v>223</v>
      </c>
      <c r="F27" s="185" t="s">
        <v>249</v>
      </c>
      <c r="G27" s="164" t="str">
        <f t="shared" si="14"/>
        <v>Sprayer  800 gal 100' 250 hp</v>
      </c>
      <c r="H27" s="29">
        <v>288537.59999999998</v>
      </c>
      <c r="I27" s="28">
        <v>14.154</v>
      </c>
      <c r="J27" s="32">
        <v>100</v>
      </c>
      <c r="K27" s="31">
        <v>12</v>
      </c>
      <c r="L27" s="30">
        <v>65</v>
      </c>
      <c r="M27" s="4">
        <f t="shared" si="0"/>
        <v>1.0576923076923078E-2</v>
      </c>
      <c r="N27" s="29">
        <v>30</v>
      </c>
      <c r="O27" s="29">
        <v>15</v>
      </c>
      <c r="P27" s="29">
        <v>8</v>
      </c>
      <c r="Q27" s="29">
        <v>350</v>
      </c>
      <c r="R27" s="28">
        <v>0</v>
      </c>
      <c r="S27" s="11">
        <f t="shared" si="1"/>
        <v>2800</v>
      </c>
      <c r="T27" s="11">
        <v>1</v>
      </c>
      <c r="U27" s="12">
        <v>0.2</v>
      </c>
      <c r="V27" s="12">
        <v>2.25</v>
      </c>
      <c r="W27" s="27">
        <f t="shared" si="2"/>
        <v>5437.3277306279606</v>
      </c>
      <c r="X27" s="27">
        <f t="shared" si="3"/>
        <v>15.535222087508458</v>
      </c>
      <c r="Y27" s="8">
        <f t="shared" si="4"/>
        <v>5410.08</v>
      </c>
      <c r="Z27" s="193">
        <f t="shared" si="5"/>
        <v>15.457371428571429</v>
      </c>
      <c r="AA27" s="2">
        <f t="shared" si="6"/>
        <v>86561.279999999999</v>
      </c>
      <c r="AB27" s="2">
        <f t="shared" si="7"/>
        <v>25247.039999999997</v>
      </c>
      <c r="AC27" s="2">
        <f t="shared" si="8"/>
        <v>187549.44</v>
      </c>
      <c r="AD27" s="2">
        <f t="shared" si="9"/>
        <v>16879.4496</v>
      </c>
      <c r="AE27" s="2">
        <f t="shared" si="10"/>
        <v>4501.1865600000001</v>
      </c>
      <c r="AF27" s="2">
        <f t="shared" si="11"/>
        <v>46627.676160000003</v>
      </c>
      <c r="AG27" s="195">
        <f t="shared" si="12"/>
        <v>133.2219318857143</v>
      </c>
    </row>
    <row r="28" spans="1:33" x14ac:dyDescent="0.2">
      <c r="A28" s="1">
        <v>101</v>
      </c>
      <c r="B28" s="1" t="str">
        <f t="shared" si="13"/>
        <v>0.25, Sprayer 1000-1400 gal 90' 275 hp</v>
      </c>
      <c r="C28" s="164">
        <v>0.25</v>
      </c>
      <c r="D28" s="164" t="s">
        <v>459</v>
      </c>
      <c r="E28" s="185" t="s">
        <v>224</v>
      </c>
      <c r="F28" s="185" t="s">
        <v>250</v>
      </c>
      <c r="G28" s="164" t="str">
        <f t="shared" si="14"/>
        <v>Sprayer 1000-1400 gal 90' 275 hp</v>
      </c>
      <c r="H28" s="29">
        <v>326859</v>
      </c>
      <c r="I28" s="28">
        <v>14.154</v>
      </c>
      <c r="J28" s="32">
        <v>90</v>
      </c>
      <c r="K28" s="31">
        <v>12</v>
      </c>
      <c r="L28" s="30">
        <v>65</v>
      </c>
      <c r="M28" s="4">
        <f t="shared" si="0"/>
        <v>1.1752136752136752E-2</v>
      </c>
      <c r="N28" s="29">
        <v>30</v>
      </c>
      <c r="O28" s="29">
        <v>15</v>
      </c>
      <c r="P28" s="29">
        <v>8</v>
      </c>
      <c r="Q28" s="29">
        <v>350</v>
      </c>
      <c r="R28" s="28">
        <v>0</v>
      </c>
      <c r="S28" s="11">
        <f t="shared" si="1"/>
        <v>2800</v>
      </c>
      <c r="T28" s="11">
        <v>1</v>
      </c>
      <c r="U28" s="12">
        <v>0.2</v>
      </c>
      <c r="V28" s="12">
        <v>2.25</v>
      </c>
      <c r="W28" s="27">
        <f t="shared" si="2"/>
        <v>6159.472819851987</v>
      </c>
      <c r="X28" s="27">
        <f t="shared" si="3"/>
        <v>17.598493771005678</v>
      </c>
      <c r="Y28" s="8">
        <f t="shared" si="4"/>
        <v>6128.6062499999998</v>
      </c>
      <c r="Z28" s="193">
        <f t="shared" si="5"/>
        <v>17.510303571428572</v>
      </c>
      <c r="AA28" s="2">
        <f t="shared" si="6"/>
        <v>98057.7</v>
      </c>
      <c r="AB28" s="2">
        <f t="shared" si="7"/>
        <v>28600.162499999999</v>
      </c>
      <c r="AC28" s="2">
        <f t="shared" si="8"/>
        <v>212458.35</v>
      </c>
      <c r="AD28" s="2">
        <f t="shared" si="9"/>
        <v>19121.251499999998</v>
      </c>
      <c r="AE28" s="2">
        <f t="shared" si="10"/>
        <v>5099.0003999999999</v>
      </c>
      <c r="AF28" s="2">
        <f t="shared" si="11"/>
        <v>52820.414399999994</v>
      </c>
      <c r="AG28" s="195">
        <f t="shared" si="12"/>
        <v>150.91546971428571</v>
      </c>
    </row>
    <row r="29" spans="1:33" x14ac:dyDescent="0.2">
      <c r="A29" s="1">
        <v>103</v>
      </c>
      <c r="B29" s="1" t="str">
        <f t="shared" si="13"/>
        <v>0.26, Sprayer 1000 gal 100' 300 hp</v>
      </c>
      <c r="C29" s="164">
        <v>0.26</v>
      </c>
      <c r="D29" s="164" t="s">
        <v>459</v>
      </c>
      <c r="E29" s="185" t="s">
        <v>225</v>
      </c>
      <c r="F29" s="185" t="s">
        <v>251</v>
      </c>
      <c r="G29" s="164" t="str">
        <f t="shared" si="14"/>
        <v>Sprayer 1000 gal 100' 300 hp</v>
      </c>
      <c r="H29" s="29">
        <v>340384.2</v>
      </c>
      <c r="I29" s="28">
        <v>15.441000000000001</v>
      </c>
      <c r="J29" s="32">
        <v>100</v>
      </c>
      <c r="K29" s="31">
        <v>12</v>
      </c>
      <c r="L29" s="30">
        <v>65</v>
      </c>
      <c r="M29" s="4">
        <f t="shared" si="0"/>
        <v>1.0576923076923078E-2</v>
      </c>
      <c r="N29" s="29">
        <v>30</v>
      </c>
      <c r="O29" s="29">
        <v>15</v>
      </c>
      <c r="P29" s="29">
        <v>8</v>
      </c>
      <c r="Q29" s="29">
        <v>350</v>
      </c>
      <c r="R29" s="28">
        <v>0</v>
      </c>
      <c r="S29" s="11">
        <f t="shared" si="1"/>
        <v>2800</v>
      </c>
      <c r="T29" s="11">
        <v>1</v>
      </c>
      <c r="U29" s="12">
        <v>0.2</v>
      </c>
      <c r="V29" s="12">
        <v>2.25</v>
      </c>
      <c r="W29" s="27">
        <f t="shared" si="2"/>
        <v>6414.3475572251727</v>
      </c>
      <c r="X29" s="27">
        <f t="shared" si="3"/>
        <v>18.326707306357637</v>
      </c>
      <c r="Y29" s="8">
        <f t="shared" si="4"/>
        <v>6382.2037499999997</v>
      </c>
      <c r="Z29" s="193">
        <f t="shared" si="5"/>
        <v>18.234867857142856</v>
      </c>
      <c r="AA29" s="2">
        <f t="shared" si="6"/>
        <v>102115.26</v>
      </c>
      <c r="AB29" s="2">
        <f t="shared" si="7"/>
        <v>29783.6175</v>
      </c>
      <c r="AC29" s="2">
        <f t="shared" si="8"/>
        <v>221249.73</v>
      </c>
      <c r="AD29" s="2">
        <f t="shared" si="9"/>
        <v>19912.475699999999</v>
      </c>
      <c r="AE29" s="2">
        <f t="shared" si="10"/>
        <v>5309.99352</v>
      </c>
      <c r="AF29" s="2">
        <f t="shared" si="11"/>
        <v>55006.086720000007</v>
      </c>
      <c r="AG29" s="195">
        <f t="shared" si="12"/>
        <v>157.1602477714286</v>
      </c>
    </row>
    <row r="30" spans="1:33" x14ac:dyDescent="0.2">
      <c r="A30" s="1">
        <v>87</v>
      </c>
      <c r="B30" s="1" t="str">
        <f t="shared" si="13"/>
        <v>0.27, Sprayer 1200+ gal 120' 300 hp</v>
      </c>
      <c r="C30" s="164">
        <v>0.27</v>
      </c>
      <c r="D30" s="164" t="s">
        <v>459</v>
      </c>
      <c r="E30" s="185" t="s">
        <v>226</v>
      </c>
      <c r="F30" s="185" t="s">
        <v>252</v>
      </c>
      <c r="G30" s="164" t="str">
        <f t="shared" si="14"/>
        <v>Sprayer 1200+ gal 120' 300 hp</v>
      </c>
      <c r="H30" s="29">
        <v>358417.8</v>
      </c>
      <c r="I30" s="28">
        <v>15.442</v>
      </c>
      <c r="J30" s="32">
        <v>120</v>
      </c>
      <c r="K30" s="31">
        <v>12</v>
      </c>
      <c r="L30" s="30">
        <v>65</v>
      </c>
      <c r="M30" s="4">
        <f t="shared" si="0"/>
        <v>8.814102564102564E-3</v>
      </c>
      <c r="N30" s="29">
        <v>30</v>
      </c>
      <c r="O30" s="29">
        <v>15</v>
      </c>
      <c r="P30" s="29">
        <v>8</v>
      </c>
      <c r="Q30" s="29">
        <v>350</v>
      </c>
      <c r="R30" s="28">
        <v>0</v>
      </c>
      <c r="S30" s="11">
        <f t="shared" si="1"/>
        <v>2800</v>
      </c>
      <c r="T30" s="11">
        <v>1</v>
      </c>
      <c r="U30" s="12">
        <v>0.2</v>
      </c>
      <c r="V30" s="12">
        <v>2.25</v>
      </c>
      <c r="W30" s="27">
        <f t="shared" si="2"/>
        <v>6754.1805403894195</v>
      </c>
      <c r="X30" s="27">
        <f t="shared" si="3"/>
        <v>19.297658686826914</v>
      </c>
      <c r="Y30" s="8">
        <f t="shared" si="4"/>
        <v>6720.3337499999998</v>
      </c>
      <c r="Z30" s="193">
        <f t="shared" si="5"/>
        <v>19.20095357142857</v>
      </c>
      <c r="AA30" s="2">
        <f t="shared" si="6"/>
        <v>107525.34</v>
      </c>
      <c r="AB30" s="2">
        <f t="shared" si="7"/>
        <v>31361.557499999999</v>
      </c>
      <c r="AC30" s="2">
        <f t="shared" si="8"/>
        <v>232971.57</v>
      </c>
      <c r="AD30" s="2">
        <f t="shared" si="9"/>
        <v>20967.441299999999</v>
      </c>
      <c r="AE30" s="2">
        <f t="shared" si="10"/>
        <v>5591.3176800000001</v>
      </c>
      <c r="AF30" s="2">
        <f t="shared" si="11"/>
        <v>57920.316480000001</v>
      </c>
      <c r="AG30" s="195">
        <f t="shared" si="12"/>
        <v>165.48661851428571</v>
      </c>
    </row>
    <row r="31" spans="1:33" x14ac:dyDescent="0.2">
      <c r="A31" s="1">
        <v>83</v>
      </c>
      <c r="B31" s="1" t="str">
        <f t="shared" si="13"/>
        <v>0.28, Utility Vehicle 75" rope wic</v>
      </c>
      <c r="C31" s="164">
        <v>0.28000000000000003</v>
      </c>
      <c r="D31" s="164" t="s">
        <v>459</v>
      </c>
      <c r="E31" s="185" t="s">
        <v>215</v>
      </c>
      <c r="F31" s="185" t="s">
        <v>253</v>
      </c>
      <c r="G31" s="164" t="str">
        <f t="shared" si="14"/>
        <v>Utility Vehicle 75" rope wic</v>
      </c>
      <c r="H31" s="29">
        <v>9862.125</v>
      </c>
      <c r="I31" s="28">
        <v>0.4</v>
      </c>
      <c r="J31" s="32">
        <v>6.2</v>
      </c>
      <c r="K31" s="31">
        <v>12</v>
      </c>
      <c r="L31" s="30">
        <v>65</v>
      </c>
      <c r="M31" s="4">
        <f t="shared" si="0"/>
        <v>0.17059553349875931</v>
      </c>
      <c r="N31" s="29">
        <v>30</v>
      </c>
      <c r="O31" s="29">
        <v>25</v>
      </c>
      <c r="P31" s="29">
        <v>8</v>
      </c>
      <c r="Q31" s="29">
        <v>200</v>
      </c>
      <c r="R31" s="28">
        <v>0</v>
      </c>
      <c r="S31" s="11">
        <f t="shared" si="1"/>
        <v>1600</v>
      </c>
      <c r="T31" s="11">
        <v>1</v>
      </c>
      <c r="U31" s="12">
        <v>0.32</v>
      </c>
      <c r="V31" s="12">
        <v>1.4</v>
      </c>
      <c r="W31" s="27">
        <f t="shared" si="2"/>
        <v>331.56026269447051</v>
      </c>
      <c r="X31" s="27">
        <f t="shared" si="3"/>
        <v>1.6578013134723526</v>
      </c>
      <c r="Y31" s="8">
        <f t="shared" si="4"/>
        <v>308.19140625</v>
      </c>
      <c r="Z31" s="193">
        <f t="shared" si="5"/>
        <v>1.5409570312500001</v>
      </c>
      <c r="AA31" s="2">
        <f t="shared" si="6"/>
        <v>2958.6374999999998</v>
      </c>
      <c r="AB31" s="2">
        <f t="shared" si="7"/>
        <v>862.93593750000002</v>
      </c>
      <c r="AC31" s="2">
        <f t="shared" si="8"/>
        <v>6410.3812500000004</v>
      </c>
      <c r="AD31" s="2">
        <f t="shared" si="9"/>
        <v>576.93431250000003</v>
      </c>
      <c r="AE31" s="2">
        <f t="shared" si="10"/>
        <v>153.84915000000001</v>
      </c>
      <c r="AF31" s="2">
        <f t="shared" si="11"/>
        <v>1593.7194</v>
      </c>
      <c r="AG31" s="195">
        <f t="shared" si="12"/>
        <v>7.9685969999999999</v>
      </c>
    </row>
    <row r="32" spans="1:33" x14ac:dyDescent="0.2">
      <c r="A32" s="1">
        <v>54</v>
      </c>
      <c r="B32" s="1" t="str">
        <f t="shared" si="13"/>
        <v>0.29, Utility Vehicle 20'</v>
      </c>
      <c r="C32" s="164">
        <v>0.28999999999999998</v>
      </c>
      <c r="D32" s="164" t="s">
        <v>459</v>
      </c>
      <c r="E32" s="185" t="s">
        <v>215</v>
      </c>
      <c r="F32" s="185" t="s">
        <v>8</v>
      </c>
      <c r="G32" s="164" t="str">
        <f t="shared" si="14"/>
        <v>Utility Vehicle 20'</v>
      </c>
      <c r="H32" s="29">
        <v>17639.114999999998</v>
      </c>
      <c r="I32" s="28">
        <v>0.5</v>
      </c>
      <c r="J32" s="32">
        <v>20</v>
      </c>
      <c r="K32" s="31">
        <v>12</v>
      </c>
      <c r="L32" s="30">
        <v>65</v>
      </c>
      <c r="M32" s="4">
        <f t="shared" si="0"/>
        <v>5.2884615384615384E-2</v>
      </c>
      <c r="N32" s="29">
        <v>30</v>
      </c>
      <c r="O32" s="29">
        <v>25</v>
      </c>
      <c r="P32" s="29">
        <v>8</v>
      </c>
      <c r="Q32" s="29">
        <v>200</v>
      </c>
      <c r="R32" s="28">
        <v>0</v>
      </c>
      <c r="S32" s="11">
        <f t="shared" si="1"/>
        <v>1600</v>
      </c>
      <c r="T32" s="11">
        <v>1</v>
      </c>
      <c r="U32" s="12">
        <v>0.32</v>
      </c>
      <c r="V32" s="12">
        <v>1.4</v>
      </c>
      <c r="W32" s="27">
        <f t="shared" si="2"/>
        <v>593.01921270496712</v>
      </c>
      <c r="X32" s="27">
        <f t="shared" si="3"/>
        <v>2.9650960635248356</v>
      </c>
      <c r="Y32" s="8">
        <f t="shared" si="4"/>
        <v>551.22234374999994</v>
      </c>
      <c r="Z32" s="193">
        <f t="shared" si="5"/>
        <v>2.7561117187499997</v>
      </c>
      <c r="AA32" s="2">
        <f t="shared" si="6"/>
        <v>5291.7344999999996</v>
      </c>
      <c r="AB32" s="2">
        <f t="shared" si="7"/>
        <v>1543.4225624999999</v>
      </c>
      <c r="AC32" s="2">
        <f t="shared" si="8"/>
        <v>11465.424749999998</v>
      </c>
      <c r="AD32" s="2">
        <f t="shared" si="9"/>
        <v>1031.8882274999999</v>
      </c>
      <c r="AE32" s="2">
        <f t="shared" si="10"/>
        <v>275.17019399999998</v>
      </c>
      <c r="AF32" s="2">
        <f t="shared" si="11"/>
        <v>2850.4809839999994</v>
      </c>
      <c r="AG32" s="195">
        <f t="shared" si="12"/>
        <v>14.252404919999996</v>
      </c>
    </row>
    <row r="33" spans="4:7" x14ac:dyDescent="0.2">
      <c r="D33" s="164" t="s">
        <v>459</v>
      </c>
      <c r="G33" s="164" t="str">
        <f t="shared" si="14"/>
        <v/>
      </c>
    </row>
    <row r="34" spans="4:7" x14ac:dyDescent="0.2">
      <c r="D34" s="164" t="s">
        <v>459</v>
      </c>
      <c r="G34" s="164" t="str">
        <f t="shared" si="14"/>
        <v/>
      </c>
    </row>
    <row r="35" spans="4:7" x14ac:dyDescent="0.2">
      <c r="D35" s="164" t="s">
        <v>459</v>
      </c>
      <c r="G35" s="164" t="str">
        <f t="shared" si="14"/>
        <v/>
      </c>
    </row>
    <row r="36" spans="4:7" x14ac:dyDescent="0.2">
      <c r="D36" s="164" t="s">
        <v>459</v>
      </c>
      <c r="G36" s="164" t="str">
        <f t="shared" si="14"/>
        <v/>
      </c>
    </row>
    <row r="37" spans="4:7" x14ac:dyDescent="0.2">
      <c r="D37" s="164" t="s">
        <v>459</v>
      </c>
      <c r="G37" s="164" t="str">
        <f t="shared" si="14"/>
        <v/>
      </c>
    </row>
    <row r="38" spans="4:7" x14ac:dyDescent="0.2">
      <c r="D38" s="164" t="s">
        <v>459</v>
      </c>
      <c r="G38" s="164" t="str">
        <f t="shared" si="14"/>
        <v/>
      </c>
    </row>
    <row r="39" spans="4:7" x14ac:dyDescent="0.2">
      <c r="D39" s="164" t="s">
        <v>459</v>
      </c>
      <c r="G39" s="164" t="str">
        <f t="shared" si="14"/>
        <v/>
      </c>
    </row>
    <row r="40" spans="4:7" x14ac:dyDescent="0.2">
      <c r="D40" s="164" t="s">
        <v>459</v>
      </c>
      <c r="G40" s="164" t="str">
        <f t="shared" si="14"/>
        <v/>
      </c>
    </row>
    <row r="41" spans="4:7" x14ac:dyDescent="0.2">
      <c r="D41" s="164" t="s">
        <v>459</v>
      </c>
      <c r="G41" s="164" t="str">
        <f t="shared" si="14"/>
        <v/>
      </c>
    </row>
    <row r="42" spans="4:7" x14ac:dyDescent="0.2">
      <c r="D42" s="164" t="s">
        <v>459</v>
      </c>
      <c r="G42" s="164" t="str">
        <f t="shared" si="14"/>
        <v/>
      </c>
    </row>
    <row r="43" spans="4:7" x14ac:dyDescent="0.2">
      <c r="D43" s="164" t="s">
        <v>459</v>
      </c>
      <c r="G43" s="164" t="str">
        <f t="shared" si="14"/>
        <v/>
      </c>
    </row>
    <row r="44" spans="4:7" x14ac:dyDescent="0.2">
      <c r="D44" s="164" t="s">
        <v>459</v>
      </c>
      <c r="G44" s="164" t="str">
        <f t="shared" si="14"/>
        <v/>
      </c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2015-11-13T21:50:07Z</cp:lastPrinted>
  <dcterms:created xsi:type="dcterms:W3CDTF">2010-11-24T19:49:39Z</dcterms:created>
  <dcterms:modified xsi:type="dcterms:W3CDTF">2017-11-27T20:54:19Z</dcterms:modified>
</cp:coreProperties>
</file>