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'Bud'!$U$150:$U$152</definedName>
    <definedName name="\C">'Bud'!$I$150:$I$190</definedName>
    <definedName name="\T">'Bud'!$C$150:$C$190</definedName>
    <definedName name="\V">'Bud'!$O$150:$O$190</definedName>
    <definedName name="\X">'Bud'!$F$150:$F$190</definedName>
    <definedName name="\Y">'Bud'!$L$150:$L$190</definedName>
    <definedName name="\Z">'Bud'!$R$150:$R$190</definedName>
    <definedName name="ENR">'Bud'!$O$106:$O$106</definedName>
    <definedName name="ENR_MNR">'Bud'!$O$106:$O$106</definedName>
    <definedName name="ETR">'Bud'!$M$105:$M$105</definedName>
    <definedName name="EXPP">'Bud'!$O$87:$O$87</definedName>
    <definedName name="EXPY">'Bud'!$M$87:$M$87</definedName>
    <definedName name="MEDP">'Bud'!$G$22:$G$22</definedName>
    <definedName name="MEDY">'Bud'!$G$21:$G$21</definedName>
    <definedName name="MNR">'Bud'!$M$107:$M$107</definedName>
    <definedName name="MTC">'Bud'!$O$105:$O$105</definedName>
    <definedName name="MTCV">'Bud'!$O$105:$O$105</definedName>
    <definedName name="MTR">'Bud'!$M$106:$M$106</definedName>
    <definedName name="STRHH">'Bud'!$M$101:$M$101</definedName>
    <definedName name="STRHL">'Bud'!$M$102:$M$102</definedName>
    <definedName name="STRLH">'Bud'!$O$102:$O$102</definedName>
    <definedName name="STRLL">'Bud'!$O$101:$O$101</definedName>
    <definedName name="STRO">'Bud'!$M$103:$M$103</definedName>
    <definedName name="STRP">'Bud'!$O$103:$O$103</definedName>
    <definedName name="UNIT">'Bud'!$I$16:$I$16</definedName>
    <definedName name="UNITCOST">'Bud'!$I$67:$I$67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<sst xmlns="http://schemas.openxmlformats.org/spreadsheetml/2006/main" count="778" uniqueCount="380">
  <si>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</si>
  <si>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</si>
  <si>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</si>
  <si>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</si>
  <si>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</si>
  <si>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</si>
  <si>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</si>
  <si>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</si>
  <si>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</si>
  <si>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</si>
  <si>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</si>
  <si>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</si>
  <si>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</si>
  <si>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</si>
  <si>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</si>
  <si>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</si>
  <si>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</si>
  <si>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</si>
  <si>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</si>
  <si>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</si>
  <si>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</si>
  <si>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</si>
  <si>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</si>
  <si>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</si>
  <si>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</si>
  <si>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</si>
  <si>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</si>
  <si>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</si>
  <si>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</si>
  <si>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</si>
  <si>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</si>
  <si>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</si>
  <si>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</si>
  <si>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</si>
  <si>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</si>
  <si>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</si>
  <si>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</si>
  <si>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</si>
  <si>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</si>
  <si>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</si>
  <si>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</si>
  <si>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</si>
  <si>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</si>
  <si>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</si>
  <si>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</si>
  <si>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</si>
  <si>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</si>
  <si>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</si>
  <si>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</si>
  <si>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</si>
  <si>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</si>
  <si>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</si>
  <si>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</si>
  <si>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</si>
  <si>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</si>
  <si>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</si>
  <si>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</si>
  <si>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</si>
  <si>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</si>
  <si>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</si>
  <si>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</si>
  <si>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</si>
  <si>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</si>
  <si>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</si>
  <si>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</si>
  <si>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</si>
  <si>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</si>
  <si>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</si>
  <si>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</si>
  <si>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</si>
  <si>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</si>
  <si>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</si>
  <si>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</si>
  <si>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</si>
  <si>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</si>
  <si>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</si>
  <si>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</si>
  <si>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</si>
  <si>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</si>
  <si>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</si>
  <si>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</si>
  <si>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</si>
  <si>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</si>
  <si>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</si>
  <si>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</si>
  <si>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</si>
  <si>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Acre</t>
  </si>
  <si>
    <t>Acres</t>
  </si>
  <si>
    <t>ACRES</t>
  </si>
  <si>
    <t>Air Blast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</si>
  <si>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</si>
  <si>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</si>
  <si>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</si>
  <si>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</si>
  <si>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</si>
  <si>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</si>
  <si>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Appl.</t>
  </si>
  <si>
    <t>BASED ON</t>
  </si>
  <si>
    <t>Best</t>
  </si>
  <si>
    <t>by</t>
  </si>
  <si>
    <t>Calculation of NR and for Z values</t>
  </si>
  <si>
    <t>Calculations</t>
  </si>
  <si>
    <t>Chances</t>
  </si>
  <si>
    <t>CHANCES FOR PROFIT =</t>
  </si>
  <si>
    <t>Check valve</t>
  </si>
  <si>
    <t>Cooling, Handling &amp; Brokerage (15%)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</si>
  <si>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</si>
  <si>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</si>
  <si>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</si>
  <si>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</si>
  <si>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</si>
  <si>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</si>
  <si>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</si>
  <si>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</si>
  <si>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</si>
  <si>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</si>
  <si>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</si>
  <si>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</si>
  <si>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</si>
  <si>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</si>
  <si>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</si>
  <si>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</si>
  <si>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</si>
  <si>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</si>
  <si>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</si>
  <si>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</si>
  <si>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</si>
  <si>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</si>
  <si>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</si>
  <si>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</si>
  <si>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</si>
  <si>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</si>
  <si>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</si>
  <si>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</si>
  <si>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</si>
  <si>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Fungicides</t>
  </si>
  <si>
    <t>Gal</t>
  </si>
  <si>
    <t>Gross Establishment Cost per Acre</t>
  </si>
  <si>
    <t>Handsprayer (back pack)</t>
  </si>
  <si>
    <t>Harrow (5')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</si>
  <si>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</si>
  <si>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</si>
  <si>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</si>
  <si>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</si>
  <si>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</si>
  <si>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</si>
  <si>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</si>
  <si>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</si>
  <si>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</si>
  <si>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</si>
  <si>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</si>
  <si>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</si>
  <si>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Insecticides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</si>
  <si>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</si>
  <si>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</si>
  <si>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</si>
  <si>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</si>
  <si>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</si>
  <si>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</si>
  <si>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</si>
  <si>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</si>
  <si>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</si>
  <si>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</si>
  <si>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</si>
  <si>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</si>
  <si>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</si>
  <si>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</si>
  <si>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</si>
  <si>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</si>
  <si>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</si>
  <si>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</si>
  <si>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</si>
  <si>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</si>
  <si>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</si>
  <si>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</si>
  <si>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</si>
  <si>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</si>
  <si>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>Misc</t>
  </si>
  <si>
    <t>MISC.</t>
  </si>
  <si>
    <t>MOTOR SIZE (HP)</t>
  </si>
  <si>
    <t>Mower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</si>
  <si>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</si>
  <si>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</si>
  <si>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</si>
  <si>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</si>
  <si>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</si>
  <si>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</si>
  <si>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</si>
  <si>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</si>
  <si>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</si>
  <si>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</si>
  <si>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</si>
  <si>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</si>
  <si>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</si>
  <si>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Planting</t>
  </si>
  <si>
    <t>Planting labor</t>
  </si>
  <si>
    <t>Plants</t>
  </si>
  <si>
    <t>Post-emergence</t>
  </si>
  <si>
    <t xml:space="preserve">Pre-emergence </t>
  </si>
  <si>
    <t>Pre-Harvest</t>
  </si>
  <si>
    <t>Pre-Harvest Variable Costs</t>
  </si>
  <si>
    <t>Preplant Weed Control</t>
  </si>
  <si>
    <t>Price</t>
  </si>
  <si>
    <t>PRICE</t>
  </si>
  <si>
    <t>Pruning</t>
  </si>
  <si>
    <t xml:space="preserve">Pruning     </t>
  </si>
  <si>
    <t>Pump &amp; Motor (electric)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</si>
  <si>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</si>
  <si>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</si>
  <si>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</si>
  <si>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</si>
  <si>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</si>
  <si>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</si>
  <si>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</si>
  <si>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</si>
  <si>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</si>
  <si>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Rpr/hr</t>
  </si>
  <si>
    <t>RRRETURNS</t>
  </si>
  <si>
    <t xml:space="preserve">Salvage </t>
  </si>
  <si>
    <t>Shaker</t>
  </si>
  <si>
    <t>SPACING</t>
  </si>
  <si>
    <t>Speed</t>
  </si>
  <si>
    <t>Sprayer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</si>
  <si>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</si>
  <si>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</si>
  <si>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</si>
  <si>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</si>
  <si>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</si>
  <si>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</si>
  <si>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</si>
  <si>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</si>
  <si>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</si>
  <si>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</si>
  <si>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</si>
  <si>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</si>
  <si>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</si>
  <si>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</si>
  <si>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</si>
  <si>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</si>
  <si>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</si>
  <si>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</si>
  <si>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</si>
  <si>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</si>
  <si>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</si>
  <si>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</si>
  <si>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</si>
  <si>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</si>
  <si>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</si>
  <si>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</si>
  <si>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</si>
  <si>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</si>
  <si>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</si>
  <si>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</si>
  <si>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</si>
  <si>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</si>
  <si>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</si>
  <si>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</si>
  <si>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</si>
  <si>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</si>
  <si>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</si>
  <si>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</si>
  <si>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</si>
  <si>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</si>
  <si>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</si>
  <si>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</si>
  <si>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</si>
  <si>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</si>
  <si>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</si>
  <si>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</si>
  <si>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</si>
  <si>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</si>
  <si>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</si>
  <si>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</si>
  <si>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</si>
  <si>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</si>
  <si>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</si>
  <si>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</si>
  <si>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</si>
  <si>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</si>
  <si>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Your Cost</t>
  </si>
  <si>
    <t>Yrs.</t>
  </si>
  <si>
    <t>YRS.LIFE</t>
  </si>
  <si>
    <t xml:space="preserve">Pipe &amp; Fittings </t>
  </si>
  <si>
    <t xml:space="preserve">Sprinklers </t>
  </si>
  <si>
    <t>Well (8") (600 Gals/min)</t>
  </si>
  <si>
    <t xml:space="preserve">Quant. </t>
  </si>
  <si>
    <t>Amount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</si>
  <si>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</si>
  <si>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</si>
  <si>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</si>
  <si>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</si>
  <si>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</si>
  <si>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</si>
  <si>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</si>
  <si>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Expected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</si>
  <si>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</si>
  <si>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</si>
  <si>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</si>
  <si>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</si>
  <si>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</si>
  <si>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</si>
  <si>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</si>
  <si>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Total Variable Costs (VC) </t>
  </si>
  <si>
    <t xml:space="preserve">Tractor &amp; Equipment </t>
  </si>
  <si>
    <t>GROWERS ARE EXPECTED TO INPUT THEIR ACTUAL DATA HERE</t>
  </si>
  <si>
    <t>THIS BUDGET IS INTERACTIVE</t>
  </si>
  <si>
    <t>Blackberry Budget  - 2019</t>
  </si>
  <si>
    <t>Blackberry Budget</t>
  </si>
  <si>
    <t xml:space="preserve">Chemicals for  Blackberry Budget </t>
  </si>
  <si>
    <t xml:space="preserve">                                                                                 ESTIMATING MACHINERY OPERATING COSTS FOR BLACKBERRIES</t>
  </si>
  <si>
    <t xml:space="preserve">           ANNUAL FIXED MACHINERY COSTS FOR BLACKBERRY         </t>
  </si>
  <si>
    <t xml:space="preserve">             DRIP IRRIGATION FOR BLACKBERRY </t>
  </si>
  <si>
    <t>Ammonium Nitrate</t>
  </si>
  <si>
    <t>Cwt</t>
  </si>
  <si>
    <t>Fert  10-10-10</t>
  </si>
  <si>
    <t>Lime (spread)</t>
  </si>
  <si>
    <t>Fert 10-10-10</t>
  </si>
  <si>
    <t>cwt</t>
  </si>
  <si>
    <t>Ammonium Nitrate (34%)</t>
  </si>
  <si>
    <t>Herbicide</t>
  </si>
  <si>
    <t>each</t>
  </si>
  <si>
    <t>Trellis Installation</t>
  </si>
  <si>
    <t>Landprep</t>
  </si>
  <si>
    <t>Reoair &amp; Maint</t>
  </si>
  <si>
    <t>N-P-K (10-10-10)</t>
  </si>
  <si>
    <t>Chemical</t>
  </si>
  <si>
    <t>Amm. Nitrate (34%)</t>
  </si>
  <si>
    <t>Clamshell package</t>
  </si>
  <si>
    <t>Gramazone</t>
  </si>
  <si>
    <t>Simazine 4L</t>
  </si>
  <si>
    <t>Poast Plus</t>
  </si>
  <si>
    <t>Surfactant Nn Ionic</t>
  </si>
  <si>
    <t>Bee hives</t>
  </si>
  <si>
    <t xml:space="preserve">Fungicide </t>
  </si>
  <si>
    <t>lb</t>
  </si>
  <si>
    <t xml:space="preserve">Pt </t>
  </si>
  <si>
    <t>other</t>
  </si>
  <si>
    <t>others</t>
  </si>
  <si>
    <t xml:space="preserve">Weed Control </t>
  </si>
  <si>
    <t>Total weed control</t>
  </si>
  <si>
    <t>Total fungicide</t>
  </si>
  <si>
    <t>Total insecticide</t>
  </si>
  <si>
    <t>Fertilizer</t>
  </si>
  <si>
    <t>Total fertlizers</t>
  </si>
  <si>
    <t xml:space="preserve">              BLACKBERRY BUDGET - FRESH MARKET</t>
  </si>
  <si>
    <t xml:space="preserve">Frost Protection - Irrigation -  Blackberry </t>
  </si>
  <si>
    <t>Plastic</t>
  </si>
  <si>
    <t>Roll</t>
  </si>
  <si>
    <t>Fumigation</t>
  </si>
  <si>
    <t>Drip tape</t>
  </si>
  <si>
    <t>Ft</t>
  </si>
  <si>
    <t>Lime sulfur spray</t>
  </si>
  <si>
    <t>Pruning,triming, &amp; tipping</t>
  </si>
  <si>
    <t>Liquid (10-5-5)</t>
  </si>
  <si>
    <t>Lime sulfur Spray - Liquid</t>
  </si>
  <si>
    <t>% Chance</t>
  </si>
  <si>
    <t>Returns</t>
  </si>
  <si>
    <t xml:space="preserve">Sensitivity Risk Rated Returns Over Total Costs  </t>
  </si>
  <si>
    <t xml:space="preserve">of Profit </t>
  </si>
  <si>
    <t>Total Returns Per Acre</t>
  </si>
  <si>
    <t>Insert</t>
  </si>
  <si>
    <t>Others</t>
  </si>
  <si>
    <t xml:space="preserve">BLACKBERRY RETURNS </t>
  </si>
  <si>
    <t xml:space="preserve">1st Year Estimated Establishment and Maintenance Cost </t>
  </si>
  <si>
    <t>2nd Year Estimated and Maintenance Cost - Blackberry</t>
  </si>
  <si>
    <t xml:space="preserve">GROWERS ARE EXPECTED TO INPUT THEIR ACTUAL DATA HERE </t>
  </si>
  <si>
    <t xml:space="preserve">Your </t>
  </si>
  <si>
    <t>3rd Year Estimated and Maintenance Costs - Blackberry</t>
  </si>
  <si>
    <t>Costs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</si>
  <si>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</si>
  <si>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</si>
  <si>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</si>
  <si>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</si>
  <si>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Trellis (Shift trellis shown)</t>
  </si>
  <si>
    <t xml:space="preserve">Plants </t>
  </si>
  <si>
    <t>$-Prices/Yield (lbs)</t>
  </si>
  <si>
    <t xml:space="preserve">           Extension Economist, Horticulture and Pierce Co. Agents, University of Georgia</t>
  </si>
  <si>
    <t xml:space="preserve">          Prepared By Esendugue Greg Fonsah, Erick Smith and James Jacobs  </t>
  </si>
  <si>
    <t xml:space="preserve">$-Net </t>
  </si>
  <si>
    <t xml:space="preserve">                                    BASE BUDGETED NET REVENUE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</si>
</sst>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0" xfId="0" applyNumberFormat="1" applyFill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5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3" fillId="2" borderId="13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54" fillId="2" borderId="14" xfId="0" applyFont="1" applyFill="1" applyBorder="1" applyAlignment="1">
      <alignment/>
    </xf>
    <xf numFmtId="3" fontId="54" fillId="2" borderId="14" xfId="0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/>
    </xf>
    <xf numFmtId="2" fontId="3" fillId="2" borderId="17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64" fontId="3" fillId="2" borderId="18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5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2" fontId="54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58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0" fillId="2" borderId="14" xfId="0" applyFill="1" applyBorder="1" applyAlignment="1">
      <alignment horizontal="right"/>
    </xf>
    <xf numFmtId="0" fontId="0" fillId="2" borderId="14" xfId="0" applyFon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2" fontId="0" fillId="2" borderId="14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/>
    </xf>
    <xf numFmtId="2" fontId="3" fillId="2" borderId="16" xfId="0" applyNumberFormat="1" applyFon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9" fontId="3" fillId="2" borderId="13" xfId="0" applyNumberFormat="1" applyFont="1" applyFill="1" applyBorder="1" applyAlignment="1">
      <alignment horizontal="center"/>
    </xf>
    <xf numFmtId="3" fontId="61" fillId="2" borderId="14" xfId="0" applyNumberFormat="1" applyFont="1" applyFill="1" applyBorder="1" applyAlignment="1">
      <alignment/>
    </xf>
    <xf numFmtId="3" fontId="0" fillId="2" borderId="14" xfId="0" applyNumberFormat="1" applyFill="1" applyBorder="1" applyAlignment="1">
      <alignment horizontal="center"/>
    </xf>
    <xf numFmtId="3" fontId="61" fillId="2" borderId="1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2" fillId="2" borderId="0" xfId="0" applyFont="1" applyFill="1" applyAlignment="1">
      <alignment horizontal="center"/>
    </xf>
    <xf numFmtId="0" fontId="6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62" fillId="2" borderId="0" xfId="0" applyFont="1" applyFill="1" applyAlignment="1">
      <alignment/>
    </xf>
    <xf numFmtId="0" fontId="63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2" fillId="2" borderId="0" xfId="0" applyFont="1" applyFill="1" applyAlignment="1">
      <alignment horizontal="left"/>
    </xf>
    <xf numFmtId="0" fontId="63" fillId="2" borderId="0" xfId="0" applyFont="1" applyFill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126</xdr:row>
      <xdr:rowOff>123825</xdr:rowOff>
    </xdr:from>
    <xdr:to>
      <xdr:col>10</xdr:col>
      <xdr:colOff>180975</xdr:colOff>
      <xdr:row>129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095500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31</xdr:row>
      <xdr:rowOff>142875</xdr:rowOff>
    </xdr:from>
    <xdr:to>
      <xdr:col>7</xdr:col>
      <xdr:colOff>457200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200650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47</xdr:row>
      <xdr:rowOff>114300</xdr:rowOff>
    </xdr:from>
    <xdr:to>
      <xdr:col>9</xdr:col>
      <xdr:colOff>304800</xdr:colOff>
      <xdr:row>50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858125"/>
          <a:ext cx="2190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47</xdr:row>
      <xdr:rowOff>47625</xdr:rowOff>
    </xdr:from>
    <xdr:to>
      <xdr:col>9</xdr:col>
      <xdr:colOff>152400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8486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46</xdr:row>
      <xdr:rowOff>161925</xdr:rowOff>
    </xdr:from>
    <xdr:to>
      <xdr:col>9</xdr:col>
      <xdr:colOff>219075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4385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46</xdr:row>
      <xdr:rowOff>85725</xdr:rowOff>
    </xdr:from>
    <xdr:to>
      <xdr:col>6</xdr:col>
      <xdr:colOff>619125</xdr:colOff>
      <xdr:row>49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438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27</xdr:row>
      <xdr:rowOff>0</xdr:rowOff>
    </xdr:from>
    <xdr:to>
      <xdr:col>10</xdr:col>
      <xdr:colOff>190500</xdr:colOff>
      <xdr:row>29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448175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31</xdr:row>
      <xdr:rowOff>85725</xdr:rowOff>
    </xdr:from>
    <xdr:to>
      <xdr:col>9</xdr:col>
      <xdr:colOff>361950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267325"/>
          <a:ext cx="2286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46</xdr:row>
      <xdr:rowOff>76200</xdr:rowOff>
    </xdr:from>
    <xdr:to>
      <xdr:col>8</xdr:col>
      <xdr:colOff>457200</xdr:colOff>
      <xdr:row>49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96200"/>
          <a:ext cx="2286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47</xdr:row>
      <xdr:rowOff>19050</xdr:rowOff>
    </xdr:from>
    <xdr:to>
      <xdr:col>7</xdr:col>
      <xdr:colOff>466725</xdr:colOff>
      <xdr:row>50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800975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3:AQ130"/>
  <sheetViews>
    <sheetView tabSelected="1" zoomScalePageLayoutView="0" workbookViewId="0" topLeftCell="A1">
      <selection activeCell="N125" sqref="N125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11.8515625" style="0" customWidth="1"/>
    <col min="7" max="7" width="7.8515625" style="0" customWidth="1"/>
    <col min="8" max="8" width="8.140625" style="0" customWidth="1"/>
    <col min="9" max="9" width="8.7109375" style="0" customWidth="1"/>
    <col min="10" max="10" width="9.00390625" style="0" customWidth="1"/>
    <col min="11" max="11" width="11.0039062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3" spans="4:9" ht="12.75">
      <c r="D3" s="97" t="s">
        <v>344</v>
      </c>
      <c r="E3" s="30"/>
      <c r="F3" s="29"/>
      <c r="G3" s="29"/>
      <c r="H3" s="29"/>
      <c r="I3" s="29"/>
    </row>
    <row r="4" spans="1:11" ht="12.75">
      <c r="A4" t="s">
        <v>4</v>
      </c>
      <c r="C4" s="52" t="s">
        <v>377</v>
      </c>
      <c r="D4" s="30"/>
      <c r="E4" s="30"/>
      <c r="F4" s="30"/>
      <c r="G4" s="30"/>
      <c r="H4" s="30"/>
      <c r="I4" s="29"/>
    </row>
    <row r="5" spans="3:9" ht="12.75">
      <c r="C5" s="52"/>
      <c r="D5" s="97"/>
      <c r="E5" s="30"/>
      <c r="F5" s="30"/>
      <c r="G5" s="30"/>
      <c r="H5" s="30"/>
      <c r="I5" s="29"/>
    </row>
    <row r="6" spans="2:11" ht="12.75">
      <c r="B6" s="97" t="s">
        <v>376</v>
      </c>
      <c r="C6" s="7"/>
      <c r="D6" s="30"/>
      <c r="E6" s="30"/>
      <c r="F6" s="30"/>
      <c r="G6" s="30"/>
      <c r="H6" s="30"/>
      <c r="I6" s="29"/>
      <c r="J6" s="2" t="s">
        <v>0</v>
      </c>
    </row>
    <row r="7" ht="12.75"/>
    <row r="8" spans="3:11" ht="26.25">
      <c r="C8" s="65" t="s">
        <v>305</v>
      </c>
      <c r="D8" s="71"/>
      <c r="E8" s="65"/>
      <c r="F8" s="64"/>
      <c r="G8" s="64"/>
      <c r="H8" s="64"/>
    </row>
    <row r="9" ht="12.75"/>
    <row r="10" spans="5:11" ht="18">
      <c r="E10" s="104"/>
      <c r="J10" s="2" t="s">
        <v>0</v>
      </c>
    </row>
    <row r="11" ht="12.75">
      <c r="A11" t="s">
        <v>85</v>
      </c>
    </row>
    <row r="12" spans="4:11" ht="12.75">
      <c r="D12" s="52" t="s">
        <v>306</v>
      </c>
      <c r="E12" s="7"/>
      <c r="F12" s="7"/>
      <c r="G12" s="7"/>
    </row>
    <row r="13" spans="5:11" ht="15.75">
      <c r="E13" s="137"/>
      <c r="F13" s="138"/>
      <c r="G13" s="138"/>
    </row>
    <row r="15" spans="5:11" ht="12.75">
      <c r="E15" t="s">
        <v>6</v>
      </c>
    </row>
    <row r="16" spans="5:11" ht="12.75">
      <c r="E16" t="s">
        <v>7</v>
      </c>
      <c r="I16" s="32">
        <v>1</v>
      </c>
      <c r="K16" t="s">
        <v>2</v>
      </c>
    </row>
    <row r="17" spans="4:11" ht="12.75">
      <c r="D17" t="s">
        <v>163</v>
      </c>
      <c r="I17" s="23">
        <v>2</v>
      </c>
    </row>
    <row r="18" ht="12.75"/>
    <row r="19" spans="5:11" ht="12.75">
      <c r="E19" s="22" t="s">
        <v>98</v>
      </c>
      <c r="F19" s="22" t="s">
        <v>186</v>
      </c>
      <c r="G19" s="22" t="s">
        <v>175</v>
      </c>
      <c r="H19" s="9" t="s">
        <v>193</v>
      </c>
      <c r="I19" s="9" t="s">
        <v>275</v>
      </c>
      <c r="J19" s="2" t="s">
        <v>0</v>
      </c>
    </row>
    <row r="20" spans="5:11" ht="12.75">
      <c r="E20" s="12"/>
      <c r="F20" s="12"/>
      <c r="G20" s="12"/>
      <c r="H20" s="12"/>
      <c r="I20" s="12"/>
    </row>
    <row r="21" spans="2:11" ht="12.75">
      <c r="B21" t="s">
        <v>83</v>
      </c>
      <c r="E21" s="10">
        <v>10000</v>
      </c>
      <c r="F21" s="10">
        <v>9000</v>
      </c>
      <c r="G21" s="23">
        <v>8000</v>
      </c>
      <c r="H21" s="10">
        <v>7000</v>
      </c>
      <c r="I21" s="10">
        <v>6000</v>
      </c>
    </row>
    <row r="22" spans="2:11" ht="12.75">
      <c r="B22" t="s">
        <v>81</v>
      </c>
      <c r="E22" s="5">
        <v>3.5</v>
      </c>
      <c r="F22" s="5">
        <v>3.25</v>
      </c>
      <c r="G22" s="9">
        <v>3</v>
      </c>
      <c r="H22" s="5">
        <v>2.75</v>
      </c>
      <c r="I22" s="5">
        <v>2.5</v>
      </c>
    </row>
    <row r="23" spans="11:19" ht="12.75"/>
    <row r="24" spans="2:11" ht="12.75">
      <c r="B24" s="22" t="s">
        <v>164</v>
      </c>
      <c r="C24" s="22"/>
      <c r="D24" s="22"/>
      <c r="E24" s="22"/>
      <c r="F24" s="22" t="s">
        <v>261</v>
      </c>
      <c r="G24" s="22" t="s">
        <v>209</v>
      </c>
      <c r="H24" s="9" t="s">
        <v>202</v>
      </c>
      <c r="I24" s="23" t="s">
        <v>70</v>
      </c>
      <c r="J24" s="13" t="s">
        <v>279</v>
      </c>
    </row>
    <row r="25" ht="12.75"/>
    <row r="26" spans="2:9" ht="12.75">
      <c r="B26" s="52" t="s">
        <v>267</v>
      </c>
      <c r="I26" s="3" t="s">
        <v>0</v>
      </c>
    </row>
    <row r="28" spans="2:8" ht="12.75">
      <c r="B28" s="7" t="s">
        <v>123</v>
      </c>
      <c r="C28" s="7"/>
      <c r="F28" s="12"/>
      <c r="G28" s="12"/>
      <c r="H28" s="5"/>
    </row>
    <row r="29" spans="2:42" ht="12.75">
      <c r="B29" s="110" t="s">
        <v>351</v>
      </c>
      <c r="C29" s="110"/>
      <c r="D29" s="110"/>
      <c r="E29" s="110"/>
      <c r="F29" s="111" t="s">
        <v>136</v>
      </c>
      <c r="G29" s="112">
        <v>3</v>
      </c>
      <c r="H29" s="112">
        <v>30</v>
      </c>
      <c r="I29" s="112">
        <f aca="true" t="shared" si="0" ref="I29:I41">G29*H29</f>
        <v>90</v>
      </c>
      <c r="J29" s="44"/>
      <c r="AP29" t="s">
        <v>107</v>
      </c>
    </row>
    <row r="30" spans="2:10" ht="12.75">
      <c r="B30" s="110" t="s">
        <v>312</v>
      </c>
      <c r="C30" s="110"/>
      <c r="D30" s="110"/>
      <c r="E30" s="110"/>
      <c r="F30" s="111" t="s">
        <v>313</v>
      </c>
      <c r="G30" s="112">
        <v>11</v>
      </c>
      <c r="H30" s="112">
        <v>30</v>
      </c>
      <c r="I30" s="112">
        <f>G30*H30</f>
        <v>330</v>
      </c>
      <c r="J30" s="56"/>
    </row>
    <row r="31" spans="2:10" ht="12.75">
      <c r="B31" s="1" t="s">
        <v>314</v>
      </c>
      <c r="C31" s="1"/>
      <c r="D31" s="1"/>
      <c r="E31" s="1"/>
      <c r="F31" s="42" t="s">
        <v>313</v>
      </c>
      <c r="G31" s="25">
        <v>6</v>
      </c>
      <c r="H31" s="25">
        <v>35</v>
      </c>
      <c r="I31" s="25">
        <f>G31*H31</f>
        <v>210</v>
      </c>
      <c r="J31" s="56"/>
    </row>
    <row r="32" spans="2:10" ht="12.75">
      <c r="B32" s="52" t="s">
        <v>272</v>
      </c>
      <c r="C32" s="52"/>
      <c r="D32" s="52"/>
      <c r="E32" s="45"/>
      <c r="F32" s="47"/>
      <c r="G32" s="72"/>
      <c r="H32" s="72"/>
      <c r="I32" s="72">
        <f t="shared" si="0"/>
        <v>0</v>
      </c>
      <c r="J32" s="55"/>
    </row>
    <row r="33" spans="2:10" ht="12.75">
      <c r="B33" s="45" t="s">
        <v>198</v>
      </c>
      <c r="C33" s="45"/>
      <c r="D33" s="45"/>
      <c r="E33" s="45"/>
      <c r="F33" s="47" t="s">
        <v>86</v>
      </c>
      <c r="G33" s="72">
        <v>2</v>
      </c>
      <c r="H33" s="72">
        <v>30</v>
      </c>
      <c r="I33" s="72">
        <f t="shared" si="0"/>
        <v>60</v>
      </c>
      <c r="J33" s="55"/>
    </row>
    <row r="34" spans="2:10" ht="12.75">
      <c r="B34" s="45" t="s">
        <v>197</v>
      </c>
      <c r="C34" s="45"/>
      <c r="D34" s="45"/>
      <c r="E34" s="45"/>
      <c r="F34" s="47" t="s">
        <v>86</v>
      </c>
      <c r="G34" s="72">
        <v>2</v>
      </c>
      <c r="H34" s="72">
        <v>15</v>
      </c>
      <c r="I34" s="72">
        <f t="shared" si="0"/>
        <v>30</v>
      </c>
      <c r="J34" s="55"/>
    </row>
    <row r="35" spans="2:10" ht="12.75">
      <c r="B35" s="45" t="s">
        <v>253</v>
      </c>
      <c r="C35" s="45"/>
      <c r="D35" s="45"/>
      <c r="E35" s="45"/>
      <c r="F35" s="47" t="s">
        <v>145</v>
      </c>
      <c r="G35" s="72">
        <v>2</v>
      </c>
      <c r="H35" s="72">
        <v>12</v>
      </c>
      <c r="I35" s="72">
        <f t="shared" si="0"/>
        <v>24</v>
      </c>
      <c r="J35" s="55"/>
    </row>
    <row r="36" spans="2:10" ht="12.75">
      <c r="B36" s="108" t="s">
        <v>166</v>
      </c>
      <c r="C36" s="45"/>
      <c r="D36" s="45"/>
      <c r="E36" s="45"/>
      <c r="F36" s="47" t="s">
        <v>145</v>
      </c>
      <c r="G36" s="72">
        <v>4</v>
      </c>
      <c r="H36" s="72">
        <v>12</v>
      </c>
      <c r="I36" s="72">
        <f t="shared" si="0"/>
        <v>48</v>
      </c>
      <c r="J36" s="55"/>
    </row>
    <row r="37" spans="2:10" ht="12.75">
      <c r="B37" s="7" t="s">
        <v>150</v>
      </c>
      <c r="C37" s="7"/>
      <c r="D37" s="7"/>
      <c r="F37" s="12"/>
      <c r="G37" s="20"/>
      <c r="H37" s="20"/>
      <c r="I37" s="20">
        <f t="shared" si="0"/>
        <v>0</v>
      </c>
      <c r="J37" s="56"/>
    </row>
    <row r="38" spans="2:10" ht="12.75">
      <c r="B38" t="s">
        <v>152</v>
      </c>
      <c r="F38" s="12" t="s">
        <v>86</v>
      </c>
      <c r="G38" s="20">
        <v>12</v>
      </c>
      <c r="H38" s="20">
        <v>10</v>
      </c>
      <c r="I38" s="20">
        <f t="shared" si="0"/>
        <v>120</v>
      </c>
      <c r="J38" s="55"/>
    </row>
    <row r="39" spans="2:10" ht="12.75">
      <c r="B39" t="s">
        <v>135</v>
      </c>
      <c r="F39" s="12" t="s">
        <v>86</v>
      </c>
      <c r="G39" s="20">
        <v>10</v>
      </c>
      <c r="H39" s="20">
        <v>60</v>
      </c>
      <c r="I39" s="20">
        <f t="shared" si="0"/>
        <v>600</v>
      </c>
      <c r="J39" s="55"/>
    </row>
    <row r="40" spans="2:11" ht="12.75">
      <c r="B40" t="s">
        <v>253</v>
      </c>
      <c r="F40" s="12" t="s">
        <v>145</v>
      </c>
      <c r="G40" s="20">
        <v>13</v>
      </c>
      <c r="H40" s="20">
        <v>12</v>
      </c>
      <c r="I40" s="20">
        <f t="shared" si="0"/>
        <v>156</v>
      </c>
      <c r="J40" s="55"/>
      <c r="K40" s="12"/>
    </row>
    <row r="41" spans="2:11" ht="12.75">
      <c r="B41" t="s">
        <v>167</v>
      </c>
      <c r="F41" s="12" t="s">
        <v>86</v>
      </c>
      <c r="G41" s="20">
        <v>13</v>
      </c>
      <c r="H41" s="20">
        <v>12</v>
      </c>
      <c r="I41" s="20">
        <f t="shared" si="0"/>
        <v>156</v>
      </c>
      <c r="J41" s="55"/>
      <c r="K41" s="12"/>
    </row>
    <row r="42" spans="2:11" ht="12.75">
      <c r="B42" s="7" t="s">
        <v>205</v>
      </c>
      <c r="C42" s="7"/>
      <c r="F42" s="12"/>
      <c r="G42" s="20"/>
      <c r="H42" s="20"/>
      <c r="I42" s="20"/>
      <c r="J42" s="55"/>
      <c r="K42" s="12"/>
    </row>
    <row r="43" spans="2:11" ht="12.75">
      <c r="B43" t="s">
        <v>293</v>
      </c>
      <c r="F43" s="12" t="s">
        <v>196</v>
      </c>
      <c r="G43" s="20">
        <v>1210</v>
      </c>
      <c r="H43" s="20">
        <v>0.22</v>
      </c>
      <c r="I43" s="20">
        <f>G43*H43</f>
        <v>266.2</v>
      </c>
      <c r="J43" s="55"/>
      <c r="K43" s="12"/>
    </row>
    <row r="44" spans="2:11" ht="12.75">
      <c r="B44" t="s">
        <v>174</v>
      </c>
      <c r="F44" s="12" t="s">
        <v>86</v>
      </c>
      <c r="G44" s="20">
        <v>1</v>
      </c>
      <c r="H44" s="20">
        <v>75</v>
      </c>
      <c r="I44" s="20">
        <f>G44*H44</f>
        <v>75</v>
      </c>
      <c r="J44" s="56"/>
      <c r="K44" s="12"/>
    </row>
    <row r="45" spans="2:11" ht="12.75">
      <c r="B45" s="45" t="s">
        <v>161</v>
      </c>
      <c r="F45" s="12" t="s">
        <v>86</v>
      </c>
      <c r="G45" s="20">
        <v>1</v>
      </c>
      <c r="H45" s="20">
        <f>+Drip!I42</f>
        <v>140</v>
      </c>
      <c r="I45" s="20">
        <f>G45*H45</f>
        <v>140</v>
      </c>
      <c r="J45" s="55"/>
      <c r="K45" s="12"/>
    </row>
    <row r="46" spans="2:11" ht="12.75">
      <c r="B46" s="45" t="s">
        <v>159</v>
      </c>
      <c r="F46" s="12" t="s">
        <v>69</v>
      </c>
      <c r="G46" s="20">
        <f>SUM(I29:I45)</f>
        <v>2305.2</v>
      </c>
      <c r="H46" s="20">
        <v>0.065</v>
      </c>
      <c r="I46" s="20">
        <f>G46*H46</f>
        <v>149.838</v>
      </c>
      <c r="J46" s="55"/>
      <c r="K46" s="19" t="s">
        <v>0</v>
      </c>
    </row>
    <row r="47" spans="2:11" ht="13.5" thickBot="1">
      <c r="B47" s="7" t="s">
        <v>249</v>
      </c>
      <c r="F47" s="12"/>
      <c r="G47" s="20"/>
      <c r="H47" s="20"/>
      <c r="I47" s="57">
        <f>SUM(I29:I46)</f>
        <v>2455.038</v>
      </c>
      <c r="J47" s="58"/>
      <c r="K47" s="19" t="s">
        <v>0</v>
      </c>
    </row>
    <row r="48" spans="6:11" ht="13.5" thickTop="1">
      <c r="F48" s="12"/>
      <c r="G48" s="20"/>
      <c r="H48" s="20"/>
      <c r="I48" s="20"/>
      <c r="J48" s="53"/>
      <c r="K48" s="12" t="s">
        <v>0</v>
      </c>
    </row>
    <row r="49" spans="2:11" ht="13.5" thickBot="1">
      <c r="B49" s="7" t="s">
        <v>200</v>
      </c>
      <c r="F49" s="12"/>
      <c r="G49" s="20"/>
      <c r="H49" s="20"/>
      <c r="I49" s="57">
        <f>SUM(I26:I46)</f>
        <v>2455.038</v>
      </c>
      <c r="J49" s="59"/>
      <c r="K49" s="19" t="s">
        <v>0</v>
      </c>
    </row>
    <row r="50" spans="7:11" ht="13.5" thickTop="1">
      <c r="G50" s="20"/>
      <c r="H50" s="20"/>
      <c r="I50" s="20"/>
      <c r="J50" s="44"/>
      <c r="K50" s="19" t="s">
        <v>0</v>
      </c>
    </row>
    <row r="51" spans="2:11" ht="12.75">
      <c r="B51" s="7" t="s">
        <v>143</v>
      </c>
      <c r="F51" s="12"/>
      <c r="G51" s="20"/>
      <c r="H51" s="20"/>
      <c r="I51" s="20"/>
      <c r="J51" s="44"/>
      <c r="K51" s="19" t="s">
        <v>0</v>
      </c>
    </row>
    <row r="52" spans="2:11" ht="12.75">
      <c r="B52" t="s">
        <v>142</v>
      </c>
      <c r="F52" s="12" t="s">
        <v>146</v>
      </c>
      <c r="G52" s="20">
        <f>G21*0.95</f>
        <v>7600</v>
      </c>
      <c r="H52" s="20">
        <v>1</v>
      </c>
      <c r="I52" s="20">
        <f>G52*H52</f>
        <v>7600</v>
      </c>
      <c r="J52" s="44"/>
      <c r="K52" s="19" t="s">
        <v>0</v>
      </c>
    </row>
    <row r="53" spans="2:11" ht="12.75">
      <c r="B53" t="s">
        <v>109</v>
      </c>
      <c r="F53" s="12" t="s">
        <v>169</v>
      </c>
      <c r="G53" s="20">
        <f>MEDY*0.95</f>
        <v>7600</v>
      </c>
      <c r="H53" s="20">
        <v>0.94</v>
      </c>
      <c r="I53" s="20">
        <f>G53*H53</f>
        <v>7144</v>
      </c>
      <c r="J53" s="55"/>
      <c r="K53" s="19" t="s">
        <v>0</v>
      </c>
    </row>
    <row r="54" spans="2:11" ht="12.75">
      <c r="B54" t="s">
        <v>105</v>
      </c>
      <c r="F54" s="12" t="s">
        <v>169</v>
      </c>
      <c r="G54" s="20">
        <f>MEDY*0.95</f>
        <v>7600</v>
      </c>
      <c r="H54" s="20">
        <v>0.15</v>
      </c>
      <c r="I54" s="20">
        <f>G54*H54</f>
        <v>1140</v>
      </c>
      <c r="J54" s="55"/>
      <c r="K54" s="19" t="s">
        <v>0</v>
      </c>
    </row>
    <row r="55" spans="2:11" ht="13.5" thickBot="1">
      <c r="B55" s="7" t="s">
        <v>242</v>
      </c>
      <c r="C55" s="7"/>
      <c r="D55" s="7"/>
      <c r="E55" s="7"/>
      <c r="F55" s="22"/>
      <c r="G55" s="21"/>
      <c r="H55" s="31"/>
      <c r="I55" s="57">
        <f>SUM(I52:I54)</f>
        <v>15884</v>
      </c>
      <c r="J55" s="58"/>
      <c r="K55" s="12"/>
    </row>
    <row r="56" spans="6:11" ht="13.5" thickTop="1">
      <c r="F56" s="12"/>
      <c r="G56" s="20"/>
      <c r="H56" s="20"/>
      <c r="I56" s="20"/>
      <c r="J56" s="44"/>
      <c r="K56" s="19" t="s">
        <v>0</v>
      </c>
    </row>
    <row r="57" spans="2:11" ht="12.75">
      <c r="B57" s="7" t="s">
        <v>243</v>
      </c>
      <c r="F57" s="12"/>
      <c r="G57" s="20"/>
      <c r="H57" s="26"/>
      <c r="I57" s="60">
        <f>SUM(I52:I54)</f>
        <v>15884</v>
      </c>
      <c r="J57" s="61"/>
      <c r="K57" s="19" t="s">
        <v>0</v>
      </c>
    </row>
    <row r="58" spans="2:11" ht="13.5" thickBot="1">
      <c r="B58" s="7" t="s">
        <v>250</v>
      </c>
      <c r="F58" s="12"/>
      <c r="G58" s="20"/>
      <c r="H58" s="26"/>
      <c r="I58" s="57">
        <f>I49+I57</f>
        <v>18339.038</v>
      </c>
      <c r="J58" s="59"/>
      <c r="K58" s="12"/>
    </row>
    <row r="59" spans="6:11" ht="13.5" thickTop="1">
      <c r="F59" s="12"/>
      <c r="G59" s="20"/>
      <c r="H59" s="26"/>
      <c r="I59" s="20"/>
      <c r="J59" s="54"/>
      <c r="K59" s="19" t="s">
        <v>0</v>
      </c>
    </row>
    <row r="60" spans="2:40" ht="12.75">
      <c r="B60" s="7" t="s">
        <v>128</v>
      </c>
      <c r="C60" s="7"/>
      <c r="F60" s="12"/>
      <c r="G60" s="20"/>
      <c r="H60" s="26"/>
      <c r="I60" s="20"/>
      <c r="J60" s="44"/>
      <c r="K60" s="12"/>
      <c r="AN60" t="s">
        <v>107</v>
      </c>
    </row>
    <row r="61" spans="6:11" ht="12.75">
      <c r="F61" s="12"/>
      <c r="G61" s="20"/>
      <c r="H61" s="26"/>
      <c r="I61" s="20"/>
      <c r="J61" s="44"/>
      <c r="K61" s="19"/>
    </row>
    <row r="62" spans="2:11" ht="12.75">
      <c r="B62" s="45" t="s">
        <v>303</v>
      </c>
      <c r="F62" s="12" t="s">
        <v>86</v>
      </c>
      <c r="G62" s="20">
        <v>1</v>
      </c>
      <c r="H62" s="20">
        <f>FxdCost!I27</f>
        <v>1521.3007714285714</v>
      </c>
      <c r="I62" s="20">
        <f>G62*H62</f>
        <v>1521.3007714285714</v>
      </c>
      <c r="J62" s="44"/>
      <c r="K62" s="12"/>
    </row>
    <row r="63" spans="2:11" ht="12.75">
      <c r="B63" t="s">
        <v>189</v>
      </c>
      <c r="F63" s="12" t="s">
        <v>69</v>
      </c>
      <c r="G63" s="20">
        <f>I49</f>
        <v>2455.038</v>
      </c>
      <c r="H63" s="20">
        <v>0.15</v>
      </c>
      <c r="I63" s="20">
        <f>G63*H63</f>
        <v>368.2557</v>
      </c>
      <c r="J63" s="55"/>
      <c r="K63" s="12"/>
    </row>
    <row r="64" spans="2:11" ht="12.75">
      <c r="B64" t="s">
        <v>161</v>
      </c>
      <c r="F64" s="12" t="s">
        <v>86</v>
      </c>
      <c r="G64" s="20">
        <v>1</v>
      </c>
      <c r="H64" s="20">
        <f>+SSet!H31</f>
        <v>857.4166666666667</v>
      </c>
      <c r="I64" s="20">
        <f>G64*H64</f>
        <v>857.4166666666667</v>
      </c>
      <c r="J64" s="55"/>
      <c r="K64" s="19"/>
    </row>
    <row r="65" spans="2:11" ht="12.75">
      <c r="B65" s="48"/>
      <c r="C65" s="48"/>
      <c r="D65" s="48"/>
      <c r="E65" s="48"/>
      <c r="F65" s="47"/>
      <c r="G65" s="72"/>
      <c r="H65" s="72"/>
      <c r="I65" s="72"/>
      <c r="J65" s="55"/>
      <c r="K65" s="12"/>
    </row>
    <row r="66" spans="2:11" ht="13.5" thickBot="1">
      <c r="B66" s="7" t="s">
        <v>239</v>
      </c>
      <c r="F66" s="12"/>
      <c r="G66" s="26"/>
      <c r="H66" s="26"/>
      <c r="I66" s="57">
        <f>SUM(I62:I65)</f>
        <v>2746.973138095238</v>
      </c>
      <c r="J66" s="58"/>
      <c r="K66" s="12"/>
    </row>
    <row r="67" spans="2:11" ht="14.25" thickBot="1" thickTop="1">
      <c r="B67" s="7" t="s">
        <v>236</v>
      </c>
      <c r="G67" s="26"/>
      <c r="H67" s="26"/>
      <c r="I67" s="117">
        <f>I49+I57+I66</f>
        <v>21086.011138095237</v>
      </c>
      <c r="J67" s="116"/>
      <c r="K67" s="12"/>
    </row>
    <row r="68" spans="7:11" ht="13.5" thickTop="1">
      <c r="G68" s="26"/>
      <c r="H68" s="26"/>
      <c r="I68" s="26"/>
      <c r="J68" s="54"/>
      <c r="K68" s="12"/>
    </row>
    <row r="69" spans="3:11" ht="12.75">
      <c r="C69" s="118" t="s">
        <v>297</v>
      </c>
      <c r="D69" s="66"/>
      <c r="E69" s="66"/>
      <c r="F69" s="66"/>
      <c r="G69" s="119"/>
      <c r="H69" s="119"/>
      <c r="I69" s="119"/>
      <c r="J69" s="54"/>
      <c r="K69" s="12"/>
    </row>
    <row r="70" spans="3:11" ht="12.75">
      <c r="C70" s="120" t="s">
        <v>298</v>
      </c>
      <c r="D70" s="66"/>
      <c r="E70" s="66"/>
      <c r="F70" s="66"/>
      <c r="G70" s="119"/>
      <c r="H70" s="119"/>
      <c r="I70" s="121">
        <f>I49/G21</f>
        <v>0.30687975</v>
      </c>
      <c r="J70" s="54"/>
      <c r="K70" s="12"/>
    </row>
    <row r="71" spans="3:17" ht="12.75">
      <c r="C71" s="120" t="s">
        <v>299</v>
      </c>
      <c r="D71" s="66"/>
      <c r="E71" s="66"/>
      <c r="F71" s="66"/>
      <c r="G71" s="119"/>
      <c r="H71" s="119"/>
      <c r="I71" s="121">
        <f>I57/G21</f>
        <v>1.9855</v>
      </c>
      <c r="J71" s="54"/>
      <c r="K71" s="12"/>
      <c r="L71" t="s">
        <v>78</v>
      </c>
      <c r="M71" t="s">
        <v>78</v>
      </c>
      <c r="Q71" t="s">
        <v>78</v>
      </c>
    </row>
    <row r="72" spans="3:17" ht="12.75">
      <c r="C72" s="120" t="s">
        <v>300</v>
      </c>
      <c r="D72" s="120" t="s">
        <v>295</v>
      </c>
      <c r="E72" s="66"/>
      <c r="F72" s="66"/>
      <c r="G72" s="119"/>
      <c r="H72" s="119"/>
      <c r="I72" s="121">
        <v>0.4712273409191409</v>
      </c>
      <c r="J72" s="54"/>
      <c r="K72" s="12"/>
      <c r="L72" t="s">
        <v>78</v>
      </c>
      <c r="M72" t="s">
        <v>8</v>
      </c>
      <c r="Q72" t="s">
        <v>78</v>
      </c>
    </row>
    <row r="73" spans="3:17" ht="12.75">
      <c r="C73" s="120" t="s">
        <v>301</v>
      </c>
      <c r="D73" s="66"/>
      <c r="E73" s="66"/>
      <c r="F73" s="66"/>
      <c r="G73" s="119"/>
      <c r="H73" s="119"/>
      <c r="I73" s="122">
        <f>I67/G21</f>
        <v>2.6357513922619047</v>
      </c>
      <c r="J73" s="54"/>
      <c r="K73" s="12"/>
      <c r="L73" t="s">
        <v>78</v>
      </c>
      <c r="M73" t="s">
        <v>1</v>
      </c>
      <c r="Q73" t="s">
        <v>78</v>
      </c>
    </row>
    <row r="74" spans="3:17" ht="12.75">
      <c r="C74" s="120" t="s">
        <v>296</v>
      </c>
      <c r="D74" s="66"/>
      <c r="E74" s="66"/>
      <c r="F74" s="66"/>
      <c r="G74" s="123"/>
      <c r="H74" s="123"/>
      <c r="I74" s="121">
        <f>UNITCOST/MEDP</f>
        <v>7028.670379365079</v>
      </c>
      <c r="J74" s="12"/>
      <c r="K74" s="12"/>
      <c r="L74" t="s">
        <v>78</v>
      </c>
      <c r="M74" s="3">
        <f>I16</f>
        <v>1</v>
      </c>
      <c r="N74" t="s">
        <v>11</v>
      </c>
      <c r="Q74" t="s">
        <v>78</v>
      </c>
    </row>
    <row r="75" spans="5:17" ht="12.75">
      <c r="E75" t="s">
        <v>73</v>
      </c>
      <c r="G75" s="12"/>
      <c r="H75" s="12"/>
      <c r="I75" s="12"/>
      <c r="J75" s="12"/>
      <c r="K75" s="12"/>
      <c r="L75" t="s">
        <v>78</v>
      </c>
      <c r="M75" s="3">
        <f>E21</f>
        <v>10000</v>
      </c>
      <c r="N75" t="s">
        <v>13</v>
      </c>
      <c r="O75" s="4">
        <f>E22</f>
        <v>3.5</v>
      </c>
      <c r="P75" t="s">
        <v>12</v>
      </c>
      <c r="Q75" t="s">
        <v>78</v>
      </c>
    </row>
    <row r="76" spans="3:17" ht="12.75">
      <c r="C76" s="38"/>
      <c r="D76" s="38"/>
      <c r="E76" s="38"/>
      <c r="F76" s="38"/>
      <c r="G76" s="39"/>
      <c r="H76" s="12"/>
      <c r="I76" s="12"/>
      <c r="J76" s="12"/>
      <c r="K76" s="12"/>
      <c r="L76" t="s">
        <v>78</v>
      </c>
      <c r="M76" s="3">
        <f>F21</f>
        <v>9000</v>
      </c>
      <c r="N76" t="s">
        <v>30</v>
      </c>
      <c r="O76" s="4">
        <f>F22</f>
        <v>3.25</v>
      </c>
      <c r="P76" t="s">
        <v>29</v>
      </c>
      <c r="Q76" t="s">
        <v>78</v>
      </c>
    </row>
    <row r="77" spans="2:15" ht="12.75">
      <c r="B77" t="s">
        <v>85</v>
      </c>
      <c r="G77" s="12"/>
      <c r="H77" s="12"/>
      <c r="I77" s="12"/>
      <c r="J77" s="12"/>
      <c r="K77" s="12"/>
      <c r="M77" s="3"/>
      <c r="O77" s="4"/>
    </row>
    <row r="78" spans="7:17" ht="12.75">
      <c r="G78" s="12"/>
      <c r="H78" s="12"/>
      <c r="I78" s="12"/>
      <c r="J78" s="12"/>
      <c r="K78" s="12"/>
      <c r="L78" t="s">
        <v>78</v>
      </c>
      <c r="M78" s="3">
        <f>G21</f>
        <v>8000</v>
      </c>
      <c r="N78" t="s">
        <v>23</v>
      </c>
      <c r="O78" s="4">
        <f>G22</f>
        <v>3</v>
      </c>
      <c r="P78" t="s">
        <v>22</v>
      </c>
      <c r="Q78" t="s">
        <v>78</v>
      </c>
    </row>
    <row r="79" spans="7:17" ht="12.75">
      <c r="G79" s="12"/>
      <c r="H79" s="12"/>
      <c r="I79" s="12"/>
      <c r="J79" s="12"/>
      <c r="K79" s="12"/>
      <c r="L79" t="s">
        <v>78</v>
      </c>
      <c r="M79" s="3">
        <f>H21</f>
        <v>7000</v>
      </c>
      <c r="N79" t="s">
        <v>33</v>
      </c>
      <c r="O79" s="4">
        <f>H22</f>
        <v>2.75</v>
      </c>
      <c r="P79" t="s">
        <v>32</v>
      </c>
      <c r="Q79" t="s">
        <v>78</v>
      </c>
    </row>
    <row r="80" spans="7:17" ht="12.75">
      <c r="G80" s="12"/>
      <c r="H80" s="12"/>
      <c r="I80" s="12"/>
      <c r="J80" s="15"/>
      <c r="K80" s="12" t="s">
        <v>0</v>
      </c>
      <c r="L80" t="s">
        <v>78</v>
      </c>
      <c r="M80" s="3">
        <f>I21</f>
        <v>6000</v>
      </c>
      <c r="N80" t="s">
        <v>56</v>
      </c>
      <c r="O80" s="4">
        <f>I22</f>
        <v>2.5</v>
      </c>
      <c r="P80" t="s">
        <v>55</v>
      </c>
      <c r="Q80" t="s">
        <v>78</v>
      </c>
    </row>
    <row r="81" spans="7:17" ht="12.75">
      <c r="G81" s="12"/>
      <c r="H81" s="12"/>
      <c r="I81" s="12"/>
      <c r="J81" s="15"/>
      <c r="K81" s="12"/>
      <c r="L81" t="s">
        <v>78</v>
      </c>
      <c r="M81" s="4">
        <f>I71</f>
        <v>1.9855</v>
      </c>
      <c r="N81" t="s">
        <v>21</v>
      </c>
      <c r="Q81" t="s">
        <v>78</v>
      </c>
    </row>
    <row r="82" spans="7:17" ht="12.75">
      <c r="G82" s="12"/>
      <c r="H82" s="12"/>
      <c r="I82" s="12"/>
      <c r="J82" s="12"/>
      <c r="K82" s="12"/>
      <c r="L82" t="s">
        <v>78</v>
      </c>
      <c r="M82" s="4">
        <f>I49+I65</f>
        <v>2455.038</v>
      </c>
      <c r="N82" t="s">
        <v>46</v>
      </c>
      <c r="Q82" t="s">
        <v>78</v>
      </c>
    </row>
    <row r="83" spans="7:17" ht="12.75">
      <c r="G83" s="12"/>
      <c r="H83" s="12"/>
      <c r="I83" s="12"/>
      <c r="J83" s="12"/>
      <c r="K83" s="12"/>
      <c r="L83" t="s">
        <v>78</v>
      </c>
      <c r="M83" t="s">
        <v>78</v>
      </c>
      <c r="Q83" t="s">
        <v>78</v>
      </c>
    </row>
    <row r="84" spans="7:17" ht="12.75">
      <c r="G84" s="12"/>
      <c r="H84" s="12"/>
      <c r="I84" s="12"/>
      <c r="J84" s="12"/>
      <c r="K84" s="12"/>
      <c r="L84" t="s">
        <v>84</v>
      </c>
      <c r="M84" t="s">
        <v>1</v>
      </c>
      <c r="Q84" t="s">
        <v>84</v>
      </c>
    </row>
    <row r="85" spans="7:17" ht="12.75">
      <c r="G85" s="12"/>
      <c r="H85" s="12"/>
      <c r="I85" s="12"/>
      <c r="J85" s="12"/>
      <c r="K85" s="12"/>
      <c r="L85" t="s">
        <v>84</v>
      </c>
      <c r="N85" t="s">
        <v>101</v>
      </c>
      <c r="Q85" t="s">
        <v>84</v>
      </c>
    </row>
    <row r="86" spans="7:17" ht="12.75">
      <c r="G86" s="26"/>
      <c r="H86" s="12"/>
      <c r="I86" s="12"/>
      <c r="J86" s="12"/>
      <c r="K86" s="12"/>
      <c r="L86" t="s">
        <v>84</v>
      </c>
      <c r="M86" t="s">
        <v>1</v>
      </c>
      <c r="Q86" t="s">
        <v>84</v>
      </c>
    </row>
    <row r="87" spans="3:17" ht="12.75">
      <c r="C87" s="139" t="s">
        <v>120</v>
      </c>
      <c r="D87" s="139"/>
      <c r="E87" s="139"/>
      <c r="F87" s="139"/>
      <c r="G87" s="139"/>
      <c r="H87" s="139"/>
      <c r="I87" s="139"/>
      <c r="J87" s="12"/>
      <c r="K87" s="12"/>
      <c r="L87" t="s">
        <v>84</v>
      </c>
      <c r="M87" s="3">
        <f>0.04*M75+0.25*M76+0.42*M78+0.25*M79+0.04*M80</f>
        <v>8000</v>
      </c>
      <c r="N87" t="s">
        <v>19</v>
      </c>
      <c r="O87">
        <f>0.04*O75+0.25*O76+0.42*O78+0.25*O79+0.04*O80</f>
        <v>3</v>
      </c>
      <c r="P87" t="s">
        <v>18</v>
      </c>
      <c r="Q87" t="s">
        <v>84</v>
      </c>
    </row>
    <row r="88" spans="7:17" ht="12.75">
      <c r="G88" s="22" t="s">
        <v>0</v>
      </c>
      <c r="H88" s="22"/>
      <c r="I88" s="12"/>
      <c r="J88" s="12"/>
      <c r="K88" s="12"/>
      <c r="L88" t="s">
        <v>84</v>
      </c>
      <c r="M88">
        <f>0.25*(M75-M87)+0.5*(M76-M87)</f>
        <v>1000</v>
      </c>
      <c r="N88" t="s">
        <v>44</v>
      </c>
      <c r="O88">
        <f>0.25*(O75-O87)+0.5*(O76-O87)</f>
        <v>0.25</v>
      </c>
      <c r="P88" t="s">
        <v>36</v>
      </c>
      <c r="Q88" t="s">
        <v>84</v>
      </c>
    </row>
    <row r="89" spans="7:17" ht="12.75">
      <c r="G89" s="12"/>
      <c r="H89" s="12"/>
      <c r="I89" s="12"/>
      <c r="J89" s="12"/>
      <c r="K89" s="12"/>
      <c r="L89" t="s">
        <v>84</v>
      </c>
      <c r="M89">
        <f>0.25*(M87-M80)+0.5*(M87-M79)</f>
        <v>1000</v>
      </c>
      <c r="N89" t="s">
        <v>45</v>
      </c>
      <c r="O89">
        <f>0.25*(O87-O80)+0.5*(O87-O79)</f>
        <v>0.25</v>
      </c>
      <c r="P89" t="s">
        <v>37</v>
      </c>
      <c r="Q89" t="s">
        <v>84</v>
      </c>
    </row>
    <row r="90" spans="3:17" ht="12.75">
      <c r="D90" t="s">
        <v>119</v>
      </c>
      <c r="F90" t="s">
        <v>268</v>
      </c>
      <c r="G90" s="12"/>
      <c r="H90" s="5" t="s">
        <v>119</v>
      </c>
      <c r="I90" s="5" t="s">
        <v>0</v>
      </c>
      <c r="J90" s="15" t="s">
        <v>233</v>
      </c>
      <c r="K90" s="12"/>
      <c r="L90" t="s">
        <v>84</v>
      </c>
      <c r="M90" s="3">
        <f>M88^2</f>
        <v>1000000</v>
      </c>
      <c r="N90" t="s">
        <v>53</v>
      </c>
      <c r="O90">
        <f>O88^2</f>
        <v>0.0625</v>
      </c>
      <c r="P90" t="s">
        <v>47</v>
      </c>
      <c r="Q90" t="s">
        <v>84</v>
      </c>
    </row>
    <row r="91" spans="3:17" ht="12.75">
      <c r="C91" t="s">
        <v>88</v>
      </c>
      <c r="D91" t="s">
        <v>278</v>
      </c>
      <c r="F91" t="s">
        <v>173</v>
      </c>
      <c r="G91" s="12"/>
      <c r="H91" s="5" t="s">
        <v>203</v>
      </c>
      <c r="I91" s="5" t="s">
        <v>0</v>
      </c>
      <c r="J91" s="15" t="s">
        <v>215</v>
      </c>
      <c r="K91" s="12" t="s">
        <v>2</v>
      </c>
      <c r="L91" t="s">
        <v>84</v>
      </c>
      <c r="M91" s="3">
        <f>M89^2</f>
        <v>1000000</v>
      </c>
      <c r="N91" t="s">
        <v>54</v>
      </c>
      <c r="O91">
        <f>O89^2</f>
        <v>0.0625</v>
      </c>
      <c r="P91" t="s">
        <v>48</v>
      </c>
      <c r="Q91" t="s">
        <v>84</v>
      </c>
    </row>
    <row r="92" spans="7:17" ht="12.75">
      <c r="G92" s="12"/>
      <c r="H92" s="12"/>
      <c r="I92" s="12"/>
      <c r="J92" s="12"/>
      <c r="K92" s="12"/>
      <c r="L92" t="s">
        <v>84</v>
      </c>
      <c r="M92" t="s">
        <v>1</v>
      </c>
      <c r="Q92" t="s">
        <v>84</v>
      </c>
    </row>
    <row r="93" spans="3:17" ht="13.5" thickBot="1">
      <c r="C93" s="3">
        <v>1</v>
      </c>
      <c r="D93" s="3">
        <f>MEDY</f>
        <v>8000</v>
      </c>
      <c r="F93" s="35">
        <f>0.95</f>
        <v>0.95</v>
      </c>
      <c r="G93" s="12"/>
      <c r="H93" s="5">
        <f>MEDP</f>
        <v>3</v>
      </c>
      <c r="I93" s="12"/>
      <c r="J93" s="86">
        <f>(D93*F93*H93)</f>
        <v>22800</v>
      </c>
      <c r="K93" s="12"/>
      <c r="L93" t="s">
        <v>84</v>
      </c>
      <c r="M93" s="3">
        <f>(M87^2*O90)+(O87-M81)^2*M90</f>
        <v>5029210.25</v>
      </c>
      <c r="N93" s="3" t="s">
        <v>49</v>
      </c>
      <c r="O93" s="3">
        <f>(M87^2*O91)+(O87-M81)^2*M91</f>
        <v>5029210.25</v>
      </c>
      <c r="P93" t="s">
        <v>52</v>
      </c>
      <c r="Q93" t="s">
        <v>84</v>
      </c>
    </row>
    <row r="94" spans="7:17" ht="13.5" thickTop="1">
      <c r="G94" s="12"/>
      <c r="H94" s="12"/>
      <c r="I94" s="12"/>
      <c r="J94" s="12"/>
      <c r="K94" s="12"/>
      <c r="L94" t="s">
        <v>84</v>
      </c>
      <c r="M94" s="3">
        <f>(M87^2*O90)+(O87-M81)^2*M91</f>
        <v>5029210.25</v>
      </c>
      <c r="N94" s="3" t="s">
        <v>50</v>
      </c>
      <c r="O94" s="3">
        <f>M87^2*O91+(O87-M81)^2*M90</f>
        <v>5029210.25</v>
      </c>
      <c r="P94" t="s">
        <v>51</v>
      </c>
      <c r="Q94" t="s">
        <v>84</v>
      </c>
    </row>
    <row r="95" spans="7:18" ht="12.75">
      <c r="G95" s="12"/>
      <c r="H95" s="12"/>
      <c r="I95" s="12"/>
      <c r="J95" s="12"/>
      <c r="K95" s="12"/>
      <c r="L95" t="s">
        <v>84</v>
      </c>
      <c r="M95" s="3">
        <f>SQRT(M93)</f>
        <v>2242.5900762288234</v>
      </c>
      <c r="N95" s="3" t="s">
        <v>38</v>
      </c>
      <c r="O95" s="3">
        <f>SQRT(O93)</f>
        <v>2242.5900762288234</v>
      </c>
      <c r="P95" t="s">
        <v>41</v>
      </c>
      <c r="Q95" t="s">
        <v>84</v>
      </c>
    </row>
    <row r="96" spans="7:17" ht="12.75">
      <c r="G96" s="12"/>
      <c r="H96" s="12"/>
      <c r="I96" s="12"/>
      <c r="J96" s="12"/>
      <c r="K96" s="12"/>
      <c r="L96" t="s">
        <v>84</v>
      </c>
      <c r="M96" s="3">
        <f>SQRT(M94)</f>
        <v>2242.5900762288234</v>
      </c>
      <c r="N96" s="3" t="s">
        <v>39</v>
      </c>
      <c r="O96" s="3">
        <f>SQRT(O94)</f>
        <v>2242.5900762288234</v>
      </c>
      <c r="P96" t="s">
        <v>40</v>
      </c>
      <c r="Q96" t="s">
        <v>84</v>
      </c>
    </row>
    <row r="97" spans="2:43" ht="12.75">
      <c r="B97" s="52" t="s">
        <v>5</v>
      </c>
      <c r="G97" s="12"/>
      <c r="H97" s="12"/>
      <c r="I97" s="12"/>
      <c r="J97" s="12"/>
      <c r="K97" s="12"/>
      <c r="L97" t="s">
        <v>84</v>
      </c>
      <c r="M97" s="3">
        <f>0.66*M95+0.17*M96+0.17*O96</f>
        <v>2242.5900762288234</v>
      </c>
      <c r="N97" s="3" t="s">
        <v>42</v>
      </c>
      <c r="O97" s="3">
        <f>0.66*O95+0.17*M96+0.17*O96</f>
        <v>2242.5900762288234</v>
      </c>
      <c r="P97" t="s">
        <v>43</v>
      </c>
      <c r="Q97" t="s">
        <v>84</v>
      </c>
      <c r="AQ97" t="s">
        <v>217</v>
      </c>
    </row>
    <row r="98" spans="7:17" ht="12.75">
      <c r="G98" s="12"/>
      <c r="H98" s="12"/>
      <c r="I98" s="12"/>
      <c r="J98" s="12"/>
      <c r="K98" s="12"/>
      <c r="L98" t="s">
        <v>84</v>
      </c>
      <c r="M98" t="s">
        <v>1</v>
      </c>
      <c r="Q98" t="s">
        <v>84</v>
      </c>
    </row>
    <row r="99" spans="2:17" ht="12.75">
      <c r="B99" s="44" t="s">
        <v>181</v>
      </c>
      <c r="C99" s="44"/>
      <c r="D99" s="44"/>
      <c r="E99" s="44"/>
      <c r="F99" s="44"/>
      <c r="G99" s="54"/>
      <c r="H99" s="54"/>
      <c r="I99" s="54"/>
      <c r="J99" s="54"/>
      <c r="K99" s="54"/>
      <c r="L99" t="s">
        <v>84</v>
      </c>
      <c r="M99" t="s">
        <v>100</v>
      </c>
      <c r="Q99" t="s">
        <v>84</v>
      </c>
    </row>
    <row r="100" spans="2:17" ht="12.75">
      <c r="B100" s="44" t="s">
        <v>228</v>
      </c>
      <c r="C100" s="44"/>
      <c r="D100" s="44"/>
      <c r="E100" s="44"/>
      <c r="F100" s="44"/>
      <c r="G100" s="54"/>
      <c r="H100" s="54"/>
      <c r="I100" s="54"/>
      <c r="J100" s="54"/>
      <c r="K100" s="54"/>
      <c r="L100" t="s">
        <v>84</v>
      </c>
      <c r="M100" t="s">
        <v>1</v>
      </c>
      <c r="Q100" t="s">
        <v>84</v>
      </c>
    </row>
    <row r="101" spans="2:17" ht="12.75">
      <c r="B101" s="44" t="s">
        <v>227</v>
      </c>
      <c r="C101" s="44"/>
      <c r="D101" s="44"/>
      <c r="E101" s="44"/>
      <c r="F101" s="44"/>
      <c r="G101" s="54"/>
      <c r="H101" s="54"/>
      <c r="I101" s="54"/>
      <c r="J101" s="54"/>
      <c r="K101" s="54"/>
      <c r="L101" t="s">
        <v>84</v>
      </c>
      <c r="M101" s="3">
        <f>M95*M74</f>
        <v>2242.5900762288234</v>
      </c>
      <c r="N101" t="s">
        <v>38</v>
      </c>
      <c r="O101" s="3">
        <f>O95*M74</f>
        <v>2242.5900762288234</v>
      </c>
      <c r="P101" t="s">
        <v>41</v>
      </c>
      <c r="Q101" t="s">
        <v>84</v>
      </c>
    </row>
    <row r="102" spans="2:17" ht="12.75">
      <c r="B102" s="44"/>
      <c r="C102" s="44"/>
      <c r="D102" s="44"/>
      <c r="E102" s="44"/>
      <c r="F102" s="44"/>
      <c r="G102" s="54"/>
      <c r="H102" s="54"/>
      <c r="I102" s="54"/>
      <c r="J102" s="54"/>
      <c r="K102" s="54" t="s">
        <v>0</v>
      </c>
      <c r="L102" t="s">
        <v>84</v>
      </c>
      <c r="M102" s="3">
        <f>M96*M74</f>
        <v>2242.5900762288234</v>
      </c>
      <c r="N102" t="s">
        <v>39</v>
      </c>
      <c r="O102" s="3">
        <f>O96*M74</f>
        <v>2242.5900762288234</v>
      </c>
      <c r="P102" t="s">
        <v>40</v>
      </c>
      <c r="Q102" t="s">
        <v>84</v>
      </c>
    </row>
    <row r="103" spans="2:17" ht="12.75">
      <c r="B103" s="44"/>
      <c r="C103" s="44"/>
      <c r="D103" s="44"/>
      <c r="E103" s="44" t="s">
        <v>31</v>
      </c>
      <c r="F103" s="44"/>
      <c r="G103" s="88" t="s">
        <v>20</v>
      </c>
      <c r="H103" s="54"/>
      <c r="I103" s="89" t="s">
        <v>34</v>
      </c>
      <c r="J103" s="54"/>
      <c r="K103" s="54"/>
      <c r="L103" t="s">
        <v>84</v>
      </c>
      <c r="M103" s="3">
        <f>M74*M97</f>
        <v>2242.5900762288234</v>
      </c>
      <c r="N103" t="s">
        <v>42</v>
      </c>
      <c r="O103" s="3">
        <f>M74*O97</f>
        <v>2242.5900762288234</v>
      </c>
      <c r="P103" t="s">
        <v>43</v>
      </c>
      <c r="Q103" t="s">
        <v>84</v>
      </c>
    </row>
    <row r="104" spans="2:17" ht="12.75">
      <c r="B104" s="44"/>
      <c r="C104" s="44"/>
      <c r="D104" s="54"/>
      <c r="E104" s="44"/>
      <c r="F104" s="44"/>
      <c r="G104" s="44"/>
      <c r="H104" s="44"/>
      <c r="I104" s="44"/>
      <c r="J104" s="54"/>
      <c r="K104" s="54"/>
      <c r="L104" t="s">
        <v>84</v>
      </c>
      <c r="M104" s="4">
        <f>O78</f>
        <v>3</v>
      </c>
      <c r="N104" t="s">
        <v>25</v>
      </c>
      <c r="O104">
        <f>M78</f>
        <v>8000</v>
      </c>
      <c r="P104" t="s">
        <v>28</v>
      </c>
      <c r="Q104" t="s">
        <v>84</v>
      </c>
    </row>
    <row r="105" spans="2:17" ht="12.75">
      <c r="B105" s="44" t="s">
        <v>82</v>
      </c>
      <c r="C105" s="44"/>
      <c r="D105" s="90">
        <f>O106+1.5*M103</f>
        <v>9024.847114343234</v>
      </c>
      <c r="E105" s="90">
        <f>(O106+M103)</f>
        <v>7903.552076228823</v>
      </c>
      <c r="F105" s="90">
        <f>O106+0.5*M103</f>
        <v>6782.257038114411</v>
      </c>
      <c r="G105" s="91">
        <v>3312.8056835660173</v>
      </c>
      <c r="H105" s="90">
        <f>O106-0.5*O103</f>
        <v>4539.666961885588</v>
      </c>
      <c r="I105" s="90">
        <f>O106-O103</f>
        <v>3418.371923771176</v>
      </c>
      <c r="J105" s="90">
        <f>O106-1.5*O103</f>
        <v>2297.0768856567647</v>
      </c>
      <c r="K105" s="54"/>
      <c r="L105" t="s">
        <v>84</v>
      </c>
      <c r="M105" s="3">
        <f>I16*M87*O87</f>
        <v>24000</v>
      </c>
      <c r="N105" t="s">
        <v>17</v>
      </c>
      <c r="O105" s="3">
        <f>(M82+M78*M81)*M74</f>
        <v>18339.038</v>
      </c>
      <c r="P105" t="s">
        <v>26</v>
      </c>
      <c r="Q105" t="s">
        <v>84</v>
      </c>
    </row>
    <row r="106" spans="2:17" ht="12.75">
      <c r="B106" s="44" t="s">
        <v>102</v>
      </c>
      <c r="C106" s="44"/>
      <c r="D106" s="92">
        <f>IF(N110&lt;1,IF(M110,R110,1-R110),IF(M110,R111,1-R111))</f>
        <v>0.06680727937584864</v>
      </c>
      <c r="E106" s="92">
        <f>IF(T110&lt;1,IF(S110,X110,1-X110),IF(S110,X111,1-X111))</f>
        <v>0.15865531316113046</v>
      </c>
      <c r="F106" s="92">
        <f>IF(Z110&lt;1,IF(Y110,AD110,1-AD110),IF(Y110,AD111,1-AD111))</f>
        <v>0.30853755861792775</v>
      </c>
      <c r="G106" s="92">
        <f>IF(N112&lt;1,IF(M112,R112,1-R112),IF(M112,R113,1-R113))</f>
        <v>0.8524670486509441</v>
      </c>
      <c r="H106" s="93">
        <f>IF(T112&lt;1,IF(S112,X112,1-X112),IF(S112,X113,1-X113))</f>
        <v>0.6914624413820722</v>
      </c>
      <c r="I106" s="93">
        <f>IF(Z112&lt;1,IF(Y112,AD112,1-AD112),IF(Y112,AD113,1-AD113))</f>
        <v>0.8413446868388694</v>
      </c>
      <c r="J106" s="94">
        <f>IF(N114&lt;1,IF(M114,R114,1-R114),IF(M114,R115,1-R115))</f>
        <v>0.9331927206241514</v>
      </c>
      <c r="K106" s="54" t="s">
        <v>0</v>
      </c>
      <c r="L106" t="s">
        <v>84</v>
      </c>
      <c r="M106" s="3">
        <f>M105+(0.7857*(O103-M103))</f>
        <v>24000</v>
      </c>
      <c r="N106" t="s">
        <v>27</v>
      </c>
      <c r="O106" s="3">
        <f>M105-O105</f>
        <v>5660.9619999999995</v>
      </c>
      <c r="P106" t="s">
        <v>15</v>
      </c>
      <c r="Q106" t="s">
        <v>84</v>
      </c>
    </row>
    <row r="107" spans="2:17" ht="12.75">
      <c r="B107" s="44" t="s">
        <v>102</v>
      </c>
      <c r="C107" s="44"/>
      <c r="D107" s="95">
        <f>IF(N110&lt;1,IF(M110,1-R110,R110),IF(M110,1-R111,R111))</f>
        <v>0.9331927206241514</v>
      </c>
      <c r="E107" s="95">
        <f>IF(T110&lt;1,IF(S110,1-X110,X110),IF(S110,1-X111,X111))</f>
        <v>0.8413446868388695</v>
      </c>
      <c r="F107" s="95">
        <f>IF(Z110&lt;1,IF(Y110,1-AD110,AD110),IF(Y110,1-AD111,AD111))</f>
        <v>0.6914624413820722</v>
      </c>
      <c r="G107" s="92">
        <f>IF(N112&lt;1,IF(M112,1-R112,R112),IF(M112,1-R113,R113))</f>
        <v>0.14753295134905586</v>
      </c>
      <c r="H107" s="92">
        <f>IF(T112&lt;1,IF(S112,1-X112,X112),IF(S112,1-X113,X113))</f>
        <v>0.30853755861792775</v>
      </c>
      <c r="I107" s="92">
        <f>IF(Z112&lt;1,IF(Y112,1-AD112,AD112),IF(Y112,1-AD113,AD113))</f>
        <v>0.15865531316113052</v>
      </c>
      <c r="J107" s="92">
        <f>IF(N114&lt;1,IF(M114,1-R114,R114),IF(M114,1-R115,R115))</f>
        <v>0.06680727937584864</v>
      </c>
      <c r="K107" s="54"/>
      <c r="L107" t="s">
        <v>84</v>
      </c>
      <c r="M107" s="3">
        <f>M106-O105</f>
        <v>5660.9619999999995</v>
      </c>
      <c r="N107" t="s">
        <v>24</v>
      </c>
      <c r="O107">
        <f>O106-M107</f>
        <v>0</v>
      </c>
      <c r="P107" t="s">
        <v>16</v>
      </c>
      <c r="Q107" t="s">
        <v>84</v>
      </c>
    </row>
    <row r="108" spans="2:17" ht="12.75">
      <c r="B108" s="44"/>
      <c r="C108" s="44"/>
      <c r="D108" s="54"/>
      <c r="E108" s="54"/>
      <c r="F108" s="54"/>
      <c r="G108" s="54"/>
      <c r="H108" s="54"/>
      <c r="I108" s="54"/>
      <c r="J108" s="54"/>
      <c r="K108" s="54"/>
      <c r="L108" t="s">
        <v>84</v>
      </c>
      <c r="M108" t="s">
        <v>1</v>
      </c>
      <c r="Q108" t="s">
        <v>84</v>
      </c>
    </row>
    <row r="109" spans="2:11" ht="13.5" thickBot="1">
      <c r="B109" s="96" t="s">
        <v>103</v>
      </c>
      <c r="C109" s="44"/>
      <c r="D109" s="54"/>
      <c r="E109" s="132">
        <f>IF(T114&lt;1,IF(S114,X114,1-X114),IF(S114,X115,1-X115))</f>
        <v>0.9937903070841806</v>
      </c>
      <c r="F109" s="136" t="s">
        <v>379</v>
      </c>
      <c r="G109" s="54"/>
      <c r="H109" s="54"/>
      <c r="I109" s="54"/>
      <c r="J109" s="131">
        <f>M74*(G21*G22-I67)</f>
        <v>2913.9888619047633</v>
      </c>
      <c r="K109" s="54"/>
    </row>
    <row r="110" spans="7:30" ht="13.5" thickTop="1">
      <c r="G110" s="12"/>
      <c r="H110" s="12"/>
      <c r="I110" s="12"/>
      <c r="J110" s="12"/>
      <c r="K110" s="12"/>
      <c r="M110" s="4" t="b">
        <f>+D105&gt;=M107</f>
        <v>1</v>
      </c>
      <c r="N110" s="4">
        <f>ABS((D105-O106)/IF(M110,M103,O103))</f>
        <v>1.5</v>
      </c>
      <c r="O110" s="4">
        <f>MIN(2.5,ABS((D105-(M107+O107*ABS(D105-M107)/ABS(IF(M110,M103+O107,O103-O107))*MIN(1,N110)))/(MIN(1.52,N110)/1.52*IF(M110,M101,O101)+(1.52-MIN(1.52,N110))/3.04*M102+(1.52-MIN(1.52,N110))/3.04*O102)))</f>
        <v>1.4999999999999996</v>
      </c>
      <c r="P110" s="4">
        <f aca="true" t="shared" si="1" ref="P110:P115">1/(1+(0.2316419*O110))</f>
        <v>0.7421354881880418</v>
      </c>
      <c r="Q110" s="4">
        <f aca="true" t="shared" si="2" ref="Q110:Q115">0.398942281*((2.71828)^((-(O110^2)/2)))</f>
        <v>0.1295176938706635</v>
      </c>
      <c r="R110" s="4">
        <f aca="true" t="shared" si="3" ref="R110:R115">Q110*(0.31938153*P110-0.356563782*P110^2+1.781477937*P110^3-1.821255978*P110^4+1.330274429*P110^5)</f>
        <v>0.06680727937584864</v>
      </c>
      <c r="S110" s="4" t="b">
        <f>+E105&gt;=M107</f>
        <v>1</v>
      </c>
      <c r="T110" s="4">
        <f>ABS((E105-O106)/IF(S110,M103,O103))</f>
        <v>1.0000000000000002</v>
      </c>
      <c r="U110" s="4">
        <f>MIN(2.5,ABS((E105-(M107+O107*ABS(E105-M107)/ABS(IF(S110,M103+O107,O103-O107))*MIN(1,T110)))/(MIN(1.52,T110)/1.52*IF(S110,M101,O101)+(1.52-MIN(1.52,T110))/3.04*M102+(1.52-MIN(1.52,T110))/3.04*O102)))</f>
        <v>1.0000000000000002</v>
      </c>
      <c r="V110" s="4">
        <f aca="true" t="shared" si="4" ref="V110:V115">1/(1+(0.2316419*U110))</f>
        <v>0.8119243101424204</v>
      </c>
      <c r="W110" s="4">
        <f aca="true" t="shared" si="5" ref="W110:W115">0.398942281*((2.71828)^((-(U110^2)/2)))</f>
        <v>0.24197080626333928</v>
      </c>
      <c r="X110" s="4">
        <f aca="true" t="shared" si="6" ref="X110:X115">W110*(0.31938153*V110-0.356563782*V110^2+1.781477937*V110^3-1.821255978*V110^4+1.330274429*V110^5)</f>
        <v>0.15865531316113046</v>
      </c>
      <c r="Y110" s="4" t="b">
        <f>+F105&gt;=M107</f>
        <v>1</v>
      </c>
      <c r="Z110" s="4">
        <f>ABS((F105-O106)/IF(Y110,M103,O103))</f>
        <v>0.5000000000000001</v>
      </c>
      <c r="AA110" s="4">
        <f>MIN(2.5,ABS((F105-(M107+O107*ABS(F105-M107)/ABS(IF(Y110,M103+O107,O103-O107))*MIN(1,Z110)))/(MIN(1.52,Z110)/1.52*IF(Y110,M101,O101)+(1.52-MIN(1.52,Z110))/3.04*M102+(1.52-MIN(1.52,Z110))/3.04*O102)))</f>
        <v>0.5</v>
      </c>
      <c r="AB110" s="4">
        <f>1/(1+(0.2316419*AA110))</f>
        <v>0.8962011333449152</v>
      </c>
      <c r="AC110" s="4">
        <f>0.398942281*((2.71828)^((-(AA110^2)/2)))</f>
        <v>0.35206535689474694</v>
      </c>
      <c r="AD110" s="4">
        <f>AC110*(0.31938153*AB110-0.356563782*AB110^2+1.781477937*AB110^3-1.821255978*AB110^4+1.330274429*AB110^5)</f>
        <v>0.30853755861792775</v>
      </c>
    </row>
    <row r="111" spans="7:30" ht="12.75">
      <c r="G111" s="12"/>
      <c r="H111" s="12"/>
      <c r="I111" s="12"/>
      <c r="J111" s="12"/>
      <c r="K111" s="12"/>
      <c r="O111" s="4">
        <f>MIN(2.5,ABS((D105-O106)/(MIN(1.52,N110)/1.52*IF(M110,M101,O101)+(1.52-MIN(1.52,N110))/3.04*M102+(1.52-MIN(1.52,N110))/3.04*O102)))</f>
        <v>1.4999999999999996</v>
      </c>
      <c r="P111" s="4">
        <f t="shared" si="1"/>
        <v>0.7421354881880418</v>
      </c>
      <c r="Q111" s="4">
        <f t="shared" si="2"/>
        <v>0.1295176938706635</v>
      </c>
      <c r="R111" s="4">
        <f t="shared" si="3"/>
        <v>0.06680727937584864</v>
      </c>
      <c r="U111" s="4">
        <f>MIN(2.5,ABS((E105-O106)/(MIN(1.52,T110)/1.52*IF(S110,M101,O101)+(1.52-MIN(1.52,T110))/3.04*M102+(1.52-MIN(1.52,T110))/3.04*O102)))</f>
        <v>1.0000000000000002</v>
      </c>
      <c r="V111" s="4">
        <f t="shared" si="4"/>
        <v>0.8119243101424204</v>
      </c>
      <c r="W111" s="4">
        <f t="shared" si="5"/>
        <v>0.24197080626333928</v>
      </c>
      <c r="X111" s="4">
        <f t="shared" si="6"/>
        <v>0.15865531316113046</v>
      </c>
      <c r="AA111" s="4">
        <f>MIN(2.5,ABS((F105-O106)/(MIN(1.52,Z110)/1.52*IF(Y110,M101,O101)+(1.52-MIN(1.52,Z110))/3.04*M102+(1.52-MIN(1.52,Z110))/3.04*O102)))</f>
        <v>0.5</v>
      </c>
      <c r="AB111" s="4">
        <f>1/(1+(0.2316419*AA111))</f>
        <v>0.8962011333449152</v>
      </c>
      <c r="AC111" s="4">
        <f>0.398942281*((2.71828)^((-(AA111^2)/2)))</f>
        <v>0.35206535689474694</v>
      </c>
      <c r="AD111" s="4">
        <f>AC111*(0.31938153*AB111-0.356563782*AB111^2+1.781477937*AB111^3-1.821255978*AB111^4+1.330274429*AB111^5)</f>
        <v>0.30853755861792775</v>
      </c>
    </row>
    <row r="112" spans="2:30" ht="12.75">
      <c r="B112" s="52" t="s">
        <v>357</v>
      </c>
      <c r="K112" t="s">
        <v>2</v>
      </c>
      <c r="M112" s="4" t="b">
        <f>+G105&gt;=M107</f>
        <v>0</v>
      </c>
      <c r="N112" s="4">
        <f>ABS((G105-O106)/IF(M112,M103,O103))</f>
        <v>1.0470733556364795</v>
      </c>
      <c r="O112" s="4">
        <f>MIN(2.5,ABS((G105-(M107+O107*ABS(G105-M107)/ABS(IF(M112,M103+O107,O103-O107))*MIN(1,N112)))/(MIN(1.52,N112)/1.52*IF(M112,M101,O101)+(1.52-MIN(1.52,N112))/3.04*M102+(1.52-MIN(1.52,N112))/3.04*O102)))</f>
        <v>1.0470733556364795</v>
      </c>
      <c r="P112" s="4">
        <f t="shared" si="1"/>
        <v>0.8047991386020782</v>
      </c>
      <c r="Q112" s="4">
        <f t="shared" si="2"/>
        <v>0.23058874748725566</v>
      </c>
      <c r="R112" s="4">
        <f t="shared" si="3"/>
        <v>0.14753295134905586</v>
      </c>
      <c r="S112" s="4" t="b">
        <f>+H105&gt;=M107</f>
        <v>0</v>
      </c>
      <c r="T112" s="4">
        <f>ABS((H105-O106)/IF(S112,M103,O103))</f>
        <v>0.5000000000000001</v>
      </c>
      <c r="U112" s="4">
        <f>MIN(2.5,ABS((H105-(M107+O107*ABS(H105-M107)/ABS(IF(S112,M103+O107,O103-O107))*MIN(1,T112)))/(MIN(1.52,T112)/1.52*IF(S112,M101,O101)+(1.52-MIN(1.52,T112))/3.04*M102+(1.52-MIN(1.52,T112))/3.04*O102)))</f>
        <v>0.5</v>
      </c>
      <c r="V112" s="4">
        <f t="shared" si="4"/>
        <v>0.8962011333449152</v>
      </c>
      <c r="W112" s="4">
        <f t="shared" si="5"/>
        <v>0.35206535689474694</v>
      </c>
      <c r="X112" s="4">
        <f t="shared" si="6"/>
        <v>0.30853755861792775</v>
      </c>
      <c r="Y112" s="4" t="b">
        <f>+I105&gt;=M107</f>
        <v>0</v>
      </c>
      <c r="Z112" s="4">
        <f>ABS((I105-O106)/IF(Y112,M103,O103))</f>
        <v>1</v>
      </c>
      <c r="AA112" s="4">
        <f>MIN(2.5,ABS((I105-(M107+O107*ABS(I105-M107)/ABS(IF(Y112,M103+O107,O103-O107))*MIN(1,Z112)))/(MIN(1.52,Z112)/1.52*IF(Y112,M101,O101)+(1.52-MIN(1.52,Z112))/3.04*M102+(1.52-MIN(1.52,Z112))/3.04*O102)))</f>
        <v>1</v>
      </c>
      <c r="AB112" s="4">
        <f>1/(1+(0.2316419*AA112))</f>
        <v>0.8119243101424204</v>
      </c>
      <c r="AC112" s="4">
        <f>0.398942281*((2.71828)^((-(AA112^2)/2)))</f>
        <v>0.24197080626333936</v>
      </c>
      <c r="AD112" s="4">
        <f>AC112*(0.31938153*AB112-0.356563782*AB112^2+1.781477937*AB112^3-1.821255978*AB112^4+1.330274429*AB112^5)</f>
        <v>0.15865531316113052</v>
      </c>
    </row>
    <row r="113" spans="2:30" ht="12.75">
      <c r="B113" s="66"/>
      <c r="C113" s="66"/>
      <c r="D113" s="66"/>
      <c r="E113" s="66"/>
      <c r="F113" s="66"/>
      <c r="G113" s="66"/>
      <c r="H113" s="66"/>
      <c r="I113" s="66"/>
      <c r="J113" s="101" t="s">
        <v>378</v>
      </c>
      <c r="K113" s="101" t="s">
        <v>355</v>
      </c>
      <c r="O113" s="4">
        <f>MIN(2.5,ABS((G105-O106)/(MIN(1.52,N112)/1.52*IF(M112,M101,O101)+(1.52-MIN(1.52,N112))/3.04*M102+(1.52-MIN(1.52,N112))/3.04*O102)))</f>
        <v>1.0470733556364795</v>
      </c>
      <c r="P113" s="4">
        <f t="shared" si="1"/>
        <v>0.8047991386020782</v>
      </c>
      <c r="Q113" s="4">
        <f t="shared" si="2"/>
        <v>0.23058874748725566</v>
      </c>
      <c r="R113" s="4">
        <f t="shared" si="3"/>
        <v>0.14753295134905586</v>
      </c>
      <c r="U113" s="4">
        <f>MIN(2.5,ABS((H105-O106)/(MIN(1.52,T112)/1.52*IF(S112,M101,O101)+(1.52-MIN(1.52,T112))/3.04*M102+(1.52-MIN(1.52,T112))/3.04*O102)))</f>
        <v>0.5</v>
      </c>
      <c r="V113" s="4">
        <f t="shared" si="4"/>
        <v>0.8962011333449152</v>
      </c>
      <c r="W113" s="4">
        <f t="shared" si="5"/>
        <v>0.35206535689474694</v>
      </c>
      <c r="X113" s="4">
        <f t="shared" si="6"/>
        <v>0.30853755861792775</v>
      </c>
      <c r="AA113" s="4">
        <f>MIN(2.5,ABS((I105-O106)/(MIN(1.52,Z112)/1.52*IF(Y112,M101,O101)+(1.52-MIN(1.52,Z112))/3.04*M102+(1.52-MIN(1.52,Z112))/3.04*O102)))</f>
        <v>1</v>
      </c>
      <c r="AB113" s="4">
        <f>1/(1+(0.2316419*AA113))</f>
        <v>0.8119243101424204</v>
      </c>
      <c r="AC113" s="4">
        <f>0.398942281*((2.71828)^((-(AA113^2)/2)))</f>
        <v>0.24197080626333936</v>
      </c>
      <c r="AD113" s="4">
        <f>AC113*(0.31938153*AB113-0.356563782*AB113^2+1.781477937*AB113^3-1.821255978*AB113^4+1.330274429*AB113^5)</f>
        <v>0.15865531316113052</v>
      </c>
    </row>
    <row r="114" spans="2:24" ht="12.75">
      <c r="B114" s="66"/>
      <c r="C114" s="101" t="s">
        <v>98</v>
      </c>
      <c r="D114" s="101" t="s">
        <v>186</v>
      </c>
      <c r="E114" s="101" t="s">
        <v>186</v>
      </c>
      <c r="F114" s="101" t="s">
        <v>294</v>
      </c>
      <c r="G114" s="101" t="s">
        <v>193</v>
      </c>
      <c r="H114" s="101" t="s">
        <v>193</v>
      </c>
      <c r="I114" s="101" t="s">
        <v>275</v>
      </c>
      <c r="J114" s="101" t="s">
        <v>356</v>
      </c>
      <c r="K114" s="101" t="s">
        <v>358</v>
      </c>
      <c r="M114" s="4" t="b">
        <f>+J105&gt;=M107</f>
        <v>0</v>
      </c>
      <c r="N114" s="4">
        <f>ABS((J105-O106)/IF(M114,M103,O103))</f>
        <v>1.5</v>
      </c>
      <c r="O114" s="4">
        <f>MIN(2.5,ABS((J105-(M107+O107*ABS(J105-M107)/ABS(IF(M114,M103+O107,O103-O107))*MIN(1,N114)))/(MIN(1.52,N114)/1.52*IF(M114,M101,O101)+(1.52-MIN(1.52,N114))/3.04*M102+(1.52-MIN(1.52,N114))/3.04*O102)))</f>
        <v>1.4999999999999996</v>
      </c>
      <c r="P114" s="4">
        <f t="shared" si="1"/>
        <v>0.7421354881880418</v>
      </c>
      <c r="Q114" s="4">
        <f t="shared" si="2"/>
        <v>0.1295176938706635</v>
      </c>
      <c r="R114" s="4">
        <f t="shared" si="3"/>
        <v>0.06680727937584864</v>
      </c>
      <c r="S114" s="4" t="b">
        <f>0&gt;=M107</f>
        <v>0</v>
      </c>
      <c r="T114" s="4">
        <f>ABS((0-O106)/IF(S114,M103,O103))</f>
        <v>2.524296374984218</v>
      </c>
      <c r="U114" s="4">
        <f>MIN(2.5,ABS((0-(M107+O107*ABS(0-M107)/ABS(IF(S114,M103+O107,O103-O107))*MIN(1,T114)))/(MIN(1.52,T114)/1.52*IF(S114,M101,O101)+(1.52-MIN(1.52,T114))/3.04*M102+(1.52-MIN(1.52,T114))/3.04*O102)))</f>
        <v>2.5</v>
      </c>
      <c r="V114" s="4">
        <f t="shared" si="4"/>
        <v>0.6332702121249398</v>
      </c>
      <c r="W114" s="4">
        <f t="shared" si="5"/>
        <v>0.017528337365090806</v>
      </c>
      <c r="X114" s="4">
        <f t="shared" si="6"/>
        <v>0.00620969291581936</v>
      </c>
    </row>
    <row r="115" spans="2:24" ht="12.75">
      <c r="B115" s="118" t="s">
        <v>375</v>
      </c>
      <c r="C115" s="66"/>
      <c r="D115" s="66"/>
      <c r="E115" s="66"/>
      <c r="F115" s="134">
        <f>MEDY*0.95</f>
        <v>7600</v>
      </c>
      <c r="G115" s="66"/>
      <c r="H115" s="66"/>
      <c r="I115" s="66"/>
      <c r="J115" s="124"/>
      <c r="K115" s="124"/>
      <c r="O115" s="4">
        <f>MIN(2.5,ABS((J105-O106)/(MIN(1.52,N114)/1.52*IF(M114,M101,O101)+(1.52-MIN(1.52,N114))/3.04*M102+(1.52-MIN(1.52,N114))/3.04*O102)))</f>
        <v>1.4999999999999996</v>
      </c>
      <c r="P115" s="4">
        <f t="shared" si="1"/>
        <v>0.7421354881880418</v>
      </c>
      <c r="Q115" s="4">
        <f t="shared" si="2"/>
        <v>0.1295176938706635</v>
      </c>
      <c r="R115" s="4">
        <f t="shared" si="3"/>
        <v>0.06680727937584864</v>
      </c>
      <c r="U115" s="4">
        <f>MIN(2.5,ABS((0-O106)/(MIN(1.52,T114)/1.52*IF(S114,M101,O101)+(1.52-MIN(1.52,T114))/3.04*M102+(1.52-MIN(1.52,T114))/3.04*O102)))</f>
        <v>2.5</v>
      </c>
      <c r="V115" s="4">
        <f t="shared" si="4"/>
        <v>0.6332702121249398</v>
      </c>
      <c r="W115" s="4">
        <f t="shared" si="5"/>
        <v>0.017528337365090806</v>
      </c>
      <c r="X115" s="4">
        <f t="shared" si="6"/>
        <v>0.00620969291581936</v>
      </c>
    </row>
    <row r="116" spans="2:11" ht="12.75">
      <c r="B116" s="68">
        <v>2.5</v>
      </c>
      <c r="C116" s="133">
        <v>4759</v>
      </c>
      <c r="D116" s="67">
        <v>3726</v>
      </c>
      <c r="E116" s="67">
        <v>2694</v>
      </c>
      <c r="F116" s="135">
        <v>3131</v>
      </c>
      <c r="G116" s="66">
        <v>628</v>
      </c>
      <c r="H116" s="69">
        <v>-404</v>
      </c>
      <c r="I116" s="70">
        <v>-1437</v>
      </c>
      <c r="J116" s="69">
        <v>-1086</v>
      </c>
      <c r="K116" s="123">
        <v>79</v>
      </c>
    </row>
    <row r="117" spans="2:11" ht="12.75">
      <c r="B117" s="68">
        <v>2.75</v>
      </c>
      <c r="C117" s="133">
        <v>6964</v>
      </c>
      <c r="D117" s="67">
        <v>5836</v>
      </c>
      <c r="E117" s="67">
        <v>4708</v>
      </c>
      <c r="F117" s="135">
        <v>3313</v>
      </c>
      <c r="G117" s="67">
        <v>2335</v>
      </c>
      <c r="H117" s="67">
        <v>1088</v>
      </c>
      <c r="I117" s="69">
        <v>-158</v>
      </c>
      <c r="J117" s="66">
        <v>914</v>
      </c>
      <c r="K117" s="123">
        <v>92</v>
      </c>
    </row>
    <row r="118" spans="2:11" ht="12.75">
      <c r="B118" s="68">
        <v>3</v>
      </c>
      <c r="C118" s="133">
        <v>9025</v>
      </c>
      <c r="D118" s="67">
        <v>7904</v>
      </c>
      <c r="E118" s="67">
        <v>6782</v>
      </c>
      <c r="F118" s="135">
        <v>3313</v>
      </c>
      <c r="G118" s="67">
        <v>4540</v>
      </c>
      <c r="H118" s="67">
        <v>4540</v>
      </c>
      <c r="I118" s="133">
        <v>3418</v>
      </c>
      <c r="J118" s="66">
        <v>2297</v>
      </c>
      <c r="K118" s="123">
        <v>99</v>
      </c>
    </row>
    <row r="119" spans="2:11" ht="12.75">
      <c r="B119" s="68">
        <v>3.25</v>
      </c>
      <c r="C119" s="133">
        <v>11210</v>
      </c>
      <c r="D119" s="67">
        <v>10027</v>
      </c>
      <c r="E119" s="67">
        <v>8844</v>
      </c>
      <c r="F119" s="135">
        <v>3313</v>
      </c>
      <c r="G119" s="67">
        <v>6478</v>
      </c>
      <c r="H119" s="67">
        <v>5295</v>
      </c>
      <c r="I119" s="133">
        <v>4112</v>
      </c>
      <c r="J119" s="66">
        <v>4914</v>
      </c>
      <c r="K119" s="123">
        <v>99</v>
      </c>
    </row>
    <row r="120" spans="1:11" ht="12.75">
      <c r="A120" t="s">
        <v>85</v>
      </c>
      <c r="B120" s="68">
        <v>3.5</v>
      </c>
      <c r="C120" s="133">
        <v>13424</v>
      </c>
      <c r="D120" s="67">
        <v>12170</v>
      </c>
      <c r="E120" s="67">
        <v>10915</v>
      </c>
      <c r="F120" s="135">
        <v>3313</v>
      </c>
      <c r="G120" s="67">
        <v>8407</v>
      </c>
      <c r="H120" s="67">
        <v>7152</v>
      </c>
      <c r="I120" s="133">
        <v>5898</v>
      </c>
      <c r="J120" s="66">
        <v>6914</v>
      </c>
      <c r="K120" s="123">
        <v>99</v>
      </c>
    </row>
    <row r="122" ht="12.75">
      <c r="B122" s="44"/>
    </row>
    <row r="123" spans="2:11" ht="12.75">
      <c r="B123" s="130" t="s">
        <v>369</v>
      </c>
      <c r="C123" s="99"/>
      <c r="D123" s="99"/>
      <c r="E123" s="99"/>
      <c r="F123" s="99"/>
      <c r="G123" s="99"/>
      <c r="H123" s="99"/>
      <c r="I123" s="99"/>
      <c r="J123" s="99"/>
      <c r="K123" s="4"/>
    </row>
    <row r="124" spans="2:11" ht="12.75">
      <c r="B124" s="99" t="s">
        <v>370</v>
      </c>
      <c r="C124" s="99"/>
      <c r="D124" s="99"/>
      <c r="E124" s="99"/>
      <c r="F124" s="99"/>
      <c r="G124" s="99"/>
      <c r="H124" s="99"/>
      <c r="I124" s="99"/>
      <c r="J124" s="99"/>
      <c r="K124" s="4"/>
    </row>
    <row r="125" spans="2:11" ht="12.75">
      <c r="B125" s="4" t="s">
        <v>371</v>
      </c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 t="s">
        <v>372</v>
      </c>
      <c r="C126" s="4"/>
      <c r="D126" s="4"/>
      <c r="E126" s="4"/>
      <c r="F126" s="4"/>
      <c r="G126" s="4"/>
      <c r="H126" s="4"/>
      <c r="I126" s="4"/>
      <c r="J126" s="4"/>
      <c r="K126" s="4"/>
    </row>
    <row r="127" ht="12.75">
      <c r="B127" s="44"/>
    </row>
    <row r="128" ht="12.75">
      <c r="B128" s="44"/>
    </row>
    <row r="129" ht="12.75">
      <c r="B129" s="44"/>
    </row>
    <row r="130" ht="12.75">
      <c r="B130" s="44"/>
    </row>
  </sheetData>
  <sheetProtection/>
  <mergeCells count="2">
    <mergeCell ref="E13:G13"/>
    <mergeCell ref="C87:I8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4.00390625" style="0" customWidth="1"/>
    <col min="3" max="3" width="9.140625" style="0" customWidth="1"/>
    <col min="4" max="4" width="11.421875" style="0" customWidth="1"/>
    <col min="5" max="5" width="15.57421875" style="0" customWidth="1"/>
    <col min="6" max="6" width="13.2812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.75">
      <c r="D4" s="137" t="s">
        <v>362</v>
      </c>
      <c r="E4" s="142"/>
      <c r="F4" s="142"/>
    </row>
    <row r="6" ht="12.75">
      <c r="C6" s="7" t="s">
        <v>229</v>
      </c>
    </row>
    <row r="8" spans="2:8" ht="12.75">
      <c r="B8" s="12"/>
      <c r="C8" s="12"/>
      <c r="D8" s="12"/>
      <c r="E8" s="12"/>
      <c r="F8" s="12" t="s">
        <v>214</v>
      </c>
      <c r="G8" s="12"/>
      <c r="H8" s="12" t="s">
        <v>214</v>
      </c>
    </row>
    <row r="9" spans="2:8" ht="12.75">
      <c r="B9" s="12" t="s">
        <v>276</v>
      </c>
      <c r="C9" s="12" t="s">
        <v>277</v>
      </c>
      <c r="D9" s="12" t="s">
        <v>202</v>
      </c>
      <c r="E9" s="12" t="s">
        <v>266</v>
      </c>
      <c r="F9" s="12" t="s">
        <v>266</v>
      </c>
      <c r="G9" s="12" t="s">
        <v>237</v>
      </c>
      <c r="H9" s="12" t="s">
        <v>237</v>
      </c>
    </row>
    <row r="11" spans="2:8" ht="12.75">
      <c r="B11" s="12">
        <v>1</v>
      </c>
      <c r="C11" s="12">
        <v>0</v>
      </c>
      <c r="D11" s="19">
        <v>0</v>
      </c>
      <c r="E11" s="5">
        <f>Yr1!I38</f>
        <v>16017.0675</v>
      </c>
      <c r="F11" s="5">
        <f aca="true" t="shared" si="0" ref="F11:F25">(C11*D11)-E11</f>
        <v>-16017.0675</v>
      </c>
      <c r="G11" s="5">
        <f>Yr1!I46</f>
        <v>20798.345063095236</v>
      </c>
      <c r="H11" s="5">
        <f aca="true" t="shared" si="1" ref="H11:H25">(C11*D11)-G11</f>
        <v>-20798.345063095236</v>
      </c>
    </row>
    <row r="12" spans="2:8" ht="12.75">
      <c r="B12" s="12">
        <v>2</v>
      </c>
      <c r="C12" s="5">
        <f>+Yr2!G31</f>
        <v>1900</v>
      </c>
      <c r="D12" s="19">
        <f>+MEDP</f>
        <v>3</v>
      </c>
      <c r="E12" s="5">
        <f>Yr2!I27</f>
        <v>2463.0894000000003</v>
      </c>
      <c r="F12" s="5">
        <f t="shared" si="0"/>
        <v>3236.9105999999997</v>
      </c>
      <c r="G12" s="5">
        <f>Yr2!I42</f>
        <v>9757.27024809524</v>
      </c>
      <c r="H12" s="5">
        <f t="shared" si="1"/>
        <v>-4057.2702480952394</v>
      </c>
    </row>
    <row r="13" spans="2:8" ht="12.75">
      <c r="B13" s="12">
        <v>3</v>
      </c>
      <c r="C13" s="5">
        <f>+Yr3!G32</f>
        <v>5700</v>
      </c>
      <c r="D13" s="19">
        <f>+MEDP</f>
        <v>3</v>
      </c>
      <c r="E13" s="19">
        <f>Yr3!I28</f>
        <v>1968.9294</v>
      </c>
      <c r="F13" s="5">
        <f t="shared" si="0"/>
        <v>15131.0706</v>
      </c>
      <c r="G13" s="5">
        <f>Yr2!I42</f>
        <v>9757.27024809524</v>
      </c>
      <c r="H13" s="5">
        <f t="shared" si="1"/>
        <v>7342.729751904761</v>
      </c>
    </row>
    <row r="14" spans="2:8" ht="12.75">
      <c r="B14" s="12">
        <v>4</v>
      </c>
      <c r="C14" s="12">
        <f>+MEDY*0.95</f>
        <v>7600</v>
      </c>
      <c r="D14" s="19">
        <v>3</v>
      </c>
      <c r="E14" s="19">
        <f>+Bud!I47</f>
        <v>2455.038</v>
      </c>
      <c r="F14" s="5">
        <f t="shared" si="0"/>
        <v>20344.962</v>
      </c>
      <c r="G14" s="5">
        <f>Yr2!I42</f>
        <v>9757.27024809524</v>
      </c>
      <c r="H14" s="5">
        <f t="shared" si="1"/>
        <v>13042.72975190476</v>
      </c>
    </row>
    <row r="15" spans="2:8" ht="12.75">
      <c r="B15" s="12">
        <v>5</v>
      </c>
      <c r="C15" s="47">
        <f>8000*0.95</f>
        <v>7600</v>
      </c>
      <c r="D15" s="19">
        <v>3</v>
      </c>
      <c r="E15" s="5">
        <f>+Bud!I47</f>
        <v>2455.038</v>
      </c>
      <c r="F15" s="5">
        <f t="shared" si="0"/>
        <v>20344.962</v>
      </c>
      <c r="G15" s="5">
        <f>+Yr3!I44</f>
        <v>16855.98624809524</v>
      </c>
      <c r="H15" s="5">
        <f t="shared" si="1"/>
        <v>5944.01375190476</v>
      </c>
    </row>
    <row r="16" spans="2:8" ht="12.75">
      <c r="B16" s="12">
        <v>6</v>
      </c>
      <c r="C16" s="47">
        <f>9000*0.95</f>
        <v>8550</v>
      </c>
      <c r="D16" s="19">
        <v>3</v>
      </c>
      <c r="E16" s="5">
        <f>+Bud!I47</f>
        <v>2455.038</v>
      </c>
      <c r="F16" s="5">
        <f t="shared" si="0"/>
        <v>23194.962</v>
      </c>
      <c r="G16" s="5">
        <f aca="true" t="shared" si="2" ref="G16:G25">+UNITCOST</f>
        <v>21086.011138095237</v>
      </c>
      <c r="H16" s="5">
        <f t="shared" si="1"/>
        <v>4563.988861904763</v>
      </c>
    </row>
    <row r="17" spans="2:8" ht="12.75">
      <c r="B17" s="12">
        <v>7</v>
      </c>
      <c r="C17" s="12">
        <f>10000*0.95</f>
        <v>9500</v>
      </c>
      <c r="D17" s="19">
        <v>3</v>
      </c>
      <c r="E17" s="5">
        <f>+Bud!I47</f>
        <v>2455.038</v>
      </c>
      <c r="F17" s="5">
        <f t="shared" si="0"/>
        <v>26044.962</v>
      </c>
      <c r="G17" s="5">
        <f t="shared" si="2"/>
        <v>21086.011138095237</v>
      </c>
      <c r="H17" s="5">
        <f t="shared" si="1"/>
        <v>7413.988861904763</v>
      </c>
    </row>
    <row r="18" spans="2:8" ht="12.75">
      <c r="B18" s="12">
        <v>8</v>
      </c>
      <c r="C18" s="12">
        <v>9000</v>
      </c>
      <c r="D18" s="19">
        <v>3</v>
      </c>
      <c r="E18" s="5">
        <f>+Bud!I47</f>
        <v>2455.038</v>
      </c>
      <c r="F18" s="5">
        <f t="shared" si="0"/>
        <v>24544.962</v>
      </c>
      <c r="G18" s="5">
        <f t="shared" si="2"/>
        <v>21086.011138095237</v>
      </c>
      <c r="H18" s="5">
        <f t="shared" si="1"/>
        <v>5913.988861904763</v>
      </c>
    </row>
    <row r="19" spans="2:8" ht="12.75">
      <c r="B19" s="12">
        <v>9</v>
      </c>
      <c r="C19" s="12">
        <v>8000</v>
      </c>
      <c r="D19" s="19">
        <v>3</v>
      </c>
      <c r="E19" s="5">
        <f>Yr3!I27+(C19*0.13)</f>
        <v>1160.1694</v>
      </c>
      <c r="F19" s="5">
        <f t="shared" si="0"/>
        <v>22839.8306</v>
      </c>
      <c r="G19" s="5">
        <f t="shared" si="2"/>
        <v>21086.011138095237</v>
      </c>
      <c r="H19" s="5">
        <f t="shared" si="1"/>
        <v>2913.9888619047633</v>
      </c>
    </row>
    <row r="20" spans="2:9" ht="12.75">
      <c r="B20" s="12">
        <v>10</v>
      </c>
      <c r="C20" s="12">
        <v>7000</v>
      </c>
      <c r="D20" s="19">
        <v>3.25</v>
      </c>
      <c r="E20" s="5">
        <f>Bud!I49+(C20*0.13)</f>
        <v>3365.038</v>
      </c>
      <c r="F20" s="5">
        <f t="shared" si="0"/>
        <v>19384.962</v>
      </c>
      <c r="G20" s="5">
        <f t="shared" si="2"/>
        <v>21086.011138095237</v>
      </c>
      <c r="H20" s="5">
        <f t="shared" si="1"/>
        <v>1663.9888619047633</v>
      </c>
      <c r="I20" s="7" t="s">
        <v>80</v>
      </c>
    </row>
    <row r="21" spans="2:8" ht="12.75">
      <c r="B21" s="12">
        <v>11</v>
      </c>
      <c r="C21" s="12">
        <v>6000</v>
      </c>
      <c r="D21" s="19">
        <v>3.5</v>
      </c>
      <c r="E21" s="5">
        <f>Bud!I49+(C21*0.13)</f>
        <v>3235.038</v>
      </c>
      <c r="F21" s="5">
        <f t="shared" si="0"/>
        <v>17764.962</v>
      </c>
      <c r="G21" s="5">
        <f t="shared" si="2"/>
        <v>21086.011138095237</v>
      </c>
      <c r="H21" s="5">
        <f t="shared" si="1"/>
        <v>-86.01113809523667</v>
      </c>
    </row>
    <row r="22" spans="2:8" ht="12.75">
      <c r="B22" s="12">
        <v>12</v>
      </c>
      <c r="C22" s="12">
        <v>8000</v>
      </c>
      <c r="D22" s="19">
        <v>3</v>
      </c>
      <c r="E22" s="5">
        <f>Bud!I49+(C22*0.13)</f>
        <v>3495.038</v>
      </c>
      <c r="F22" s="5">
        <f t="shared" si="0"/>
        <v>20504.962</v>
      </c>
      <c r="G22" s="5">
        <f t="shared" si="2"/>
        <v>21086.011138095237</v>
      </c>
      <c r="H22" s="5">
        <f t="shared" si="1"/>
        <v>2913.9888619047633</v>
      </c>
    </row>
    <row r="23" spans="2:8" ht="12.75">
      <c r="B23" s="12">
        <v>13</v>
      </c>
      <c r="C23" s="12">
        <v>8000</v>
      </c>
      <c r="D23" s="19">
        <v>3.25</v>
      </c>
      <c r="E23" s="5">
        <f>Bud!I49+(C23*0.13)</f>
        <v>3495.038</v>
      </c>
      <c r="F23" s="5">
        <f t="shared" si="0"/>
        <v>22504.962</v>
      </c>
      <c r="G23" s="5">
        <f t="shared" si="2"/>
        <v>21086.011138095237</v>
      </c>
      <c r="H23" s="5">
        <f t="shared" si="1"/>
        <v>4913.988861904763</v>
      </c>
    </row>
    <row r="24" spans="2:8" ht="12.75">
      <c r="B24" s="12">
        <v>14</v>
      </c>
      <c r="C24" s="12">
        <v>6500</v>
      </c>
      <c r="D24" s="19">
        <v>3.5</v>
      </c>
      <c r="E24" s="5">
        <f>Bud!I49+(C24*0.13)</f>
        <v>3300.038</v>
      </c>
      <c r="F24" s="5">
        <f t="shared" si="0"/>
        <v>19449.962</v>
      </c>
      <c r="G24" s="5">
        <f t="shared" si="2"/>
        <v>21086.011138095237</v>
      </c>
      <c r="H24" s="5">
        <f t="shared" si="1"/>
        <v>1663.9888619047633</v>
      </c>
    </row>
    <row r="25" spans="2:8" ht="12.75">
      <c r="B25" s="12">
        <v>15</v>
      </c>
      <c r="C25" s="12">
        <v>6500</v>
      </c>
      <c r="D25" s="19">
        <v>3.5</v>
      </c>
      <c r="E25" s="5">
        <f>Bud!I49+(C25*0.13)</f>
        <v>3300.038</v>
      </c>
      <c r="F25" s="5">
        <f t="shared" si="0"/>
        <v>19449.962</v>
      </c>
      <c r="G25" s="5">
        <f t="shared" si="2"/>
        <v>21086.011138095237</v>
      </c>
      <c r="H25" s="5">
        <f t="shared" si="1"/>
        <v>1663.9888619047633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80</v>
      </c>
      <c r="D27" s="12" t="s">
        <v>230</v>
      </c>
      <c r="E27" s="12"/>
      <c r="F27" s="12"/>
      <c r="G27" s="12"/>
      <c r="H27" s="12"/>
    </row>
    <row r="28" spans="2:8" ht="12.75">
      <c r="B28" s="12"/>
      <c r="C28" s="12"/>
      <c r="D28" s="12" t="s">
        <v>147</v>
      </c>
      <c r="E28" s="12"/>
      <c r="F28" s="12"/>
      <c r="G28" s="12"/>
      <c r="H28" s="12"/>
    </row>
    <row r="30" ht="12.75">
      <c r="C30" t="s">
        <v>85</v>
      </c>
    </row>
    <row r="31" ht="12.75">
      <c r="B31" t="s">
        <v>85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107" t="s">
        <v>304</v>
      </c>
      <c r="C2" s="7"/>
      <c r="D2" s="7"/>
      <c r="E2" s="7"/>
      <c r="F2" s="7"/>
      <c r="G2" s="7"/>
      <c r="H2" s="7"/>
    </row>
    <row r="3" spans="2:5" ht="12.75">
      <c r="B3" s="46"/>
      <c r="C3" s="12"/>
      <c r="D3" s="12"/>
      <c r="E3" s="12"/>
    </row>
    <row r="4" spans="1:10" ht="15.75">
      <c r="A4" s="140" t="s">
        <v>363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2:9" ht="15.75">
      <c r="B5" s="140" t="s">
        <v>307</v>
      </c>
      <c r="C5" s="142"/>
      <c r="D5" s="142"/>
      <c r="E5" s="142"/>
      <c r="F5" s="142"/>
      <c r="G5" s="142"/>
      <c r="H5" s="142"/>
      <c r="I5" s="142"/>
    </row>
    <row r="7" spans="2:10" ht="12.75">
      <c r="B7" s="52" t="s">
        <v>164</v>
      </c>
      <c r="C7" s="7"/>
      <c r="D7" s="7"/>
      <c r="E7" s="52"/>
      <c r="F7" s="52" t="s">
        <v>261</v>
      </c>
      <c r="G7" s="52" t="s">
        <v>285</v>
      </c>
      <c r="H7" s="62" t="s">
        <v>202</v>
      </c>
      <c r="I7" s="63" t="s">
        <v>286</v>
      </c>
      <c r="J7" s="52" t="s">
        <v>279</v>
      </c>
    </row>
    <row r="8" spans="2:3" ht="12.75">
      <c r="B8" s="7" t="s">
        <v>168</v>
      </c>
      <c r="C8" s="7"/>
    </row>
    <row r="9" spans="2:11" ht="12.75">
      <c r="B9" s="108" t="s">
        <v>201</v>
      </c>
      <c r="C9" s="108"/>
      <c r="D9" s="108"/>
      <c r="E9" s="108"/>
      <c r="F9" s="108" t="s">
        <v>136</v>
      </c>
      <c r="G9" s="113">
        <v>2.5</v>
      </c>
      <c r="H9" s="113">
        <v>36</v>
      </c>
      <c r="I9" s="113">
        <f>G9*H9</f>
        <v>90</v>
      </c>
      <c r="J9" s="114"/>
      <c r="K9" s="45"/>
    </row>
    <row r="10" spans="2:10" ht="12.75">
      <c r="B10" s="108" t="s">
        <v>322</v>
      </c>
      <c r="C10" s="108"/>
      <c r="D10" s="108"/>
      <c r="E10" s="108"/>
      <c r="F10" s="108" t="s">
        <v>86</v>
      </c>
      <c r="G10" s="113">
        <v>1</v>
      </c>
      <c r="H10" s="113">
        <v>1200</v>
      </c>
      <c r="I10" s="113">
        <f>G10*H10</f>
        <v>1200</v>
      </c>
      <c r="J10" s="114"/>
    </row>
    <row r="11" spans="2:10" ht="12.75">
      <c r="B11" s="52" t="s">
        <v>194</v>
      </c>
      <c r="C11" s="48"/>
      <c r="D11" s="48"/>
      <c r="E11" s="48"/>
      <c r="F11" s="48"/>
      <c r="G11" s="102"/>
      <c r="H11" s="102"/>
      <c r="I11" s="102"/>
      <c r="J11" s="40"/>
    </row>
    <row r="12" spans="2:10" ht="12.75">
      <c r="B12" s="108" t="s">
        <v>374</v>
      </c>
      <c r="C12" s="45"/>
      <c r="D12" s="45"/>
      <c r="E12" s="45"/>
      <c r="F12" s="74" t="s">
        <v>86</v>
      </c>
      <c r="G12" s="72">
        <v>1210</v>
      </c>
      <c r="H12" s="72">
        <v>1.5</v>
      </c>
      <c r="I12" s="72">
        <f aca="true" t="shared" si="0" ref="I12:I18">G12*H12</f>
        <v>1815</v>
      </c>
      <c r="J12" s="40"/>
    </row>
    <row r="13" spans="2:10" ht="12.75">
      <c r="B13" s="45" t="s">
        <v>195</v>
      </c>
      <c r="C13" s="45"/>
      <c r="D13" s="45"/>
      <c r="E13" s="45"/>
      <c r="F13" s="74" t="s">
        <v>86</v>
      </c>
      <c r="G13" s="72">
        <f>G12</f>
        <v>1210</v>
      </c>
      <c r="H13" s="72">
        <v>0.15</v>
      </c>
      <c r="I13" s="72">
        <f t="shared" si="0"/>
        <v>181.5</v>
      </c>
      <c r="J13" s="17"/>
    </row>
    <row r="14" spans="2:10" ht="12.75">
      <c r="B14" s="52" t="s">
        <v>321</v>
      </c>
      <c r="C14" s="45"/>
      <c r="D14" s="45"/>
      <c r="E14" s="45"/>
      <c r="F14" s="74"/>
      <c r="G14" s="72"/>
      <c r="H14" s="72"/>
      <c r="I14" s="72">
        <f t="shared" si="0"/>
        <v>0</v>
      </c>
      <c r="J14" s="17"/>
    </row>
    <row r="15" spans="2:10" ht="12.75">
      <c r="B15" s="108" t="s">
        <v>373</v>
      </c>
      <c r="C15" s="45"/>
      <c r="D15" s="45"/>
      <c r="E15" s="45"/>
      <c r="F15" s="109" t="s">
        <v>86</v>
      </c>
      <c r="G15" s="72">
        <v>1</v>
      </c>
      <c r="H15" s="72">
        <v>5000</v>
      </c>
      <c r="I15" s="72">
        <f t="shared" si="0"/>
        <v>5000</v>
      </c>
      <c r="J15" s="17"/>
    </row>
    <row r="16" spans="2:10" ht="12.75">
      <c r="B16" s="108" t="s">
        <v>346</v>
      </c>
      <c r="C16" s="45"/>
      <c r="D16" s="45"/>
      <c r="E16" s="45"/>
      <c r="F16" s="109" t="s">
        <v>347</v>
      </c>
      <c r="G16" s="72">
        <v>2.8</v>
      </c>
      <c r="H16" s="72">
        <v>100</v>
      </c>
      <c r="I16" s="72">
        <f t="shared" si="0"/>
        <v>280</v>
      </c>
      <c r="J16" s="17"/>
    </row>
    <row r="17" spans="2:10" ht="12.75">
      <c r="B17" s="108" t="s">
        <v>348</v>
      </c>
      <c r="C17" s="45"/>
      <c r="D17" s="45"/>
      <c r="E17" s="45"/>
      <c r="F17" s="109" t="s">
        <v>86</v>
      </c>
      <c r="G17" s="72">
        <v>1</v>
      </c>
      <c r="H17" s="72">
        <v>800</v>
      </c>
      <c r="I17" s="72">
        <f t="shared" si="0"/>
        <v>800</v>
      </c>
      <c r="J17" s="17"/>
    </row>
    <row r="18" spans="2:10" ht="12.75">
      <c r="B18" s="108" t="s">
        <v>349</v>
      </c>
      <c r="F18" s="109" t="s">
        <v>350</v>
      </c>
      <c r="G18" s="20">
        <v>8700</v>
      </c>
      <c r="H18" s="20">
        <v>0.02</v>
      </c>
      <c r="I18" s="20">
        <f t="shared" si="0"/>
        <v>174</v>
      </c>
      <c r="J18" s="17"/>
    </row>
    <row r="19" spans="2:10" ht="12.75">
      <c r="B19" s="7" t="s">
        <v>123</v>
      </c>
      <c r="F19" s="29"/>
      <c r="G19" s="20"/>
      <c r="H19" s="20"/>
      <c r="I19" s="20"/>
      <c r="J19" s="17"/>
    </row>
    <row r="20" spans="2:10" ht="12.75">
      <c r="B20" s="45" t="s">
        <v>315</v>
      </c>
      <c r="F20" s="74" t="s">
        <v>232</v>
      </c>
      <c r="G20" s="20">
        <v>1</v>
      </c>
      <c r="H20" s="20">
        <v>38</v>
      </c>
      <c r="I20" s="20">
        <f>G20*H20</f>
        <v>38</v>
      </c>
      <c r="J20" s="17"/>
    </row>
    <row r="21" spans="2:10" ht="12.75">
      <c r="B21" s="45" t="s">
        <v>316</v>
      </c>
      <c r="F21" s="74" t="s">
        <v>317</v>
      </c>
      <c r="G21" s="20">
        <v>6</v>
      </c>
      <c r="H21" s="20">
        <v>30</v>
      </c>
      <c r="I21" s="20">
        <f>G21*H21</f>
        <v>180</v>
      </c>
      <c r="J21" s="17"/>
    </row>
    <row r="22" spans="2:10" ht="12.75">
      <c r="B22" s="45" t="s">
        <v>318</v>
      </c>
      <c r="F22" s="74" t="s">
        <v>317</v>
      </c>
      <c r="G22" s="20">
        <v>11</v>
      </c>
      <c r="H22" s="20">
        <v>30</v>
      </c>
      <c r="I22" s="20">
        <f>G22*H22</f>
        <v>330</v>
      </c>
      <c r="J22" s="17"/>
    </row>
    <row r="23" spans="2:10" ht="12.75">
      <c r="B23" s="7" t="s">
        <v>271</v>
      </c>
      <c r="F23" s="29"/>
      <c r="G23" s="20"/>
      <c r="H23" s="20"/>
      <c r="I23" s="20">
        <f>G23*H23</f>
        <v>0</v>
      </c>
      <c r="J23" s="17"/>
    </row>
    <row r="24" spans="2:10" ht="12.75">
      <c r="B24" t="s">
        <v>198</v>
      </c>
      <c r="F24" s="29" t="s">
        <v>86</v>
      </c>
      <c r="G24" s="20">
        <v>2</v>
      </c>
      <c r="H24" s="20">
        <v>30</v>
      </c>
      <c r="I24" s="20">
        <f>G24*H24</f>
        <v>60</v>
      </c>
      <c r="J24" s="17"/>
    </row>
    <row r="25" spans="2:10" ht="12.75">
      <c r="B25" t="s">
        <v>197</v>
      </c>
      <c r="F25" s="29" t="s">
        <v>86</v>
      </c>
      <c r="G25" s="20">
        <v>2</v>
      </c>
      <c r="H25" s="20">
        <v>20</v>
      </c>
      <c r="I25" s="20">
        <f>H25*G25</f>
        <v>40</v>
      </c>
      <c r="J25" s="17"/>
    </row>
    <row r="26" spans="2:10" ht="12.75">
      <c r="B26" t="s">
        <v>252</v>
      </c>
      <c r="F26" s="29" t="s">
        <v>145</v>
      </c>
      <c r="G26" s="20">
        <v>4</v>
      </c>
      <c r="H26" s="20">
        <v>12</v>
      </c>
      <c r="I26" s="20">
        <f aca="true" t="shared" si="1" ref="I26:I37">G26*H26</f>
        <v>48</v>
      </c>
      <c r="J26" s="17"/>
    </row>
    <row r="27" spans="2:10" ht="12.75">
      <c r="B27" s="75" t="s">
        <v>166</v>
      </c>
      <c r="F27" s="29" t="s">
        <v>145</v>
      </c>
      <c r="G27" s="20">
        <v>4</v>
      </c>
      <c r="H27" s="20">
        <v>12</v>
      </c>
      <c r="I27" s="20">
        <f t="shared" si="1"/>
        <v>48</v>
      </c>
      <c r="J27" s="17"/>
    </row>
    <row r="28" spans="2:10" ht="12.75">
      <c r="B28" s="7" t="s">
        <v>150</v>
      </c>
      <c r="C28" s="7"/>
      <c r="D28" s="7"/>
      <c r="E28" s="7"/>
      <c r="F28" s="30"/>
      <c r="G28" s="21"/>
      <c r="H28" s="21"/>
      <c r="I28" s="21">
        <f t="shared" si="1"/>
        <v>0</v>
      </c>
      <c r="J28" s="17"/>
    </row>
    <row r="29" spans="2:10" ht="12.75">
      <c r="B29" t="s">
        <v>134</v>
      </c>
      <c r="F29" s="29" t="s">
        <v>86</v>
      </c>
      <c r="G29" s="20">
        <v>8</v>
      </c>
      <c r="H29" s="20">
        <v>40</v>
      </c>
      <c r="I29" s="20">
        <f t="shared" si="1"/>
        <v>320</v>
      </c>
      <c r="J29" s="17"/>
    </row>
    <row r="30" spans="2:10" ht="12.75">
      <c r="B30" s="45" t="s">
        <v>319</v>
      </c>
      <c r="E30" s="45"/>
      <c r="F30" s="74" t="s">
        <v>86</v>
      </c>
      <c r="G30" s="20">
        <v>1</v>
      </c>
      <c r="H30" s="20">
        <v>50</v>
      </c>
      <c r="I30" s="20">
        <f t="shared" si="1"/>
        <v>50</v>
      </c>
      <c r="J30" s="17"/>
    </row>
    <row r="31" spans="2:10" ht="12.75">
      <c r="B31" t="s">
        <v>151</v>
      </c>
      <c r="F31" s="29" t="s">
        <v>86</v>
      </c>
      <c r="G31" s="20">
        <v>2</v>
      </c>
      <c r="H31" s="20">
        <v>12</v>
      </c>
      <c r="I31" s="20">
        <f t="shared" si="1"/>
        <v>24</v>
      </c>
      <c r="J31" s="17"/>
    </row>
    <row r="32" spans="2:10" ht="12.75">
      <c r="B32" t="s">
        <v>253</v>
      </c>
      <c r="F32" s="29" t="s">
        <v>86</v>
      </c>
      <c r="G32" s="20">
        <v>6</v>
      </c>
      <c r="H32" s="20">
        <v>12</v>
      </c>
      <c r="I32" s="20">
        <f t="shared" si="1"/>
        <v>72</v>
      </c>
      <c r="J32" s="17"/>
    </row>
    <row r="33" spans="2:10" ht="12.75">
      <c r="B33" t="s">
        <v>167</v>
      </c>
      <c r="F33" s="29" t="s">
        <v>86</v>
      </c>
      <c r="G33" s="20">
        <v>6</v>
      </c>
      <c r="H33" s="20">
        <v>12</v>
      </c>
      <c r="I33" s="20">
        <f t="shared" si="1"/>
        <v>72</v>
      </c>
      <c r="J33" s="17"/>
    </row>
    <row r="34" spans="2:10" ht="12.75">
      <c r="B34" s="108" t="s">
        <v>352</v>
      </c>
      <c r="F34" s="29" t="s">
        <v>145</v>
      </c>
      <c r="G34" s="20">
        <v>2</v>
      </c>
      <c r="H34" s="20">
        <v>2000</v>
      </c>
      <c r="I34" s="20">
        <f t="shared" si="1"/>
        <v>4000</v>
      </c>
      <c r="J34" s="17"/>
    </row>
    <row r="35" spans="2:10" ht="12.75">
      <c r="B35" s="45" t="s">
        <v>323</v>
      </c>
      <c r="F35" s="74" t="s">
        <v>86</v>
      </c>
      <c r="G35" s="20">
        <v>1</v>
      </c>
      <c r="H35" s="20">
        <v>30</v>
      </c>
      <c r="I35" s="20">
        <f t="shared" si="1"/>
        <v>30</v>
      </c>
      <c r="J35" s="17"/>
    </row>
    <row r="36" spans="2:10" ht="12.75">
      <c r="B36" s="45" t="s">
        <v>161</v>
      </c>
      <c r="F36" s="29" t="s">
        <v>86</v>
      </c>
      <c r="G36" s="20">
        <v>1</v>
      </c>
      <c r="H36" s="20">
        <f>SSet!H44</f>
        <v>187</v>
      </c>
      <c r="I36" s="20">
        <f t="shared" si="1"/>
        <v>187</v>
      </c>
      <c r="J36" s="17"/>
    </row>
    <row r="37" spans="2:10" ht="12.75">
      <c r="B37" t="s">
        <v>159</v>
      </c>
      <c r="F37" s="29" t="s">
        <v>69</v>
      </c>
      <c r="G37" s="20">
        <f>SUM(I9:I36)</f>
        <v>15039.5</v>
      </c>
      <c r="H37" s="20">
        <v>0.065</v>
      </c>
      <c r="I37" s="20">
        <f t="shared" si="1"/>
        <v>977.5675</v>
      </c>
      <c r="J37" s="17"/>
    </row>
    <row r="38" spans="2:10" ht="13.5" thickBot="1">
      <c r="B38" s="52" t="s">
        <v>246</v>
      </c>
      <c r="F38" s="74" t="s">
        <v>69</v>
      </c>
      <c r="G38" s="20"/>
      <c r="H38" s="20" t="s">
        <v>2</v>
      </c>
      <c r="I38" s="73">
        <f>SUM(I9:I37)</f>
        <v>16017.0675</v>
      </c>
      <c r="J38" s="17"/>
    </row>
    <row r="39" spans="6:10" ht="13.5" thickTop="1">
      <c r="F39" s="29"/>
      <c r="G39" s="20"/>
      <c r="H39" s="20"/>
      <c r="I39" s="20"/>
      <c r="J39" s="17"/>
    </row>
    <row r="40" spans="2:10" ht="12.75">
      <c r="B40" s="7" t="s">
        <v>128</v>
      </c>
      <c r="C40" s="7"/>
      <c r="F40" s="29"/>
      <c r="G40" s="20"/>
      <c r="H40" s="20"/>
      <c r="I40" s="20"/>
      <c r="J40" s="17"/>
    </row>
    <row r="41" spans="2:10" ht="12.75">
      <c r="B41" t="s">
        <v>251</v>
      </c>
      <c r="F41" s="29" t="s">
        <v>86</v>
      </c>
      <c r="G41" s="20">
        <v>1</v>
      </c>
      <c r="H41" s="20">
        <f>FxdCost!I27</f>
        <v>1521.3007714285714</v>
      </c>
      <c r="I41" s="20">
        <f>G41*H41</f>
        <v>1521.3007714285714</v>
      </c>
      <c r="J41" s="17"/>
    </row>
    <row r="42" spans="2:10" ht="12.75">
      <c r="B42" t="s">
        <v>189</v>
      </c>
      <c r="F42" s="29" t="s">
        <v>69</v>
      </c>
      <c r="G42" s="20">
        <f>I38</f>
        <v>16017.0675</v>
      </c>
      <c r="H42" s="20">
        <v>0.15</v>
      </c>
      <c r="I42" s="20">
        <f>G42*H42</f>
        <v>2402.560125</v>
      </c>
      <c r="J42" s="17"/>
    </row>
    <row r="43" spans="2:10" ht="12.75">
      <c r="B43" t="s">
        <v>161</v>
      </c>
      <c r="F43" s="29" t="s">
        <v>86</v>
      </c>
      <c r="G43" s="20">
        <v>1</v>
      </c>
      <c r="H43" s="20">
        <f>SSet!H31</f>
        <v>857.4166666666667</v>
      </c>
      <c r="I43" s="20">
        <f>G43*H43</f>
        <v>857.4166666666667</v>
      </c>
      <c r="J43" s="17"/>
    </row>
    <row r="44" spans="2:10" ht="13.5" thickBot="1">
      <c r="B44" s="7" t="s">
        <v>239</v>
      </c>
      <c r="F44" s="12"/>
      <c r="G44" s="20"/>
      <c r="H44" s="20"/>
      <c r="I44" s="73">
        <f>SUM(I41:I43)</f>
        <v>4781.277563095238</v>
      </c>
      <c r="J44" s="17"/>
    </row>
    <row r="45" spans="6:10" ht="13.5" thickTop="1">
      <c r="F45" s="12"/>
      <c r="G45" s="20"/>
      <c r="H45" s="20"/>
      <c r="I45" s="20"/>
      <c r="J45" s="17"/>
    </row>
    <row r="46" spans="2:10" ht="13.5" thickBot="1">
      <c r="B46" s="7" t="s">
        <v>238</v>
      </c>
      <c r="F46" s="12"/>
      <c r="G46" s="20"/>
      <c r="H46" s="20"/>
      <c r="I46" s="73">
        <f>I38+I44</f>
        <v>20798.345063095236</v>
      </c>
      <c r="J46" s="17"/>
    </row>
    <row r="47" spans="7:9" ht="13.5" thickTop="1">
      <c r="G47" s="26"/>
      <c r="H47" s="26"/>
      <c r="I47" s="26"/>
    </row>
    <row r="48" spans="7:9" ht="12.75">
      <c r="G48" s="26"/>
      <c r="H48" s="26"/>
      <c r="I48" s="26"/>
    </row>
    <row r="50" ht="12.75">
      <c r="A50" t="s">
        <v>85</v>
      </c>
    </row>
  </sheetData>
  <sheetProtection/>
  <mergeCells count="2">
    <mergeCell ref="A4:J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4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8.8515625" style="0" customWidth="1"/>
    <col min="4" max="4" width="4.57421875" style="0" customWidth="1"/>
    <col min="5" max="5" width="4.140625" style="0" customWidth="1"/>
    <col min="6" max="6" width="6.28125" style="0" customWidth="1"/>
    <col min="7" max="7" width="10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107" t="s">
        <v>365</v>
      </c>
      <c r="C2" s="7"/>
      <c r="D2" s="7"/>
      <c r="E2" s="7"/>
      <c r="F2" s="7"/>
    </row>
    <row r="3" spans="2:6" ht="12.75">
      <c r="B3" s="52"/>
      <c r="C3" s="7"/>
      <c r="D3" s="7"/>
      <c r="E3" s="7"/>
      <c r="F3" s="7"/>
    </row>
    <row r="4" spans="2:9" ht="15.75">
      <c r="B4" s="143"/>
      <c r="C4" s="144"/>
      <c r="D4" s="144"/>
      <c r="E4" s="144"/>
      <c r="F4" s="144"/>
      <c r="G4" s="144"/>
      <c r="H4" s="144"/>
      <c r="I4" s="144"/>
    </row>
    <row r="5" spans="2:9" ht="15.75">
      <c r="B5" s="140" t="s">
        <v>364</v>
      </c>
      <c r="C5" s="142"/>
      <c r="D5" s="142"/>
      <c r="E5" s="142"/>
      <c r="F5" s="142"/>
      <c r="G5" s="142"/>
      <c r="H5" s="142"/>
      <c r="I5" s="142"/>
    </row>
    <row r="8" spans="2:10" ht="12.75">
      <c r="B8" s="46" t="s">
        <v>164</v>
      </c>
      <c r="C8" s="12"/>
      <c r="D8" s="12"/>
      <c r="E8" s="22"/>
      <c r="F8" s="46" t="s">
        <v>261</v>
      </c>
      <c r="G8" s="46" t="s">
        <v>209</v>
      </c>
      <c r="H8" s="128" t="s">
        <v>202</v>
      </c>
      <c r="I8" s="129" t="s">
        <v>286</v>
      </c>
      <c r="J8" s="46" t="s">
        <v>366</v>
      </c>
    </row>
    <row r="9" spans="2:10" ht="12.75">
      <c r="B9" s="52" t="s">
        <v>287</v>
      </c>
      <c r="J9" s="46" t="s">
        <v>106</v>
      </c>
    </row>
    <row r="10" spans="2:8" ht="12.75">
      <c r="B10" s="7" t="s">
        <v>123</v>
      </c>
      <c r="F10" s="12"/>
      <c r="G10" s="12"/>
      <c r="H10" s="5"/>
    </row>
    <row r="11" spans="2:10" ht="12.75">
      <c r="B11" s="108" t="s">
        <v>353</v>
      </c>
      <c r="F11" s="115" t="s">
        <v>86</v>
      </c>
      <c r="G11" s="5">
        <v>1</v>
      </c>
      <c r="H11" s="5">
        <v>380</v>
      </c>
      <c r="I11" s="5">
        <f aca="true" t="shared" si="0" ref="I11:I26">G11*H11</f>
        <v>380</v>
      </c>
      <c r="J11" s="41"/>
    </row>
    <row r="12" spans="2:10" ht="12.75">
      <c r="B12" s="45" t="s">
        <v>324</v>
      </c>
      <c r="E12" s="108"/>
      <c r="F12" s="47" t="s">
        <v>313</v>
      </c>
      <c r="G12" s="5">
        <v>6</v>
      </c>
      <c r="H12" s="5">
        <v>30</v>
      </c>
      <c r="I12" s="5">
        <f t="shared" si="0"/>
        <v>180</v>
      </c>
      <c r="J12" s="41"/>
    </row>
    <row r="13" spans="2:10" ht="12.75">
      <c r="B13" s="45" t="s">
        <v>318</v>
      </c>
      <c r="E13" s="108"/>
      <c r="F13" s="47" t="s">
        <v>313</v>
      </c>
      <c r="G13" s="5">
        <v>11</v>
      </c>
      <c r="H13" s="5">
        <v>30</v>
      </c>
      <c r="I13" s="5">
        <f t="shared" si="0"/>
        <v>330</v>
      </c>
      <c r="J13" s="41"/>
    </row>
    <row r="14" spans="2:10" ht="12.75">
      <c r="B14" s="108" t="s">
        <v>351</v>
      </c>
      <c r="E14" s="108"/>
      <c r="F14" s="115" t="s">
        <v>136</v>
      </c>
      <c r="G14" s="5">
        <v>8</v>
      </c>
      <c r="H14" s="5">
        <v>12</v>
      </c>
      <c r="I14" s="5">
        <f>G14*H14</f>
        <v>96</v>
      </c>
      <c r="J14" s="41"/>
    </row>
    <row r="15" spans="2:10" ht="12.75">
      <c r="B15" s="7" t="s">
        <v>271</v>
      </c>
      <c r="F15" s="12"/>
      <c r="G15" s="5"/>
      <c r="H15" s="5"/>
      <c r="I15" s="5">
        <f t="shared" si="0"/>
        <v>0</v>
      </c>
      <c r="J15" s="33"/>
    </row>
    <row r="16" spans="2:10" ht="12.75">
      <c r="B16" s="45" t="s">
        <v>325</v>
      </c>
      <c r="F16" s="12" t="s">
        <v>86</v>
      </c>
      <c r="G16" s="5">
        <v>2</v>
      </c>
      <c r="H16" s="5">
        <v>15</v>
      </c>
      <c r="I16" s="5">
        <f>G16*H16</f>
        <v>30</v>
      </c>
      <c r="J16" s="41"/>
    </row>
    <row r="17" spans="2:10" ht="12.75">
      <c r="B17" t="s">
        <v>197</v>
      </c>
      <c r="F17" s="12" t="s">
        <v>86</v>
      </c>
      <c r="G17" s="5">
        <v>2</v>
      </c>
      <c r="H17" s="5">
        <v>15</v>
      </c>
      <c r="I17" s="5">
        <f t="shared" si="0"/>
        <v>30</v>
      </c>
      <c r="J17" s="41"/>
    </row>
    <row r="18" spans="2:10" ht="12.75">
      <c r="B18" s="108" t="s">
        <v>166</v>
      </c>
      <c r="F18" s="12" t="s">
        <v>86</v>
      </c>
      <c r="G18" s="5">
        <v>4</v>
      </c>
      <c r="H18" s="5">
        <v>12</v>
      </c>
      <c r="I18" s="5">
        <f t="shared" si="0"/>
        <v>48</v>
      </c>
      <c r="J18" s="41"/>
    </row>
    <row r="19" spans="2:10" ht="12.75">
      <c r="B19" s="7" t="s">
        <v>150</v>
      </c>
      <c r="F19" s="12"/>
      <c r="G19" s="5"/>
      <c r="H19" s="5"/>
      <c r="I19" s="5">
        <f t="shared" si="0"/>
        <v>0</v>
      </c>
      <c r="J19" s="33"/>
    </row>
    <row r="20" spans="2:10" ht="12.75">
      <c r="B20" t="s">
        <v>134</v>
      </c>
      <c r="E20" s="108"/>
      <c r="F20" s="12" t="s">
        <v>86</v>
      </c>
      <c r="G20" s="5">
        <v>10</v>
      </c>
      <c r="H20" s="5">
        <v>40</v>
      </c>
      <c r="I20" s="5">
        <f t="shared" si="0"/>
        <v>400</v>
      </c>
      <c r="J20" s="33"/>
    </row>
    <row r="21" spans="2:10" ht="12.75">
      <c r="B21" t="s">
        <v>151</v>
      </c>
      <c r="E21" s="108"/>
      <c r="F21" s="12" t="s">
        <v>86</v>
      </c>
      <c r="G21" s="5">
        <v>12</v>
      </c>
      <c r="H21" s="5">
        <v>12</v>
      </c>
      <c r="I21" s="5">
        <f t="shared" si="0"/>
        <v>144</v>
      </c>
      <c r="J21" s="33"/>
    </row>
    <row r="22" spans="2:10" ht="12.75">
      <c r="B22" t="s">
        <v>253</v>
      </c>
      <c r="F22" s="12" t="s">
        <v>86</v>
      </c>
      <c r="G22" s="5">
        <v>12</v>
      </c>
      <c r="H22" s="5">
        <v>12</v>
      </c>
      <c r="I22" s="5">
        <f t="shared" si="0"/>
        <v>144</v>
      </c>
      <c r="J22" s="33"/>
    </row>
    <row r="23" spans="2:10" ht="12.75">
      <c r="B23" t="s">
        <v>167</v>
      </c>
      <c r="F23" s="12" t="s">
        <v>86</v>
      </c>
      <c r="G23" s="5">
        <v>12</v>
      </c>
      <c r="H23" s="5">
        <v>12</v>
      </c>
      <c r="I23" s="5">
        <f t="shared" si="0"/>
        <v>144</v>
      </c>
      <c r="J23" s="33"/>
    </row>
    <row r="24" spans="2:10" ht="12.75">
      <c r="B24" s="45" t="s">
        <v>204</v>
      </c>
      <c r="F24" s="12" t="s">
        <v>86</v>
      </c>
      <c r="G24" s="5">
        <v>908</v>
      </c>
      <c r="H24" s="5">
        <v>0.22</v>
      </c>
      <c r="I24" s="5">
        <f t="shared" si="0"/>
        <v>199.76</v>
      </c>
      <c r="J24" s="33"/>
    </row>
    <row r="25" spans="2:10" ht="12.75">
      <c r="B25" s="45" t="s">
        <v>161</v>
      </c>
      <c r="F25" s="12" t="s">
        <v>86</v>
      </c>
      <c r="G25" s="5">
        <v>1</v>
      </c>
      <c r="H25" s="5">
        <f>SSet!H44</f>
        <v>187</v>
      </c>
      <c r="I25" s="5">
        <f t="shared" si="0"/>
        <v>187</v>
      </c>
      <c r="J25" s="33"/>
    </row>
    <row r="26" spans="2:10" ht="12.75">
      <c r="B26" s="45" t="s">
        <v>159</v>
      </c>
      <c r="F26" s="12" t="s">
        <v>69</v>
      </c>
      <c r="G26" s="5">
        <f>SUM(I11:I25)</f>
        <v>2312.76</v>
      </c>
      <c r="H26" s="5">
        <v>0.065</v>
      </c>
      <c r="I26" s="5">
        <f t="shared" si="0"/>
        <v>150.32940000000002</v>
      </c>
      <c r="J26" s="33"/>
    </row>
    <row r="27" spans="2:10" ht="13.5" thickBot="1">
      <c r="B27" s="52" t="s">
        <v>288</v>
      </c>
      <c r="F27" s="12"/>
      <c r="G27" s="5"/>
      <c r="H27" s="5" t="s">
        <v>3</v>
      </c>
      <c r="I27" s="76">
        <f>SUM(I11:I26)</f>
        <v>2463.0894000000003</v>
      </c>
      <c r="J27" s="33"/>
    </row>
    <row r="28" spans="7:10" ht="13.5" thickTop="1">
      <c r="G28" s="5"/>
      <c r="H28" s="5"/>
      <c r="I28" s="5"/>
      <c r="J28" s="33"/>
    </row>
    <row r="29" spans="2:10" ht="12.75">
      <c r="B29" s="7" t="s">
        <v>143</v>
      </c>
      <c r="F29" s="12"/>
      <c r="G29" s="5"/>
      <c r="H29" s="5"/>
      <c r="I29" s="5"/>
      <c r="J29" s="33"/>
    </row>
    <row r="30" spans="2:10" ht="12.75">
      <c r="B30" t="s">
        <v>142</v>
      </c>
      <c r="F30" s="12" t="s">
        <v>146</v>
      </c>
      <c r="G30" s="5">
        <f>+MEDY*0.25</f>
        <v>2000</v>
      </c>
      <c r="H30" s="5">
        <v>1</v>
      </c>
      <c r="I30" s="5">
        <f>G30*H30</f>
        <v>2000</v>
      </c>
      <c r="J30" s="33"/>
    </row>
    <row r="31" spans="2:10" ht="12.75">
      <c r="B31" t="s">
        <v>109</v>
      </c>
      <c r="F31" s="12" t="s">
        <v>169</v>
      </c>
      <c r="G31" s="5">
        <f>G30*0.95</f>
        <v>1900</v>
      </c>
      <c r="H31" s="5">
        <v>0.94</v>
      </c>
      <c r="I31" s="5">
        <f>G31*H31</f>
        <v>1786</v>
      </c>
      <c r="J31" s="33"/>
    </row>
    <row r="32" spans="2:10" ht="12.75">
      <c r="B32" s="45" t="s">
        <v>327</v>
      </c>
      <c r="F32" s="47" t="s">
        <v>320</v>
      </c>
      <c r="G32" s="5">
        <f>+MEDY*0.25*0.95</f>
        <v>1900</v>
      </c>
      <c r="H32" s="5">
        <v>0.25</v>
      </c>
      <c r="I32" s="5">
        <f>G32*H32</f>
        <v>475</v>
      </c>
      <c r="J32" s="33"/>
    </row>
    <row r="33" spans="2:10" ht="12.75">
      <c r="B33" t="s">
        <v>105</v>
      </c>
      <c r="F33" s="12" t="s">
        <v>169</v>
      </c>
      <c r="G33" s="5">
        <f>G30*0.95</f>
        <v>1900</v>
      </c>
      <c r="H33" s="5">
        <v>0.15</v>
      </c>
      <c r="I33" s="5">
        <f>G33*0.15</f>
        <v>285</v>
      </c>
      <c r="J33" s="33"/>
    </row>
    <row r="34" spans="2:10" ht="13.5" thickBot="1">
      <c r="B34" s="52" t="s">
        <v>242</v>
      </c>
      <c r="C34" s="7"/>
      <c r="D34" s="7"/>
      <c r="E34" s="7"/>
      <c r="F34" s="22"/>
      <c r="G34" s="9"/>
      <c r="H34" s="9"/>
      <c r="I34" s="76">
        <f>SUM(I30:I33)</f>
        <v>4546</v>
      </c>
      <c r="J34" s="33"/>
    </row>
    <row r="35" spans="6:10" ht="13.5" thickTop="1">
      <c r="F35" s="12"/>
      <c r="G35" s="5"/>
      <c r="H35" s="5"/>
      <c r="I35" s="5"/>
      <c r="J35" s="33"/>
    </row>
    <row r="36" spans="2:10" ht="12.75">
      <c r="B36" s="52" t="s">
        <v>289</v>
      </c>
      <c r="C36" s="7"/>
      <c r="F36" s="12"/>
      <c r="G36" s="5"/>
      <c r="H36" s="5"/>
      <c r="I36" s="5"/>
      <c r="J36" s="33"/>
    </row>
    <row r="37" spans="2:10" ht="12.75">
      <c r="B37" t="s">
        <v>257</v>
      </c>
      <c r="F37" s="12" t="s">
        <v>86</v>
      </c>
      <c r="G37" s="5">
        <v>1</v>
      </c>
      <c r="H37" s="5">
        <f>FxdCost!I27</f>
        <v>1521.3007714285714</v>
      </c>
      <c r="I37" s="5">
        <f>G37*H37</f>
        <v>1521.3007714285714</v>
      </c>
      <c r="J37" s="33"/>
    </row>
    <row r="38" spans="2:10" ht="12.75">
      <c r="B38" t="s">
        <v>189</v>
      </c>
      <c r="F38" s="12" t="s">
        <v>69</v>
      </c>
      <c r="G38" s="5">
        <f>I27</f>
        <v>2463.0894000000003</v>
      </c>
      <c r="H38" s="5">
        <v>0.15</v>
      </c>
      <c r="I38" s="5">
        <f>G38*H38</f>
        <v>369.46341</v>
      </c>
      <c r="J38" s="33"/>
    </row>
    <row r="39" spans="2:10" ht="12.75">
      <c r="B39" t="s">
        <v>161</v>
      </c>
      <c r="F39" s="12" t="s">
        <v>86</v>
      </c>
      <c r="G39" s="5">
        <v>1</v>
      </c>
      <c r="H39" s="5">
        <f>SSet!H31</f>
        <v>857.4166666666667</v>
      </c>
      <c r="I39" s="5">
        <f>G39*H39</f>
        <v>857.4166666666667</v>
      </c>
      <c r="J39" s="33"/>
    </row>
    <row r="40" spans="2:10" ht="13.5" thickBot="1">
      <c r="B40" s="52" t="s">
        <v>290</v>
      </c>
      <c r="F40" s="47" t="s">
        <v>69</v>
      </c>
      <c r="G40" s="5"/>
      <c r="H40" s="5"/>
      <c r="I40" s="76">
        <f>SUM(I37:I39)</f>
        <v>2748.180848095238</v>
      </c>
      <c r="J40" s="33"/>
    </row>
    <row r="41" spans="6:10" ht="13.5" thickTop="1">
      <c r="F41" s="12"/>
      <c r="G41" s="5"/>
      <c r="H41" s="5"/>
      <c r="I41" s="5"/>
      <c r="J41" s="33"/>
    </row>
    <row r="42" spans="2:10" ht="13.5" thickBot="1">
      <c r="B42" s="52" t="s">
        <v>291</v>
      </c>
      <c r="F42" s="47" t="s">
        <v>69</v>
      </c>
      <c r="G42" s="5"/>
      <c r="H42" s="5"/>
      <c r="I42" s="76">
        <f>I27+I34+I40</f>
        <v>9757.27024809524</v>
      </c>
      <c r="J42" s="33"/>
    </row>
    <row r="43" spans="6:10" ht="13.5" thickTop="1">
      <c r="F43" s="12"/>
      <c r="G43" s="5"/>
      <c r="H43" s="5"/>
      <c r="I43" s="5"/>
      <c r="J43" s="33"/>
    </row>
    <row r="44" spans="2:10" ht="13.5" thickBot="1">
      <c r="B44" t="s">
        <v>170</v>
      </c>
      <c r="F44" s="12" t="s">
        <v>69</v>
      </c>
      <c r="G44" s="5">
        <f>G30</f>
        <v>2000</v>
      </c>
      <c r="H44" s="5">
        <f>+MEDP</f>
        <v>3</v>
      </c>
      <c r="I44" s="126">
        <f>G44*H44</f>
        <v>6000</v>
      </c>
      <c r="J44" s="33"/>
    </row>
    <row r="45" spans="2:10" ht="14.25" thickBot="1" thickTop="1">
      <c r="B45" s="52" t="s">
        <v>292</v>
      </c>
      <c r="C45" s="7"/>
      <c r="D45" s="7"/>
      <c r="E45" s="7"/>
      <c r="F45" s="7"/>
      <c r="G45" s="9"/>
      <c r="H45" s="9"/>
      <c r="I45" s="125">
        <f>I42-I44</f>
        <v>3757.2702480952394</v>
      </c>
      <c r="J45" s="33"/>
    </row>
    <row r="46" spans="1:10" ht="13.5" thickTop="1">
      <c r="A46" t="s">
        <v>85</v>
      </c>
      <c r="G46" s="5"/>
      <c r="H46" s="5"/>
      <c r="I46" s="5"/>
      <c r="J46" s="20"/>
    </row>
    <row r="48" spans="2:5" ht="12.75">
      <c r="B48" s="48"/>
      <c r="C48" s="48"/>
      <c r="D48" s="48"/>
      <c r="E48" s="48"/>
    </row>
  </sheetData>
  <sheetProtection/>
  <mergeCells count="2">
    <mergeCell ref="B4:I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70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5.57421875" style="0" customWidth="1"/>
    <col min="4" max="4" width="4.00390625" style="0" customWidth="1"/>
    <col min="5" max="5" width="7.14062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.75">
      <c r="B2" s="143" t="s">
        <v>304</v>
      </c>
      <c r="C2" s="148"/>
      <c r="D2" s="148"/>
      <c r="E2" s="148"/>
      <c r="F2" s="148"/>
      <c r="G2" s="148"/>
      <c r="H2" s="148"/>
      <c r="I2" s="148"/>
    </row>
    <row r="3" ht="23.25">
      <c r="E3" s="106"/>
    </row>
    <row r="4" spans="2:9" ht="15.75">
      <c r="B4" s="140" t="s">
        <v>367</v>
      </c>
      <c r="C4" s="145"/>
      <c r="D4" s="145"/>
      <c r="E4" s="145"/>
      <c r="F4" s="145"/>
      <c r="G4" s="145"/>
      <c r="H4" s="145"/>
      <c r="I4" s="145"/>
    </row>
    <row r="5" spans="2:9" ht="15.75">
      <c r="B5" s="140"/>
      <c r="C5" s="145"/>
      <c r="D5" s="145"/>
      <c r="E5" s="145"/>
      <c r="F5" s="145"/>
      <c r="G5" s="145"/>
      <c r="H5" s="145"/>
      <c r="I5" s="145"/>
    </row>
    <row r="7" spans="2:10" ht="12.75">
      <c r="B7" s="22" t="s">
        <v>165</v>
      </c>
      <c r="C7" s="22"/>
      <c r="D7" s="22"/>
      <c r="E7" s="22"/>
      <c r="F7" s="22" t="s">
        <v>262</v>
      </c>
      <c r="G7" s="22" t="s">
        <v>210</v>
      </c>
      <c r="H7" s="9" t="s">
        <v>203</v>
      </c>
      <c r="I7" s="23" t="s">
        <v>90</v>
      </c>
      <c r="J7" s="46" t="s">
        <v>366</v>
      </c>
    </row>
    <row r="8" spans="2:10" ht="12.75">
      <c r="B8" s="22" t="s">
        <v>185</v>
      </c>
      <c r="C8" s="12"/>
      <c r="D8" s="12"/>
      <c r="E8" s="12"/>
      <c r="F8" s="12"/>
      <c r="G8" s="12"/>
      <c r="H8" s="12"/>
      <c r="I8" s="12"/>
      <c r="J8" s="46" t="s">
        <v>368</v>
      </c>
    </row>
    <row r="9" spans="2:8" ht="12.75">
      <c r="B9" s="7" t="s">
        <v>124</v>
      </c>
      <c r="F9" s="12"/>
      <c r="G9" s="12"/>
      <c r="H9" s="5"/>
    </row>
    <row r="10" spans="2:10" ht="12.75">
      <c r="B10" s="108" t="s">
        <v>354</v>
      </c>
      <c r="F10" s="12" t="s">
        <v>136</v>
      </c>
      <c r="G10" s="20">
        <v>7</v>
      </c>
      <c r="H10" s="20">
        <v>10</v>
      </c>
      <c r="I10" s="20">
        <f>G$10*H$10</f>
        <v>70</v>
      </c>
      <c r="J10" s="14"/>
    </row>
    <row r="11" spans="2:10" ht="12.75">
      <c r="B11" s="45" t="s">
        <v>324</v>
      </c>
      <c r="F11" s="47" t="s">
        <v>313</v>
      </c>
      <c r="G11" s="20">
        <v>6</v>
      </c>
      <c r="H11" s="20">
        <v>30</v>
      </c>
      <c r="I11" s="20">
        <f>G11*H11</f>
        <v>180</v>
      </c>
      <c r="J11" s="14"/>
    </row>
    <row r="12" spans="2:10" ht="12.75">
      <c r="B12" s="45" t="s">
        <v>326</v>
      </c>
      <c r="F12" s="47" t="s">
        <v>313</v>
      </c>
      <c r="G12" s="20">
        <v>10</v>
      </c>
      <c r="H12" s="20">
        <v>30</v>
      </c>
      <c r="I12" s="20">
        <f>G12*H12</f>
        <v>300</v>
      </c>
      <c r="J12" s="14"/>
    </row>
    <row r="13" spans="2:10" ht="12.75">
      <c r="B13" s="7" t="s">
        <v>271</v>
      </c>
      <c r="F13" s="12"/>
      <c r="G13" s="20"/>
      <c r="H13" s="20"/>
      <c r="I13" s="20">
        <v>0</v>
      </c>
      <c r="J13" s="14"/>
    </row>
    <row r="14" spans="2:10" ht="12.75">
      <c r="B14" s="45" t="s">
        <v>328</v>
      </c>
      <c r="F14" s="12" t="s">
        <v>86</v>
      </c>
      <c r="G14" s="20">
        <v>2</v>
      </c>
      <c r="H14" s="20">
        <v>15</v>
      </c>
      <c r="I14" s="20">
        <f>G14*H14</f>
        <v>30</v>
      </c>
      <c r="J14" s="14"/>
    </row>
    <row r="15" spans="2:10" ht="12.75">
      <c r="B15" s="45" t="s">
        <v>329</v>
      </c>
      <c r="F15" s="12" t="s">
        <v>86</v>
      </c>
      <c r="G15" s="20">
        <v>1</v>
      </c>
      <c r="H15" s="20">
        <v>5</v>
      </c>
      <c r="I15" s="20">
        <f>G15*H15</f>
        <v>5</v>
      </c>
      <c r="J15" s="14"/>
    </row>
    <row r="16" spans="2:10" ht="12.75">
      <c r="B16" s="45" t="s">
        <v>330</v>
      </c>
      <c r="E16" s="45"/>
      <c r="F16" s="47" t="s">
        <v>86</v>
      </c>
      <c r="G16" s="20">
        <v>1</v>
      </c>
      <c r="H16" s="20">
        <v>5</v>
      </c>
      <c r="I16" s="20">
        <f>G16*H16</f>
        <v>5</v>
      </c>
      <c r="J16" s="14"/>
    </row>
    <row r="17" spans="2:10" ht="12.75">
      <c r="B17" s="45" t="s">
        <v>331</v>
      </c>
      <c r="E17" s="45"/>
      <c r="F17" s="47" t="s">
        <v>86</v>
      </c>
      <c r="G17" s="20">
        <v>1</v>
      </c>
      <c r="H17" s="20">
        <v>2</v>
      </c>
      <c r="I17" s="20">
        <f>G17*H17</f>
        <v>2</v>
      </c>
      <c r="J17" s="14"/>
    </row>
    <row r="18" spans="2:15" ht="12.75">
      <c r="B18" s="108" t="s">
        <v>166</v>
      </c>
      <c r="F18" s="12" t="s">
        <v>86</v>
      </c>
      <c r="G18" s="20">
        <v>4</v>
      </c>
      <c r="H18" s="20">
        <v>12</v>
      </c>
      <c r="I18" s="20">
        <f>G$18*H$18</f>
        <v>48</v>
      </c>
      <c r="J18" s="14"/>
      <c r="O18" s="43"/>
    </row>
    <row r="19" spans="2:10" ht="12.75">
      <c r="B19" s="7" t="s">
        <v>150</v>
      </c>
      <c r="F19" s="12"/>
      <c r="G19" s="20"/>
      <c r="H19" s="20"/>
      <c r="I19" s="20">
        <v>0</v>
      </c>
      <c r="J19" s="14"/>
    </row>
    <row r="20" spans="2:10" ht="12.75">
      <c r="B20" t="s">
        <v>134</v>
      </c>
      <c r="E20" s="108"/>
      <c r="F20" s="12" t="s">
        <v>86</v>
      </c>
      <c r="G20" s="20">
        <v>10</v>
      </c>
      <c r="H20" s="20">
        <v>40</v>
      </c>
      <c r="I20" s="20">
        <f aca="true" t="shared" si="0" ref="I20:I27">G20*H20</f>
        <v>400</v>
      </c>
      <c r="J20" s="14"/>
    </row>
    <row r="21" spans="2:10" ht="12.75">
      <c r="B21" t="s">
        <v>151</v>
      </c>
      <c r="E21" s="108"/>
      <c r="F21" s="12" t="s">
        <v>86</v>
      </c>
      <c r="G21" s="20">
        <v>12</v>
      </c>
      <c r="H21" s="20">
        <v>7</v>
      </c>
      <c r="I21" s="20">
        <f t="shared" si="0"/>
        <v>84</v>
      </c>
      <c r="J21" s="14"/>
    </row>
    <row r="22" spans="2:10" ht="12.75">
      <c r="B22" s="45" t="s">
        <v>332</v>
      </c>
      <c r="E22" s="45"/>
      <c r="F22" s="47" t="s">
        <v>86</v>
      </c>
      <c r="G22" s="20">
        <v>1</v>
      </c>
      <c r="H22" s="20">
        <v>50</v>
      </c>
      <c r="I22" s="20">
        <f t="shared" si="0"/>
        <v>50</v>
      </c>
      <c r="J22" s="14"/>
    </row>
    <row r="23" spans="2:10" ht="12.75">
      <c r="B23" t="s">
        <v>254</v>
      </c>
      <c r="F23" s="12" t="s">
        <v>86</v>
      </c>
      <c r="G23" s="20">
        <v>12</v>
      </c>
      <c r="H23" s="20">
        <v>12</v>
      </c>
      <c r="I23" s="20">
        <f t="shared" si="0"/>
        <v>144</v>
      </c>
      <c r="J23" s="14"/>
    </row>
    <row r="24" spans="2:10" ht="12.75">
      <c r="B24" t="s">
        <v>167</v>
      </c>
      <c r="F24" s="12" t="s">
        <v>86</v>
      </c>
      <c r="G24" s="20">
        <v>12</v>
      </c>
      <c r="H24" s="20">
        <v>12</v>
      </c>
      <c r="I24" s="20">
        <f t="shared" si="0"/>
        <v>144</v>
      </c>
      <c r="J24" s="14"/>
    </row>
    <row r="25" spans="2:10" ht="12.75">
      <c r="B25" s="45" t="s">
        <v>204</v>
      </c>
      <c r="F25" s="47" t="s">
        <v>86</v>
      </c>
      <c r="G25" s="20">
        <v>908</v>
      </c>
      <c r="H25" s="20">
        <v>0.22</v>
      </c>
      <c r="I25" s="20">
        <f t="shared" si="0"/>
        <v>199.76</v>
      </c>
      <c r="J25" s="14"/>
    </row>
    <row r="26" spans="2:10" ht="12.75">
      <c r="B26" s="45" t="s">
        <v>161</v>
      </c>
      <c r="F26" s="12" t="s">
        <v>86</v>
      </c>
      <c r="G26" s="20">
        <v>1</v>
      </c>
      <c r="H26" s="20">
        <f>+SSet!H44</f>
        <v>187</v>
      </c>
      <c r="I26" s="20">
        <f t="shared" si="0"/>
        <v>187</v>
      </c>
      <c r="J26" s="14"/>
    </row>
    <row r="27" spans="2:10" ht="12.75">
      <c r="B27" s="45" t="s">
        <v>159</v>
      </c>
      <c r="F27" s="12" t="s">
        <v>69</v>
      </c>
      <c r="G27" s="20">
        <f>SUM(I10:I26)</f>
        <v>1848.76</v>
      </c>
      <c r="H27" s="20">
        <v>0.065</v>
      </c>
      <c r="I27" s="20">
        <f t="shared" si="0"/>
        <v>120.16940000000001</v>
      </c>
      <c r="J27" s="14"/>
    </row>
    <row r="28" spans="2:10" ht="13.5" thickBot="1">
      <c r="B28" s="7" t="s">
        <v>247</v>
      </c>
      <c r="F28" s="47" t="s">
        <v>69</v>
      </c>
      <c r="G28" s="20"/>
      <c r="H28" s="20"/>
      <c r="I28" s="73">
        <f>SUM(I10:I27)</f>
        <v>1968.9294</v>
      </c>
      <c r="J28" s="14"/>
    </row>
    <row r="29" spans="6:10" ht="13.5" thickTop="1">
      <c r="F29" s="12"/>
      <c r="G29" s="20"/>
      <c r="H29" s="20"/>
      <c r="I29" s="20"/>
      <c r="J29" s="14"/>
    </row>
    <row r="30" spans="2:10" ht="12.75">
      <c r="B30" s="7" t="s">
        <v>143</v>
      </c>
      <c r="G30" s="20"/>
      <c r="H30" s="20"/>
      <c r="I30" s="20"/>
      <c r="J30" s="14"/>
    </row>
    <row r="31" spans="2:10" ht="12.75">
      <c r="B31" t="s">
        <v>142</v>
      </c>
      <c r="F31" s="12" t="s">
        <v>146</v>
      </c>
      <c r="G31" s="20">
        <f>+MEDY*0.75</f>
        <v>6000</v>
      </c>
      <c r="H31" s="20">
        <v>1</v>
      </c>
      <c r="I31" s="20">
        <f>G31*H31</f>
        <v>6000</v>
      </c>
      <c r="J31" s="14"/>
    </row>
    <row r="32" spans="2:10" ht="12.75">
      <c r="B32" t="s">
        <v>109</v>
      </c>
      <c r="F32" s="12" t="s">
        <v>169</v>
      </c>
      <c r="G32" s="20">
        <f>G31*0.95</f>
        <v>5700</v>
      </c>
      <c r="H32" s="20">
        <v>0.94</v>
      </c>
      <c r="I32" s="20">
        <f>G32*H32</f>
        <v>5358</v>
      </c>
      <c r="J32" s="14"/>
    </row>
    <row r="33" spans="2:10" ht="12.75">
      <c r="B33" t="s">
        <v>105</v>
      </c>
      <c r="F33" s="12" t="s">
        <v>169</v>
      </c>
      <c r="G33" s="20">
        <f>G31*0.95</f>
        <v>5700</v>
      </c>
      <c r="H33" s="20">
        <v>0.15</v>
      </c>
      <c r="I33" s="20">
        <f>G33*H33</f>
        <v>855</v>
      </c>
      <c r="J33" s="14"/>
    </row>
    <row r="34" spans="2:10" ht="12.75">
      <c r="B34" s="45" t="s">
        <v>327</v>
      </c>
      <c r="F34" s="47" t="s">
        <v>320</v>
      </c>
      <c r="G34" s="20">
        <f>+MEDY*0.75*0.95</f>
        <v>5700</v>
      </c>
      <c r="H34" s="20">
        <v>0.25</v>
      </c>
      <c r="I34" s="20">
        <f>G34*H34</f>
        <v>1425</v>
      </c>
      <c r="J34" s="14"/>
    </row>
    <row r="35" spans="2:10" ht="13.5" thickBot="1">
      <c r="B35" s="7" t="s">
        <v>242</v>
      </c>
      <c r="C35" s="7"/>
      <c r="D35" s="7"/>
      <c r="E35" s="7"/>
      <c r="F35" s="22"/>
      <c r="G35" s="21"/>
      <c r="H35" s="21"/>
      <c r="I35" s="78">
        <f>SUM(I31:I33)</f>
        <v>12213</v>
      </c>
      <c r="J35" s="14"/>
    </row>
    <row r="36" spans="2:10" ht="14.25" thickBot="1" thickTop="1">
      <c r="B36" s="52" t="s">
        <v>302</v>
      </c>
      <c r="C36" s="7"/>
      <c r="D36" s="7"/>
      <c r="E36" s="7"/>
      <c r="F36" s="12"/>
      <c r="G36" s="20"/>
      <c r="H36" s="20"/>
      <c r="I36" s="77">
        <f>I28+I35</f>
        <v>14181.9294</v>
      </c>
      <c r="J36" s="14"/>
    </row>
    <row r="37" spans="3:10" ht="13.5" thickTop="1">
      <c r="C37" s="7"/>
      <c r="F37" s="12"/>
      <c r="G37" s="20"/>
      <c r="H37" s="20"/>
      <c r="I37" s="20"/>
      <c r="J37" s="14"/>
    </row>
    <row r="38" spans="2:10" ht="12.75">
      <c r="B38" s="7" t="s">
        <v>128</v>
      </c>
      <c r="F38" s="12"/>
      <c r="G38" s="20"/>
      <c r="H38" s="20"/>
      <c r="I38" s="20"/>
      <c r="J38" s="14"/>
    </row>
    <row r="39" spans="2:10" ht="12.75">
      <c r="B39" t="s">
        <v>256</v>
      </c>
      <c r="F39" s="12" t="s">
        <v>86</v>
      </c>
      <c r="G39" s="20">
        <v>1</v>
      </c>
      <c r="H39" s="20">
        <f>FxdCost!I27</f>
        <v>1521.3007714285714</v>
      </c>
      <c r="I39" s="20">
        <f>G39*H39</f>
        <v>1521.3007714285714</v>
      </c>
      <c r="J39" s="14"/>
    </row>
    <row r="40" spans="2:10" ht="12.75">
      <c r="B40" t="s">
        <v>189</v>
      </c>
      <c r="F40" s="12" t="s">
        <v>69</v>
      </c>
      <c r="G40" s="20">
        <f>I28</f>
        <v>1968.9294</v>
      </c>
      <c r="H40" s="20">
        <v>0.15</v>
      </c>
      <c r="I40" s="20">
        <f>G40*H40</f>
        <v>295.33941</v>
      </c>
      <c r="J40" s="14"/>
    </row>
    <row r="41" spans="2:10" ht="12.75">
      <c r="B41" t="s">
        <v>161</v>
      </c>
      <c r="F41" s="12" t="s">
        <v>86</v>
      </c>
      <c r="G41" s="20">
        <v>1</v>
      </c>
      <c r="H41" s="20">
        <f>SSet!H31</f>
        <v>857.4166666666667</v>
      </c>
      <c r="I41" s="20">
        <f>G41*H41</f>
        <v>857.4166666666667</v>
      </c>
      <c r="J41" s="14"/>
    </row>
    <row r="42" spans="2:10" ht="13.5" thickBot="1">
      <c r="B42" s="7" t="s">
        <v>239</v>
      </c>
      <c r="F42" s="12"/>
      <c r="G42" s="20"/>
      <c r="H42" s="20"/>
      <c r="I42" s="73">
        <f>SUM(I39:I41)</f>
        <v>2674.056848095238</v>
      </c>
      <c r="J42" s="14"/>
    </row>
    <row r="43" ht="13.5" thickTop="1">
      <c r="J43" s="14"/>
    </row>
    <row r="44" spans="2:10" ht="12.75">
      <c r="B44" s="7" t="s">
        <v>137</v>
      </c>
      <c r="C44" s="7"/>
      <c r="D44" s="7"/>
      <c r="E44" s="7"/>
      <c r="F44" s="7"/>
      <c r="G44" s="7"/>
      <c r="H44" s="7"/>
      <c r="I44" s="79">
        <f>I28+I35+I42</f>
        <v>16855.98624809524</v>
      </c>
      <c r="J44" s="14"/>
    </row>
    <row r="45" spans="2:10" ht="12.75">
      <c r="B45" s="7" t="s">
        <v>240</v>
      </c>
      <c r="C45" s="7"/>
      <c r="G45">
        <f>G31</f>
        <v>6000</v>
      </c>
      <c r="H45" s="12">
        <f>+MEDP</f>
        <v>3</v>
      </c>
      <c r="I45" s="79">
        <f>G45*H45</f>
        <v>18000</v>
      </c>
      <c r="J45" s="16"/>
    </row>
    <row r="46" spans="2:10" ht="13.5" thickBot="1">
      <c r="B46" s="52" t="s">
        <v>359</v>
      </c>
      <c r="C46" s="7"/>
      <c r="I46" s="78">
        <f>I45-I44</f>
        <v>1144.0137519047603</v>
      </c>
      <c r="J46" s="14"/>
    </row>
    <row r="47" ht="13.5" thickTop="1"/>
    <row r="50" spans="2:9" ht="12.75">
      <c r="B50" s="146"/>
      <c r="C50" s="147"/>
      <c r="D50" s="147"/>
      <c r="E50" s="147"/>
      <c r="F50" s="147"/>
      <c r="G50" s="147"/>
      <c r="H50" s="147"/>
      <c r="I50" s="147"/>
    </row>
    <row r="51" spans="2:9" ht="12.75">
      <c r="B51" s="48"/>
      <c r="C51" s="48"/>
      <c r="D51" s="48"/>
      <c r="E51" s="48"/>
      <c r="F51" s="48"/>
      <c r="G51" s="48"/>
      <c r="H51" s="48"/>
      <c r="I51" s="48"/>
    </row>
    <row r="52" spans="2:9" ht="12.75">
      <c r="B52" s="48"/>
      <c r="C52" s="48"/>
      <c r="D52" s="48"/>
      <c r="E52" s="48"/>
      <c r="F52" s="49"/>
      <c r="G52" s="49"/>
      <c r="H52" s="48"/>
      <c r="I52" s="48"/>
    </row>
    <row r="53" spans="2:9" ht="12.75">
      <c r="B53" s="48"/>
      <c r="C53" s="48"/>
      <c r="D53" s="48"/>
      <c r="E53" s="48"/>
      <c r="F53" s="49"/>
      <c r="G53" s="49"/>
      <c r="H53" s="48"/>
      <c r="I53" s="48"/>
    </row>
    <row r="54" spans="2:9" ht="12.75">
      <c r="B54" s="49"/>
      <c r="C54" s="49"/>
      <c r="D54" s="48"/>
      <c r="E54" s="48"/>
      <c r="F54" s="48"/>
      <c r="G54" s="50"/>
      <c r="H54" s="50"/>
      <c r="I54" s="50"/>
    </row>
    <row r="55" spans="2:9" ht="12.75">
      <c r="B55" s="48"/>
      <c r="C55" s="48"/>
      <c r="D55" s="48"/>
      <c r="E55" s="48"/>
      <c r="F55" s="48"/>
      <c r="G55" s="50"/>
      <c r="H55" s="50"/>
      <c r="I55" s="50"/>
    </row>
    <row r="56" spans="2:9" ht="12.75">
      <c r="B56" s="48"/>
      <c r="C56" s="48"/>
      <c r="D56" s="48"/>
      <c r="E56" s="48"/>
      <c r="F56" s="48"/>
      <c r="G56" s="50"/>
      <c r="H56" s="50"/>
      <c r="I56" s="50"/>
    </row>
    <row r="57" spans="2:9" ht="12.75">
      <c r="B57" s="48"/>
      <c r="C57" s="48"/>
      <c r="D57" s="48"/>
      <c r="E57" s="48"/>
      <c r="F57" s="48"/>
      <c r="G57" s="50"/>
      <c r="H57" s="50"/>
      <c r="I57" s="50"/>
    </row>
    <row r="58" spans="2:9" ht="12.75">
      <c r="B58" s="48"/>
      <c r="C58" s="48"/>
      <c r="D58" s="48"/>
      <c r="E58" s="48"/>
      <c r="F58" s="48"/>
      <c r="G58" s="50"/>
      <c r="H58" s="50"/>
      <c r="I58" s="50"/>
    </row>
    <row r="59" spans="2:9" ht="12.75">
      <c r="B59" s="48"/>
      <c r="C59" s="48"/>
      <c r="D59" s="48"/>
      <c r="E59" s="48"/>
      <c r="F59" s="48"/>
      <c r="G59" s="50"/>
      <c r="H59" s="50"/>
      <c r="I59" s="50"/>
    </row>
    <row r="60" spans="2:9" ht="12.75">
      <c r="B60" s="48"/>
      <c r="C60" s="48"/>
      <c r="D60" s="48"/>
      <c r="E60" s="48"/>
      <c r="F60" s="48"/>
      <c r="G60" s="50"/>
      <c r="H60" s="50"/>
      <c r="I60" s="50"/>
    </row>
    <row r="61" spans="2:9" ht="12.75">
      <c r="B61" s="49"/>
      <c r="C61" s="48"/>
      <c r="D61" s="48"/>
      <c r="E61" s="48"/>
      <c r="F61" s="48"/>
      <c r="G61" s="48"/>
      <c r="H61" s="50"/>
      <c r="I61" s="51"/>
    </row>
    <row r="62" spans="2:9" ht="12.75">
      <c r="B62" s="48"/>
      <c r="C62" s="48"/>
      <c r="D62" s="48"/>
      <c r="E62" s="48"/>
      <c r="F62" s="48"/>
      <c r="G62" s="48"/>
      <c r="H62" s="50"/>
      <c r="I62" s="50"/>
    </row>
    <row r="63" spans="2:9" ht="12.75">
      <c r="B63" s="48"/>
      <c r="C63" s="48"/>
      <c r="D63" s="48"/>
      <c r="E63" s="48"/>
      <c r="F63" s="48"/>
      <c r="G63" s="48"/>
      <c r="H63" s="50"/>
      <c r="I63" s="50"/>
    </row>
    <row r="64" spans="2:9" ht="12.75">
      <c r="B64" s="48"/>
      <c r="C64" s="48"/>
      <c r="D64" s="48"/>
      <c r="E64" s="48"/>
      <c r="F64" s="48"/>
      <c r="G64" s="48"/>
      <c r="H64" s="50"/>
      <c r="I64" s="50"/>
    </row>
    <row r="65" spans="2:9" ht="12.75">
      <c r="B65" s="49"/>
      <c r="C65" s="48"/>
      <c r="D65" s="48"/>
      <c r="E65" s="48"/>
      <c r="F65" s="48"/>
      <c r="G65" s="48"/>
      <c r="H65" s="50"/>
      <c r="I65" s="51"/>
    </row>
    <row r="68" ht="12.75">
      <c r="J68" t="s">
        <v>2</v>
      </c>
    </row>
    <row r="70" ht="12.75">
      <c r="A70" t="s">
        <v>85</v>
      </c>
    </row>
  </sheetData>
  <sheetProtection/>
  <mergeCells count="4">
    <mergeCell ref="B4:I4"/>
    <mergeCell ref="B5:I5"/>
    <mergeCell ref="B50:I50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I66"/>
  <sheetViews>
    <sheetView zoomScalePageLayoutView="0" workbookViewId="0" topLeftCell="B1">
      <selection activeCell="J58" sqref="J5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.75">
      <c r="B2" s="143" t="s">
        <v>304</v>
      </c>
      <c r="C2" s="148"/>
      <c r="D2" s="148"/>
      <c r="E2" s="148"/>
      <c r="F2" s="148"/>
      <c r="G2" s="148"/>
      <c r="H2" s="148"/>
      <c r="I2" s="148"/>
    </row>
    <row r="3" ht="12.75">
      <c r="B3" s="47" t="s">
        <v>308</v>
      </c>
    </row>
    <row r="4" spans="2:8" ht="12.75">
      <c r="B4" s="48"/>
      <c r="C4" s="138"/>
      <c r="D4" s="138"/>
      <c r="E4" s="138"/>
      <c r="F4" s="138"/>
      <c r="G4" s="138"/>
      <c r="H4" s="138"/>
    </row>
    <row r="5" ht="20.25">
      <c r="C5" s="105"/>
    </row>
    <row r="7" spans="2:7" ht="12.75">
      <c r="B7" s="9" t="s">
        <v>164</v>
      </c>
      <c r="C7" s="6" t="s">
        <v>261</v>
      </c>
      <c r="D7" s="6"/>
      <c r="E7" s="21" t="s">
        <v>211</v>
      </c>
      <c r="F7" s="21" t="s">
        <v>202</v>
      </c>
      <c r="G7" s="21" t="s">
        <v>91</v>
      </c>
    </row>
    <row r="8" spans="2:7" ht="12.75">
      <c r="B8" s="7"/>
      <c r="F8" s="26"/>
      <c r="G8" s="26"/>
    </row>
    <row r="9" spans="2:7" ht="12.75">
      <c r="B9" s="52" t="s">
        <v>338</v>
      </c>
      <c r="C9" s="7"/>
      <c r="F9" s="27"/>
      <c r="G9" s="27"/>
    </row>
    <row r="10" spans="2:7" ht="12.75">
      <c r="B10" s="108" t="s">
        <v>360</v>
      </c>
      <c r="C10" s="47" t="s">
        <v>208</v>
      </c>
      <c r="E10" s="20">
        <v>0</v>
      </c>
      <c r="F10" s="20">
        <v>0</v>
      </c>
      <c r="G10" s="27">
        <f aca="true" t="shared" si="0" ref="G10:G16">E10*F10</f>
        <v>0</v>
      </c>
    </row>
    <row r="11" spans="2:7" ht="12.75">
      <c r="B11" s="108" t="s">
        <v>360</v>
      </c>
      <c r="C11" s="12" t="s">
        <v>208</v>
      </c>
      <c r="E11" s="20">
        <v>0</v>
      </c>
      <c r="F11" s="20">
        <v>0</v>
      </c>
      <c r="G11" s="27">
        <f t="shared" si="0"/>
        <v>0</v>
      </c>
    </row>
    <row r="12" spans="2:7" ht="12.75">
      <c r="B12" s="108" t="s">
        <v>360</v>
      </c>
      <c r="C12" s="12" t="s">
        <v>208</v>
      </c>
      <c r="E12" s="20">
        <v>0</v>
      </c>
      <c r="F12" s="20">
        <v>0</v>
      </c>
      <c r="G12" s="27">
        <f t="shared" si="0"/>
        <v>0</v>
      </c>
    </row>
    <row r="13" spans="2:7" ht="12.75">
      <c r="B13" s="108" t="s">
        <v>360</v>
      </c>
      <c r="C13" s="47" t="s">
        <v>208</v>
      </c>
      <c r="E13" s="20">
        <v>0</v>
      </c>
      <c r="F13" s="20">
        <v>0</v>
      </c>
      <c r="G13" s="27">
        <f t="shared" si="0"/>
        <v>0</v>
      </c>
    </row>
    <row r="14" spans="2:7" ht="12.75">
      <c r="B14" s="108" t="s">
        <v>361</v>
      </c>
      <c r="C14" s="12" t="s">
        <v>145</v>
      </c>
      <c r="E14" s="20">
        <v>0</v>
      </c>
      <c r="F14" s="20">
        <v>0</v>
      </c>
      <c r="G14" s="27">
        <f t="shared" si="0"/>
        <v>0</v>
      </c>
    </row>
    <row r="15" spans="2:7" ht="12.75">
      <c r="B15" s="108" t="s">
        <v>361</v>
      </c>
      <c r="C15" s="12" t="s">
        <v>136</v>
      </c>
      <c r="E15" s="20">
        <v>0</v>
      </c>
      <c r="F15" s="20">
        <v>0</v>
      </c>
      <c r="G15" s="27">
        <f t="shared" si="0"/>
        <v>0</v>
      </c>
    </row>
    <row r="16" spans="2:7" ht="12.75">
      <c r="B16" s="108" t="s">
        <v>361</v>
      </c>
      <c r="C16" s="12" t="s">
        <v>136</v>
      </c>
      <c r="E16" s="20">
        <v>0</v>
      </c>
      <c r="F16" s="20">
        <v>0</v>
      </c>
      <c r="G16" s="27">
        <f t="shared" si="0"/>
        <v>0</v>
      </c>
    </row>
    <row r="17" spans="2:7" ht="13.5" thickBot="1">
      <c r="B17" s="52" t="s">
        <v>339</v>
      </c>
      <c r="F17" s="27"/>
      <c r="G17" s="80">
        <f>SUM(G10:G16)</f>
        <v>0</v>
      </c>
    </row>
    <row r="18" spans="3:7" ht="13.5" thickTop="1">
      <c r="C18" s="12"/>
      <c r="F18" s="27"/>
      <c r="G18" s="27"/>
    </row>
    <row r="19" spans="2:7" ht="12.75">
      <c r="B19" s="52" t="s">
        <v>333</v>
      </c>
      <c r="C19" s="22"/>
      <c r="E19" s="12"/>
      <c r="F19" s="20"/>
      <c r="G19" s="27"/>
    </row>
    <row r="20" spans="2:7" ht="12.75">
      <c r="B20" s="108" t="s">
        <v>360</v>
      </c>
      <c r="C20" s="47" t="s">
        <v>190</v>
      </c>
      <c r="E20" s="20">
        <v>0</v>
      </c>
      <c r="F20" s="20">
        <v>0</v>
      </c>
      <c r="G20" s="27">
        <f aca="true" t="shared" si="1" ref="G20:G29">E20*F20</f>
        <v>0</v>
      </c>
    </row>
    <row r="21" spans="2:7" ht="12.75">
      <c r="B21" s="108" t="s">
        <v>360</v>
      </c>
      <c r="C21" s="47" t="s">
        <v>190</v>
      </c>
      <c r="E21" s="20">
        <v>0</v>
      </c>
      <c r="F21" s="20">
        <v>0</v>
      </c>
      <c r="G21" s="27">
        <f t="shared" si="1"/>
        <v>0</v>
      </c>
    </row>
    <row r="22" spans="2:7" ht="12.75">
      <c r="B22" s="108" t="s">
        <v>360</v>
      </c>
      <c r="C22" s="47" t="s">
        <v>334</v>
      </c>
      <c r="E22" s="20">
        <v>0</v>
      </c>
      <c r="F22" s="20">
        <v>0</v>
      </c>
      <c r="G22" s="27">
        <f t="shared" si="1"/>
        <v>0</v>
      </c>
    </row>
    <row r="23" spans="2:7" ht="12.75">
      <c r="B23" s="108" t="s">
        <v>360</v>
      </c>
      <c r="C23" s="47" t="s">
        <v>190</v>
      </c>
      <c r="E23" s="20">
        <v>0</v>
      </c>
      <c r="F23" s="20">
        <v>0</v>
      </c>
      <c r="G23" s="27">
        <f t="shared" si="1"/>
        <v>0</v>
      </c>
    </row>
    <row r="24" spans="2:8" ht="12.75">
      <c r="B24" s="108" t="s">
        <v>360</v>
      </c>
      <c r="C24" s="12" t="s">
        <v>146</v>
      </c>
      <c r="E24" s="20">
        <v>0</v>
      </c>
      <c r="F24" s="20">
        <v>0</v>
      </c>
      <c r="G24" s="27">
        <f t="shared" si="1"/>
        <v>0</v>
      </c>
      <c r="H24" s="20"/>
    </row>
    <row r="25" spans="2:8" ht="12.75">
      <c r="B25" s="108" t="s">
        <v>360</v>
      </c>
      <c r="C25" s="47" t="s">
        <v>335</v>
      </c>
      <c r="E25" s="20">
        <v>0</v>
      </c>
      <c r="F25" s="20">
        <v>0</v>
      </c>
      <c r="G25" s="27">
        <f t="shared" si="1"/>
        <v>0</v>
      </c>
      <c r="H25" s="20"/>
    </row>
    <row r="26" spans="2:8" ht="12.75">
      <c r="B26" s="45" t="s">
        <v>336</v>
      </c>
      <c r="C26" s="12" t="s">
        <v>130</v>
      </c>
      <c r="E26" s="20">
        <v>0</v>
      </c>
      <c r="F26" s="20">
        <v>0</v>
      </c>
      <c r="G26" s="27">
        <f t="shared" si="1"/>
        <v>0</v>
      </c>
      <c r="H26" s="20"/>
    </row>
    <row r="27" spans="2:8" ht="12.75">
      <c r="B27" s="45" t="s">
        <v>336</v>
      </c>
      <c r="C27" s="12" t="s">
        <v>96</v>
      </c>
      <c r="E27" s="4">
        <v>0</v>
      </c>
      <c r="F27" s="27">
        <v>0</v>
      </c>
      <c r="G27" s="27">
        <f t="shared" si="1"/>
        <v>0</v>
      </c>
      <c r="H27" s="20"/>
    </row>
    <row r="28" spans="2:8" ht="12.75">
      <c r="B28" t="s">
        <v>187</v>
      </c>
      <c r="C28" s="12" t="s">
        <v>96</v>
      </c>
      <c r="E28" s="4">
        <v>0</v>
      </c>
      <c r="F28" s="27">
        <v>0</v>
      </c>
      <c r="G28" s="27">
        <f t="shared" si="1"/>
        <v>0</v>
      </c>
      <c r="H28" s="20"/>
    </row>
    <row r="29" spans="2:8" ht="12.75">
      <c r="B29" t="s">
        <v>187</v>
      </c>
      <c r="C29" s="12" t="s">
        <v>96</v>
      </c>
      <c r="E29" s="4">
        <v>0</v>
      </c>
      <c r="F29" s="27">
        <v>0</v>
      </c>
      <c r="G29" s="27">
        <f t="shared" si="1"/>
        <v>0</v>
      </c>
      <c r="H29" s="20"/>
    </row>
    <row r="30" spans="2:8" ht="13.5" thickBot="1">
      <c r="B30" s="52" t="s">
        <v>340</v>
      </c>
      <c r="F30" s="27"/>
      <c r="G30" s="80">
        <f>SUM(G20:G29)</f>
        <v>0</v>
      </c>
      <c r="H30" s="20"/>
    </row>
    <row r="31" spans="6:8" ht="13.5" thickTop="1">
      <c r="F31" s="27"/>
      <c r="G31" s="27"/>
      <c r="H31" s="20"/>
    </row>
    <row r="32" spans="2:8" ht="12.75">
      <c r="B32" s="52" t="s">
        <v>151</v>
      </c>
      <c r="C32" s="12" t="s">
        <v>146</v>
      </c>
      <c r="E32" s="20">
        <v>0</v>
      </c>
      <c r="F32" s="20">
        <v>0</v>
      </c>
      <c r="G32" s="27">
        <f>E32*F32</f>
        <v>0</v>
      </c>
      <c r="H32" s="20"/>
    </row>
    <row r="33" spans="2:7" ht="12.75">
      <c r="B33" s="108" t="s">
        <v>360</v>
      </c>
      <c r="C33" s="12" t="s">
        <v>146</v>
      </c>
      <c r="E33" s="20">
        <v>0</v>
      </c>
      <c r="F33" s="20">
        <v>0</v>
      </c>
      <c r="G33" s="27">
        <f>E33*F33</f>
        <v>0</v>
      </c>
    </row>
    <row r="34" spans="2:7" ht="12.75">
      <c r="B34" s="45" t="s">
        <v>337</v>
      </c>
      <c r="C34" s="12" t="s">
        <v>145</v>
      </c>
      <c r="E34" s="20">
        <v>0</v>
      </c>
      <c r="F34" s="20">
        <v>0</v>
      </c>
      <c r="G34" s="27">
        <f>E34*F34</f>
        <v>0</v>
      </c>
    </row>
    <row r="35" spans="2:7" ht="12.75">
      <c r="B35" s="45" t="s">
        <v>337</v>
      </c>
      <c r="F35" s="20"/>
      <c r="G35" s="28">
        <f>SUM(G32:G34)</f>
        <v>0</v>
      </c>
    </row>
    <row r="36" spans="6:7" ht="12.75">
      <c r="F36" s="20"/>
      <c r="G36" s="27"/>
    </row>
    <row r="37" spans="2:7" ht="13.5" thickBot="1">
      <c r="B37" s="103" t="s">
        <v>341</v>
      </c>
      <c r="F37" s="27"/>
      <c r="G37" s="80">
        <f>G17+G30+G35</f>
        <v>0</v>
      </c>
    </row>
    <row r="38" ht="13.5" thickTop="1">
      <c r="G38" s="11"/>
    </row>
    <row r="40" spans="2:3" ht="12.75">
      <c r="B40" s="52" t="s">
        <v>342</v>
      </c>
      <c r="C40" s="12"/>
    </row>
    <row r="41" spans="2:7" ht="12.75">
      <c r="B41" s="108" t="s">
        <v>360</v>
      </c>
      <c r="C41" s="47" t="s">
        <v>136</v>
      </c>
      <c r="E41" s="4">
        <v>0</v>
      </c>
      <c r="F41" s="4">
        <v>0</v>
      </c>
      <c r="G41" s="4">
        <v>0</v>
      </c>
    </row>
    <row r="42" spans="2:7" ht="12.75">
      <c r="B42" s="108" t="s">
        <v>360</v>
      </c>
      <c r="C42" s="47" t="s">
        <v>317</v>
      </c>
      <c r="E42" s="4">
        <v>0</v>
      </c>
      <c r="F42" s="4">
        <v>0</v>
      </c>
      <c r="G42" s="4">
        <v>0</v>
      </c>
    </row>
    <row r="43" spans="2:7" ht="12.75">
      <c r="B43" s="108" t="s">
        <v>360</v>
      </c>
      <c r="C43" s="47" t="s">
        <v>317</v>
      </c>
      <c r="E43" s="4">
        <v>0</v>
      </c>
      <c r="F43" s="4">
        <v>0</v>
      </c>
      <c r="G43" s="4">
        <v>0</v>
      </c>
    </row>
    <row r="44" spans="1:7" ht="12.75">
      <c r="A44" t="s">
        <v>85</v>
      </c>
      <c r="B44" s="45" t="s">
        <v>337</v>
      </c>
      <c r="E44" s="4">
        <v>0</v>
      </c>
      <c r="F44" s="4">
        <v>0</v>
      </c>
      <c r="G44" s="4">
        <v>0</v>
      </c>
    </row>
    <row r="45" spans="2:9" ht="13.5" thickBot="1">
      <c r="B45" s="45" t="s">
        <v>337</v>
      </c>
      <c r="E45" s="4"/>
      <c r="F45" s="4"/>
      <c r="G45" s="127">
        <v>0</v>
      </c>
      <c r="I45" s="11"/>
    </row>
    <row r="46" spans="2:9" ht="13.5" thickTop="1">
      <c r="B46" s="52" t="s">
        <v>343</v>
      </c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2">
    <mergeCell ref="C4:H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.75">
      <c r="B2" s="143" t="s">
        <v>304</v>
      </c>
      <c r="C2" s="148"/>
      <c r="D2" s="148"/>
      <c r="E2" s="148"/>
      <c r="F2" s="148"/>
      <c r="G2" s="148"/>
      <c r="H2" s="148"/>
      <c r="I2" s="148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.75">
      <c r="C4" s="87" t="s">
        <v>309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118</v>
      </c>
      <c r="E6" s="5" t="s">
        <v>126</v>
      </c>
      <c r="F6" s="10" t="s">
        <v>126</v>
      </c>
      <c r="G6" s="5" t="s">
        <v>87</v>
      </c>
      <c r="H6" s="5" t="s">
        <v>183</v>
      </c>
      <c r="I6" s="5" t="s">
        <v>132</v>
      </c>
      <c r="J6" s="5" t="s">
        <v>172</v>
      </c>
      <c r="K6" s="5" t="s">
        <v>166</v>
      </c>
    </row>
    <row r="7" spans="4:11" ht="12.75">
      <c r="D7" s="5" t="s">
        <v>274</v>
      </c>
      <c r="E7" s="5" t="s">
        <v>221</v>
      </c>
      <c r="F7" s="10" t="s">
        <v>116</v>
      </c>
      <c r="G7" s="5" t="s">
        <v>191</v>
      </c>
      <c r="H7" s="5" t="s">
        <v>231</v>
      </c>
      <c r="I7" s="5" t="s">
        <v>263</v>
      </c>
      <c r="J7" s="5" t="s">
        <v>212</v>
      </c>
      <c r="K7" s="5" t="s">
        <v>263</v>
      </c>
    </row>
    <row r="8" spans="2:11" ht="12.75">
      <c r="B8" t="s">
        <v>60</v>
      </c>
      <c r="D8" s="5" t="s">
        <v>74</v>
      </c>
      <c r="E8" s="5" t="s">
        <v>77</v>
      </c>
      <c r="F8" s="10" t="s">
        <v>71</v>
      </c>
      <c r="G8" s="5" t="s">
        <v>144</v>
      </c>
      <c r="H8" s="5" t="s">
        <v>188</v>
      </c>
      <c r="I8" s="5" t="s">
        <v>75</v>
      </c>
      <c r="J8" s="5" t="s">
        <v>72</v>
      </c>
      <c r="K8" s="5" t="s">
        <v>76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199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66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10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9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61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248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140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63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68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57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58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241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85</v>
      </c>
    </row>
    <row r="43" spans="4:9" ht="12.75">
      <c r="D43" s="5"/>
      <c r="E43" s="5"/>
      <c r="F43" s="5" t="s">
        <v>106</v>
      </c>
      <c r="G43" s="5"/>
      <c r="H43" s="5" t="s">
        <v>216</v>
      </c>
      <c r="I43" s="5" t="s">
        <v>133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114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222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89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180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219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223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141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269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115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258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259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260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4" width="7.7109375" style="0" customWidth="1"/>
    <col min="5" max="5" width="8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100" t="s">
        <v>304</v>
      </c>
    </row>
    <row r="4" spans="2:11" ht="15.75">
      <c r="B4" s="149" t="s">
        <v>310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99"/>
    </row>
    <row r="6" spans="1:6" ht="18">
      <c r="A6" s="44"/>
      <c r="B6" t="s">
        <v>87</v>
      </c>
      <c r="C6" s="3">
        <v>10</v>
      </c>
      <c r="D6" s="5" t="s">
        <v>192</v>
      </c>
      <c r="E6" s="3" t="s">
        <v>0</v>
      </c>
      <c r="F6" s="104"/>
    </row>
    <row r="7" spans="1:5" ht="12.75">
      <c r="A7" s="44"/>
      <c r="B7" t="s">
        <v>156</v>
      </c>
      <c r="C7" s="35">
        <v>0.065</v>
      </c>
      <c r="D7" s="5" t="s">
        <v>264</v>
      </c>
      <c r="E7" s="3" t="s">
        <v>0</v>
      </c>
    </row>
    <row r="8" spans="1:11" ht="12.75">
      <c r="A8" s="44"/>
      <c r="D8" s="5" t="s">
        <v>131</v>
      </c>
      <c r="E8" s="10" t="s">
        <v>207</v>
      </c>
      <c r="F8" s="5" t="s">
        <v>218</v>
      </c>
      <c r="G8" s="20" t="s">
        <v>280</v>
      </c>
      <c r="H8" s="26"/>
      <c r="I8" s="26"/>
      <c r="J8" s="26"/>
      <c r="K8" s="20"/>
    </row>
    <row r="9" spans="1:11" ht="12.75">
      <c r="A9" s="44"/>
      <c r="B9" s="5" t="s">
        <v>59</v>
      </c>
      <c r="D9" s="5" t="s">
        <v>108</v>
      </c>
      <c r="E9" s="10" t="s">
        <v>202</v>
      </c>
      <c r="F9" s="5" t="s">
        <v>265</v>
      </c>
      <c r="G9" s="72" t="s">
        <v>171</v>
      </c>
      <c r="H9" s="20" t="s">
        <v>111</v>
      </c>
      <c r="I9" s="5" t="s">
        <v>155</v>
      </c>
      <c r="J9" s="20" t="s">
        <v>225</v>
      </c>
      <c r="K9" s="20" t="s">
        <v>121</v>
      </c>
    </row>
    <row r="10" spans="1:11" ht="12.75">
      <c r="A10" s="44"/>
      <c r="E10" s="26"/>
      <c r="F10" s="26"/>
      <c r="G10" s="26"/>
      <c r="H10" s="26"/>
      <c r="I10" s="26"/>
      <c r="J10" s="26"/>
      <c r="K10" s="20"/>
    </row>
    <row r="11" spans="1:11" ht="12.75">
      <c r="A11" s="44"/>
      <c r="B11" s="29" t="s">
        <v>64</v>
      </c>
      <c r="D11" s="18">
        <v>1</v>
      </c>
      <c r="E11" s="37">
        <v>4000</v>
      </c>
      <c r="F11" s="37">
        <f aca="true" t="shared" si="0" ref="F11:F18">E11*0.2</f>
        <v>800</v>
      </c>
      <c r="G11" s="37">
        <v>5</v>
      </c>
      <c r="H11" s="37">
        <f aca="true" t="shared" si="1" ref="H11:H18">(E11-F11)/G11*D11</f>
        <v>640</v>
      </c>
      <c r="I11" s="37">
        <f aca="true" t="shared" si="2" ref="I11:I18">(E11+F11)/2*C$7*D11</f>
        <v>156</v>
      </c>
      <c r="J11" s="37">
        <f aca="true" t="shared" si="3" ref="J11:J18">(E11+F11)/2*0.014*D11</f>
        <v>33.6</v>
      </c>
      <c r="K11" s="20">
        <f aca="true" t="shared" si="4" ref="K11:K18">(H11+I11+J11)/$C$6</f>
        <v>82.96000000000001</v>
      </c>
    </row>
    <row r="12" spans="1:11" ht="12.75">
      <c r="A12" s="44"/>
      <c r="B12" s="29" t="s">
        <v>65</v>
      </c>
      <c r="D12" s="18">
        <v>1</v>
      </c>
      <c r="E12" s="37">
        <v>4000</v>
      </c>
      <c r="F12" s="37">
        <f t="shared" si="0"/>
        <v>800</v>
      </c>
      <c r="G12" s="37">
        <v>5</v>
      </c>
      <c r="H12" s="37">
        <f t="shared" si="1"/>
        <v>640</v>
      </c>
      <c r="I12" s="37">
        <f t="shared" si="2"/>
        <v>156</v>
      </c>
      <c r="J12" s="37">
        <f t="shared" si="3"/>
        <v>33.6</v>
      </c>
      <c r="K12" s="20">
        <f t="shared" si="4"/>
        <v>82.96000000000001</v>
      </c>
    </row>
    <row r="13" spans="1:11" ht="12.75">
      <c r="A13" s="44"/>
      <c r="B13" s="29" t="s">
        <v>62</v>
      </c>
      <c r="D13" s="18">
        <v>0.75</v>
      </c>
      <c r="E13" s="37">
        <v>1800</v>
      </c>
      <c r="F13" s="37">
        <f t="shared" si="0"/>
        <v>360</v>
      </c>
      <c r="G13" s="37">
        <v>7</v>
      </c>
      <c r="H13" s="37">
        <f t="shared" si="1"/>
        <v>154.28571428571428</v>
      </c>
      <c r="I13" s="37">
        <f t="shared" si="2"/>
        <v>52.650000000000006</v>
      </c>
      <c r="J13" s="37">
        <f t="shared" si="3"/>
        <v>11.34</v>
      </c>
      <c r="K13" s="20">
        <f t="shared" si="4"/>
        <v>21.827571428571428</v>
      </c>
    </row>
    <row r="14" spans="1:11" ht="12.75">
      <c r="A14" s="44"/>
      <c r="B14" s="36" t="s">
        <v>255</v>
      </c>
      <c r="C14" s="4"/>
      <c r="D14" s="18">
        <v>1</v>
      </c>
      <c r="E14" s="37">
        <v>60000</v>
      </c>
      <c r="F14" s="37">
        <f t="shared" si="0"/>
        <v>12000</v>
      </c>
      <c r="G14" s="37">
        <v>8</v>
      </c>
      <c r="H14" s="37">
        <f t="shared" si="1"/>
        <v>6000</v>
      </c>
      <c r="I14" s="37">
        <f t="shared" si="2"/>
        <v>2340</v>
      </c>
      <c r="J14" s="37">
        <f t="shared" si="3"/>
        <v>504</v>
      </c>
      <c r="K14" s="20">
        <f t="shared" si="4"/>
        <v>884.4</v>
      </c>
    </row>
    <row r="15" spans="1:11" ht="12.75">
      <c r="A15" s="44"/>
      <c r="B15" s="36" t="s">
        <v>260</v>
      </c>
      <c r="C15" s="4"/>
      <c r="D15" s="18">
        <v>0.75</v>
      </c>
      <c r="E15" s="37">
        <v>40000</v>
      </c>
      <c r="F15" s="37">
        <f t="shared" si="0"/>
        <v>8000</v>
      </c>
      <c r="G15" s="37">
        <v>10</v>
      </c>
      <c r="H15" s="37">
        <f t="shared" si="1"/>
        <v>2400</v>
      </c>
      <c r="I15" s="37">
        <f t="shared" si="2"/>
        <v>1170</v>
      </c>
      <c r="J15" s="37">
        <f t="shared" si="3"/>
        <v>252</v>
      </c>
      <c r="K15" s="20">
        <f t="shared" si="4"/>
        <v>382.2</v>
      </c>
    </row>
    <row r="16" spans="1:11" ht="12.75">
      <c r="A16" s="44"/>
      <c r="B16" s="36" t="s">
        <v>125</v>
      </c>
      <c r="C16" s="4"/>
      <c r="D16" s="18">
        <v>1</v>
      </c>
      <c r="E16" s="37">
        <v>4000</v>
      </c>
      <c r="F16" s="37">
        <f t="shared" si="0"/>
        <v>800</v>
      </c>
      <c r="G16" s="37">
        <v>10</v>
      </c>
      <c r="H16" s="37">
        <f t="shared" si="1"/>
        <v>320</v>
      </c>
      <c r="I16" s="37">
        <f t="shared" si="2"/>
        <v>156</v>
      </c>
      <c r="J16" s="37">
        <f t="shared" si="3"/>
        <v>33.6</v>
      </c>
      <c r="K16" s="20">
        <f t="shared" si="4"/>
        <v>50.96</v>
      </c>
    </row>
    <row r="17" spans="1:11" ht="12.75">
      <c r="A17" s="44"/>
      <c r="B17" s="36" t="s">
        <v>139</v>
      </c>
      <c r="C17" s="4"/>
      <c r="D17" s="18">
        <v>1</v>
      </c>
      <c r="E17" s="26">
        <v>1100</v>
      </c>
      <c r="F17" s="37">
        <f t="shared" si="0"/>
        <v>220</v>
      </c>
      <c r="G17" s="26">
        <v>10</v>
      </c>
      <c r="H17" s="37">
        <f t="shared" si="1"/>
        <v>88</v>
      </c>
      <c r="I17" s="37">
        <f t="shared" si="2"/>
        <v>42.9</v>
      </c>
      <c r="J17" s="37">
        <f t="shared" si="3"/>
        <v>9.24</v>
      </c>
      <c r="K17" s="20">
        <f t="shared" si="4"/>
        <v>14.014000000000001</v>
      </c>
    </row>
    <row r="18" spans="1:256" ht="12.75">
      <c r="A18" s="98"/>
      <c r="B18" s="4" t="s">
        <v>138</v>
      </c>
      <c r="C18" s="4"/>
      <c r="D18" s="18">
        <v>1</v>
      </c>
      <c r="E18" s="10">
        <v>80</v>
      </c>
      <c r="F18" s="37">
        <f t="shared" si="0"/>
        <v>16</v>
      </c>
      <c r="G18">
        <v>4</v>
      </c>
      <c r="H18" s="37">
        <f t="shared" si="1"/>
        <v>16</v>
      </c>
      <c r="I18" s="37">
        <f t="shared" si="2"/>
        <v>3.12</v>
      </c>
      <c r="J18" s="37">
        <f t="shared" si="3"/>
        <v>0.672</v>
      </c>
      <c r="K18" s="20">
        <f t="shared" si="4"/>
        <v>1.9792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11" ht="12.75">
      <c r="A19" s="44"/>
      <c r="B19" s="4"/>
      <c r="C19" s="4"/>
      <c r="D19" s="12"/>
      <c r="E19" s="10"/>
      <c r="F19" s="10"/>
      <c r="K19"/>
    </row>
    <row r="20" spans="1:11" ht="13.5" thickBot="1">
      <c r="A20" s="44"/>
      <c r="B20" s="6" t="s">
        <v>244</v>
      </c>
      <c r="D20" s="12"/>
      <c r="E20" s="81">
        <f>SUM(E11:E19)</f>
        <v>114980</v>
      </c>
      <c r="F20" s="82">
        <f>SUM(F11:F19)</f>
        <v>22996</v>
      </c>
      <c r="G20" s="7"/>
      <c r="H20" s="83">
        <f>SUM(H11:H19)</f>
        <v>10258.285714285714</v>
      </c>
      <c r="I20" s="83">
        <f>SUM(I11:I19)</f>
        <v>4076.67</v>
      </c>
      <c r="J20" s="83">
        <f>SUM(J11:J19)</f>
        <v>878.052</v>
      </c>
      <c r="K20" s="83">
        <f>SUM(K11:K19)</f>
        <v>1521.3007714285714</v>
      </c>
    </row>
    <row r="21" spans="1:11" ht="13.5" thickTop="1">
      <c r="A21" s="44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44"/>
      <c r="D22" s="12"/>
      <c r="E22" s="12"/>
      <c r="F22" s="12"/>
      <c r="G22" s="12"/>
      <c r="H22" s="12"/>
      <c r="I22" s="10">
        <f>H20</f>
        <v>10258.285714285714</v>
      </c>
      <c r="J22" s="12"/>
      <c r="K22" s="5"/>
    </row>
    <row r="23" spans="1:11" ht="12.75">
      <c r="A23" s="44"/>
      <c r="D23" s="12"/>
      <c r="E23" s="12"/>
      <c r="F23" s="12"/>
      <c r="G23" s="12"/>
      <c r="H23" s="12"/>
      <c r="I23" s="10">
        <f>I20</f>
        <v>4076.67</v>
      </c>
      <c r="J23" s="12"/>
      <c r="K23" s="5"/>
    </row>
    <row r="24" spans="1:11" ht="12.75">
      <c r="A24" s="44"/>
      <c r="D24" s="12"/>
      <c r="E24" s="12"/>
      <c r="F24" s="12"/>
      <c r="G24" s="12"/>
      <c r="H24" s="12"/>
      <c r="I24" s="10">
        <f>J20</f>
        <v>878.052</v>
      </c>
      <c r="J24" s="12"/>
      <c r="K24" s="5"/>
    </row>
    <row r="25" spans="1:11" ht="12.75">
      <c r="A25" s="44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44"/>
      <c r="B26" s="6" t="s">
        <v>239</v>
      </c>
      <c r="D26" s="12"/>
      <c r="E26" s="12"/>
      <c r="F26" s="12"/>
      <c r="G26" s="12"/>
      <c r="H26" s="12"/>
      <c r="I26" s="59">
        <f>SUM(I22:I24)</f>
        <v>15213.007714285714</v>
      </c>
      <c r="J26" s="12"/>
      <c r="K26" s="5"/>
    </row>
    <row r="27" spans="1:11" ht="14.25" thickBot="1" thickTop="1">
      <c r="A27" s="44"/>
      <c r="B27" s="6" t="s">
        <v>129</v>
      </c>
      <c r="D27" s="12"/>
      <c r="E27" s="12"/>
      <c r="F27" s="12"/>
      <c r="G27" s="12"/>
      <c r="H27" s="12"/>
      <c r="I27" s="84">
        <f>I26/C6</f>
        <v>1521.3007714285714</v>
      </c>
      <c r="J27" s="12"/>
      <c r="K27" s="5"/>
    </row>
    <row r="28" spans="1:11" ht="13.5" thickTop="1">
      <c r="A28" s="44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44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44"/>
      <c r="B30" t="s">
        <v>79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85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4:11" ht="12.75">
      <c r="D35" s="12"/>
      <c r="E35" s="12"/>
      <c r="F35" s="12"/>
      <c r="G35" s="12"/>
      <c r="H35" s="12"/>
      <c r="I35" s="12"/>
      <c r="J35" s="12"/>
      <c r="K35" s="5"/>
    </row>
    <row r="36" spans="4:11" ht="12.75">
      <c r="D36" s="12"/>
      <c r="E36" s="12"/>
      <c r="F36" s="12"/>
      <c r="G36" s="12"/>
      <c r="H36" s="12"/>
      <c r="I36" s="12"/>
      <c r="J36" s="12"/>
      <c r="K36" s="5"/>
    </row>
    <row r="37" spans="4:11" ht="12.75">
      <c r="D37" s="12"/>
      <c r="E37" s="12"/>
      <c r="F37" s="12"/>
      <c r="G37" s="12"/>
      <c r="H37" s="12"/>
      <c r="I37" s="12"/>
      <c r="J37" s="12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I53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7.28125" style="0" customWidth="1"/>
    <col min="4" max="4" width="6.421875" style="0" customWidth="1"/>
    <col min="5" max="5" width="12.57421875" style="0" customWidth="1"/>
    <col min="6" max="6" width="7.7109375" style="0" customWidth="1"/>
    <col min="7" max="7" width="10.28125" style="0" customWidth="1"/>
    <col min="8" max="8" width="8.28125" style="0" customWidth="1"/>
    <col min="9" max="9" width="7.28125" style="0" customWidth="1"/>
    <col min="10" max="10" width="8.140625" style="0" customWidth="1"/>
  </cols>
  <sheetData>
    <row r="3" ht="12.75">
      <c r="A3" s="4"/>
    </row>
    <row r="4" ht="12.75">
      <c r="A4" s="4"/>
    </row>
    <row r="5" spans="1:9" ht="15.75">
      <c r="A5" s="4"/>
      <c r="B5" s="143" t="s">
        <v>304</v>
      </c>
      <c r="C5" s="143"/>
      <c r="D5" s="143"/>
      <c r="E5" s="143"/>
      <c r="F5" s="143"/>
      <c r="G5" s="143"/>
      <c r="H5" s="143"/>
      <c r="I5" s="143"/>
    </row>
    <row r="6" spans="1:8" ht="12.75">
      <c r="A6" s="4"/>
      <c r="C6" s="138"/>
      <c r="D6" s="150"/>
      <c r="E6" s="150"/>
      <c r="F6" s="150"/>
      <c r="G6" s="150"/>
      <c r="H6" s="150"/>
    </row>
    <row r="7" spans="1:8" ht="15.75">
      <c r="A7" s="4"/>
      <c r="C7" s="140" t="s">
        <v>311</v>
      </c>
      <c r="D7" s="150"/>
      <c r="E7" s="150"/>
      <c r="F7" s="150"/>
      <c r="G7" s="150"/>
      <c r="H7" s="150"/>
    </row>
    <row r="8" ht="12.75">
      <c r="A8" s="4"/>
    </row>
    <row r="9" ht="12.75">
      <c r="A9" s="4"/>
    </row>
    <row r="10" spans="1:8" ht="12.75">
      <c r="A10" s="4"/>
      <c r="B10" t="s">
        <v>97</v>
      </c>
      <c r="F10" s="8">
        <v>10</v>
      </c>
      <c r="G10" s="4" t="s">
        <v>88</v>
      </c>
      <c r="H10" s="38"/>
    </row>
    <row r="11" spans="1:6" ht="12.75">
      <c r="A11" s="4"/>
      <c r="B11" t="s">
        <v>220</v>
      </c>
      <c r="D11" s="7">
        <v>10</v>
      </c>
      <c r="E11" t="s">
        <v>99</v>
      </c>
      <c r="F11" s="7">
        <v>10</v>
      </c>
    </row>
    <row r="12" spans="1:7" ht="12.75">
      <c r="A12" s="4"/>
      <c r="B12" t="s">
        <v>158</v>
      </c>
      <c r="G12" s="24">
        <v>0.065</v>
      </c>
    </row>
    <row r="13" spans="1:7" ht="12.75">
      <c r="A13" s="4"/>
      <c r="B13" t="s">
        <v>226</v>
      </c>
      <c r="G13">
        <v>0.015</v>
      </c>
    </row>
    <row r="14" spans="1:7" ht="12.75">
      <c r="A14" s="4"/>
      <c r="B14" t="s">
        <v>113</v>
      </c>
      <c r="G14">
        <v>600</v>
      </c>
    </row>
    <row r="15" ht="12.75">
      <c r="A15" s="4"/>
    </row>
    <row r="16" spans="1:2" ht="12.75">
      <c r="A16" s="4"/>
      <c r="B16" s="7" t="s">
        <v>160</v>
      </c>
    </row>
    <row r="17" ht="12.75">
      <c r="A17" s="4"/>
    </row>
    <row r="18" spans="1:9" ht="12.75">
      <c r="A18" s="4"/>
      <c r="E18" s="12" t="s">
        <v>182</v>
      </c>
      <c r="F18" s="12" t="s">
        <v>281</v>
      </c>
      <c r="G18" s="12" t="s">
        <v>112</v>
      </c>
      <c r="H18" s="5" t="s">
        <v>157</v>
      </c>
      <c r="I18" s="5" t="s">
        <v>224</v>
      </c>
    </row>
    <row r="19" spans="1:9" ht="12.75">
      <c r="A19" s="4"/>
      <c r="B19" t="s">
        <v>162</v>
      </c>
      <c r="E19" s="10">
        <v>9000</v>
      </c>
      <c r="F19" s="10">
        <v>20</v>
      </c>
      <c r="G19" s="10">
        <f aca="true" t="shared" si="0" ref="G19:G25">E19/F19</f>
        <v>450</v>
      </c>
      <c r="H19" s="10">
        <f>(E19/2)*G12</f>
        <v>292.5</v>
      </c>
      <c r="I19" s="10">
        <f>(E19/2)*G13</f>
        <v>67.5</v>
      </c>
    </row>
    <row r="20" spans="1:9" ht="12.75">
      <c r="A20" s="4"/>
      <c r="B20" t="s">
        <v>149</v>
      </c>
      <c r="E20" s="10">
        <v>0</v>
      </c>
      <c r="F20" s="10">
        <v>10</v>
      </c>
      <c r="G20" s="10">
        <f t="shared" si="0"/>
        <v>0</v>
      </c>
      <c r="H20" s="10">
        <f>(E20/2)*G12</f>
        <v>0</v>
      </c>
      <c r="I20" s="10">
        <f>(E20/2)*G13</f>
        <v>0</v>
      </c>
    </row>
    <row r="21" spans="1:9" ht="12.75">
      <c r="A21" s="4"/>
      <c r="B21" t="s">
        <v>148</v>
      </c>
      <c r="E21" s="10">
        <v>5000</v>
      </c>
      <c r="F21" s="10">
        <v>10</v>
      </c>
      <c r="G21" s="10">
        <f t="shared" si="0"/>
        <v>500</v>
      </c>
      <c r="H21" s="10">
        <f>(E21/2)*G13</f>
        <v>37.5</v>
      </c>
      <c r="I21" s="10">
        <f>(E21/2)*G13</f>
        <v>37.5</v>
      </c>
    </row>
    <row r="22" spans="1:9" ht="12.75">
      <c r="A22" s="4"/>
      <c r="B22" t="s">
        <v>273</v>
      </c>
      <c r="E22" s="10">
        <v>9800</v>
      </c>
      <c r="F22" s="10">
        <v>25</v>
      </c>
      <c r="G22" s="10">
        <f t="shared" si="0"/>
        <v>392</v>
      </c>
      <c r="H22" s="10">
        <f>(E22/2)*G12</f>
        <v>318.5</v>
      </c>
      <c r="I22" s="10">
        <f>(E22/2)*G13</f>
        <v>73.5</v>
      </c>
    </row>
    <row r="23" spans="1:9" ht="12.75">
      <c r="A23" s="4"/>
      <c r="B23" t="s">
        <v>122</v>
      </c>
      <c r="E23" s="10">
        <v>1000</v>
      </c>
      <c r="F23" s="10">
        <v>15</v>
      </c>
      <c r="G23" s="10">
        <f t="shared" si="0"/>
        <v>66.66666666666667</v>
      </c>
      <c r="H23" s="10">
        <f>(E23/2)*G12</f>
        <v>32.5</v>
      </c>
      <c r="I23" s="10">
        <f>(E23/2)*G13</f>
        <v>7.5</v>
      </c>
    </row>
    <row r="24" spans="1:9" ht="12.75">
      <c r="A24" s="4"/>
      <c r="B24" t="s">
        <v>178</v>
      </c>
      <c r="E24" s="10"/>
      <c r="F24" s="10">
        <v>20</v>
      </c>
      <c r="G24" s="10">
        <f t="shared" si="0"/>
        <v>0</v>
      </c>
      <c r="H24" s="10">
        <f>(E24/2)*G12</f>
        <v>0</v>
      </c>
      <c r="I24" s="10">
        <f>(E24/2)*G13</f>
        <v>0</v>
      </c>
    </row>
    <row r="25" spans="1:9" ht="12.75">
      <c r="A25" s="4"/>
      <c r="B25" t="s">
        <v>154</v>
      </c>
      <c r="E25" s="10">
        <v>6500</v>
      </c>
      <c r="F25" s="10">
        <v>20</v>
      </c>
      <c r="G25" s="10">
        <f t="shared" si="0"/>
        <v>325</v>
      </c>
      <c r="H25" s="10">
        <f>(E25/2)*G12</f>
        <v>211.25</v>
      </c>
      <c r="I25" s="10">
        <f>(E25/2)*G13</f>
        <v>48.75</v>
      </c>
    </row>
    <row r="26" spans="1:9" ht="13.5" thickBot="1">
      <c r="A26" s="4"/>
      <c r="B26" s="7" t="s">
        <v>245</v>
      </c>
      <c r="E26" s="59">
        <f>SUM(E19:E25)</f>
        <v>31300</v>
      </c>
      <c r="F26" s="12"/>
      <c r="G26" s="86">
        <f>SUM(G19:G25)</f>
        <v>1733.6666666666667</v>
      </c>
      <c r="H26" s="86">
        <f>SUM(H19:H25)</f>
        <v>892.25</v>
      </c>
      <c r="I26" s="86">
        <f>SUM(I19:I25)</f>
        <v>234.75</v>
      </c>
    </row>
    <row r="27" spans="1:9" ht="13.5" thickTop="1">
      <c r="A27" s="4"/>
      <c r="E27" s="12"/>
      <c r="F27" s="12"/>
      <c r="G27" s="12"/>
      <c r="H27" s="12"/>
      <c r="I27" s="12"/>
    </row>
    <row r="28" spans="1:9" ht="13.5" thickBot="1">
      <c r="A28" s="4"/>
      <c r="B28" s="7" t="s">
        <v>235</v>
      </c>
      <c r="E28" s="12"/>
      <c r="F28" s="12"/>
      <c r="G28" s="12"/>
      <c r="H28" s="12"/>
      <c r="I28" s="59">
        <f>G26+H26+I26</f>
        <v>2860.666666666667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94</v>
      </c>
      <c r="E30" s="12"/>
      <c r="F30" s="12"/>
      <c r="G30" s="12"/>
      <c r="H30" s="12"/>
      <c r="I30" s="85">
        <f>I28/F10</f>
        <v>286.0666666666667</v>
      </c>
    </row>
    <row r="31" spans="1:9" ht="13.5" thickTop="1">
      <c r="A31" s="4"/>
      <c r="E31" s="12"/>
      <c r="F31" s="12"/>
      <c r="G31" s="12"/>
      <c r="H31" s="12"/>
      <c r="I31" s="12"/>
    </row>
    <row r="32" spans="1:9" ht="12.75">
      <c r="A32" s="4"/>
      <c r="B32" s="7" t="s">
        <v>185</v>
      </c>
      <c r="E32" s="12"/>
      <c r="F32" s="12"/>
      <c r="G32" s="12"/>
      <c r="H32" s="12"/>
      <c r="I32" s="12"/>
    </row>
    <row r="33" spans="1:9" ht="12.75">
      <c r="A33" s="4"/>
      <c r="E33" s="12"/>
      <c r="F33" s="12"/>
      <c r="G33" s="12"/>
      <c r="H33" s="12"/>
      <c r="I33" s="12"/>
    </row>
    <row r="34" spans="1:9" ht="12.75">
      <c r="A34" s="4"/>
      <c r="B34" t="s">
        <v>179</v>
      </c>
      <c r="E34" s="12"/>
      <c r="F34" s="12"/>
      <c r="G34" s="10">
        <f>IF(F10&lt;=40,5,IF(F10&lt;=100,20,IF(F10&lt;=200,40,80)))</f>
        <v>5</v>
      </c>
      <c r="H34" s="12"/>
      <c r="I34" s="12"/>
    </row>
    <row r="35" spans="1:9" ht="12.75">
      <c r="A35" s="4"/>
      <c r="B35" t="s">
        <v>213</v>
      </c>
      <c r="E35" s="12"/>
      <c r="F35" s="12"/>
      <c r="G35" s="10">
        <v>800</v>
      </c>
      <c r="H35" s="12"/>
      <c r="I35" s="12"/>
    </row>
    <row r="36" spans="1:9" ht="12.75">
      <c r="A36" s="4"/>
      <c r="B36" t="s">
        <v>95</v>
      </c>
      <c r="E36" s="12"/>
      <c r="F36" s="12"/>
      <c r="G36" s="10">
        <v>1080</v>
      </c>
      <c r="H36" s="12"/>
      <c r="I36" s="12"/>
    </row>
    <row r="37" spans="1:9" ht="12.75">
      <c r="A37" s="4"/>
      <c r="B37" t="s">
        <v>117</v>
      </c>
      <c r="E37" s="12"/>
      <c r="F37" s="12"/>
      <c r="G37" s="10"/>
      <c r="H37" s="12"/>
      <c r="I37" s="12"/>
    </row>
    <row r="38" spans="1:9" ht="12.75">
      <c r="A38" s="4"/>
      <c r="B38" t="s">
        <v>14</v>
      </c>
      <c r="E38" s="12"/>
      <c r="F38" s="12"/>
      <c r="G38" s="10">
        <f>G34*0</f>
        <v>0</v>
      </c>
      <c r="H38" s="12"/>
      <c r="I38" s="12"/>
    </row>
    <row r="39" spans="1:9" ht="12.75">
      <c r="A39" s="4"/>
      <c r="B39" t="s">
        <v>35</v>
      </c>
      <c r="E39" s="12"/>
      <c r="F39" s="12"/>
      <c r="G39" s="5">
        <v>0.12</v>
      </c>
      <c r="H39" s="12"/>
      <c r="I39" s="12"/>
    </row>
    <row r="40" spans="1:9" ht="12.75">
      <c r="A40" s="4"/>
      <c r="B40" t="s">
        <v>92</v>
      </c>
      <c r="E40" s="12"/>
      <c r="F40" s="12"/>
      <c r="G40" s="10">
        <v>600</v>
      </c>
      <c r="H40" s="12"/>
      <c r="I40" s="12"/>
    </row>
    <row r="41" spans="1:9" ht="12.75">
      <c r="A41" s="4"/>
      <c r="B41" t="s">
        <v>93</v>
      </c>
      <c r="E41" s="12"/>
      <c r="F41" s="12"/>
      <c r="G41" s="12"/>
      <c r="H41" s="12"/>
      <c r="I41" s="5">
        <f>G40/F10</f>
        <v>60</v>
      </c>
    </row>
    <row r="42" spans="1:9" ht="13.5" thickBot="1">
      <c r="A42" s="4"/>
      <c r="B42" s="7" t="s">
        <v>184</v>
      </c>
      <c r="E42" s="12"/>
      <c r="F42" s="12"/>
      <c r="G42" s="12"/>
      <c r="H42" s="12"/>
      <c r="I42" s="85">
        <f>(G35+G40)/F10</f>
        <v>140</v>
      </c>
    </row>
    <row r="43" spans="1:9" ht="13.5" thickTop="1">
      <c r="A43" s="4"/>
      <c r="B43" s="38"/>
      <c r="C43" s="38"/>
      <c r="D43" s="38"/>
      <c r="E43" s="39"/>
      <c r="F43" s="39"/>
      <c r="G43" s="39"/>
      <c r="H43" s="39"/>
      <c r="I43" s="39"/>
    </row>
    <row r="44" spans="1:9" ht="12.75">
      <c r="A44" s="4"/>
      <c r="E44" s="12"/>
      <c r="F44" s="12"/>
      <c r="G44" s="12"/>
      <c r="H44" s="12"/>
      <c r="I44" s="12"/>
    </row>
    <row r="45" spans="1:9" ht="13.5" thickBot="1">
      <c r="A45" s="4"/>
      <c r="B45" s="7" t="s">
        <v>234</v>
      </c>
      <c r="E45" s="12"/>
      <c r="F45" s="12"/>
      <c r="G45" s="12"/>
      <c r="H45" s="12"/>
      <c r="I45" s="85">
        <f>I30+I42</f>
        <v>426.0666666666667</v>
      </c>
    </row>
    <row r="46" spans="1:9" ht="13.5" thickTop="1">
      <c r="A46" s="4"/>
      <c r="E46" s="12"/>
      <c r="F46" s="12"/>
      <c r="G46" s="12"/>
      <c r="H46" s="12"/>
      <c r="I46" s="12"/>
    </row>
    <row r="47" spans="1:9" ht="12.75">
      <c r="A47" s="4"/>
      <c r="E47" s="12"/>
      <c r="F47" s="12"/>
      <c r="G47" s="12"/>
      <c r="H47" s="12"/>
      <c r="I47" s="12"/>
    </row>
    <row r="48" spans="1:9" ht="12.75">
      <c r="A48" s="4"/>
      <c r="E48" s="12"/>
      <c r="F48" s="12"/>
      <c r="G48" s="12"/>
      <c r="H48" s="12"/>
      <c r="I48" s="12"/>
    </row>
    <row r="49" spans="1:9" ht="12.75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 t="s">
        <v>85</v>
      </c>
      <c r="E51" s="12"/>
      <c r="F51" s="12"/>
      <c r="G51" s="12"/>
      <c r="H51" s="12"/>
      <c r="I51" s="12"/>
    </row>
    <row r="52" spans="1:9" ht="12.75">
      <c r="A52" s="4"/>
      <c r="E52" s="12"/>
      <c r="F52" s="12"/>
      <c r="G52" s="12"/>
      <c r="H52" s="12"/>
      <c r="I52" s="12"/>
    </row>
    <row r="53" spans="1:9" ht="12.75">
      <c r="A53" s="4"/>
      <c r="E53" s="12"/>
      <c r="F53" s="12"/>
      <c r="G53" s="12"/>
      <c r="H53" s="12"/>
      <c r="I53" s="12"/>
    </row>
  </sheetData>
  <sheetProtection/>
  <mergeCells count="3">
    <mergeCell ref="C7:H7"/>
    <mergeCell ref="C6:H6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3:J55"/>
  <sheetViews>
    <sheetView zoomScalePageLayoutView="0" workbookViewId="0" topLeftCell="A28">
      <selection activeCell="F56" sqref="F56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3.7109375" style="0" customWidth="1"/>
    <col min="4" max="4" width="10.7109375" style="0" customWidth="1"/>
    <col min="5" max="5" width="8.7109375" style="0" customWidth="1"/>
    <col min="6" max="6" width="10.28125" style="0" customWidth="1"/>
    <col min="7" max="7" width="10.00390625" style="0" customWidth="1"/>
    <col min="8" max="8" width="11.00390625" style="0" customWidth="1"/>
    <col min="9" max="9" width="12.421875" style="0" customWidth="1"/>
  </cols>
  <sheetData>
    <row r="3" spans="2:9" ht="15.75">
      <c r="B3" s="152" t="s">
        <v>304</v>
      </c>
      <c r="C3" s="153"/>
      <c r="D3" s="153"/>
      <c r="E3" s="153"/>
      <c r="F3" s="153"/>
      <c r="G3" s="153"/>
      <c r="H3" s="153"/>
      <c r="I3" s="153"/>
    </row>
    <row r="4" spans="2:7" ht="15.75">
      <c r="B4" s="52"/>
      <c r="C4" s="140" t="s">
        <v>345</v>
      </c>
      <c r="D4" s="151"/>
      <c r="E4" s="151"/>
      <c r="F4" s="151"/>
      <c r="G4" s="151"/>
    </row>
    <row r="5" spans="3:7" ht="12.75">
      <c r="C5" s="138"/>
      <c r="D5" s="150"/>
      <c r="E5" s="150"/>
      <c r="F5" s="150"/>
      <c r="G5" s="150"/>
    </row>
    <row r="6" ht="12.75">
      <c r="A6" s="44"/>
    </row>
    <row r="7" spans="1:6" ht="12.75">
      <c r="A7" s="44"/>
      <c r="B7" t="s">
        <v>97</v>
      </c>
      <c r="E7" s="23">
        <v>10</v>
      </c>
      <c r="F7" s="5" t="s">
        <v>88</v>
      </c>
    </row>
    <row r="8" spans="1:6" ht="12.75">
      <c r="A8" s="44"/>
      <c r="B8" t="s">
        <v>67</v>
      </c>
      <c r="C8">
        <v>40</v>
      </c>
      <c r="D8" t="s">
        <v>99</v>
      </c>
      <c r="E8" s="12">
        <v>48</v>
      </c>
      <c r="F8" s="12"/>
    </row>
    <row r="9" spans="1:6" ht="12.75">
      <c r="A9" s="44"/>
      <c r="B9" t="s">
        <v>158</v>
      </c>
      <c r="E9" s="12"/>
      <c r="F9" s="34">
        <v>0.065</v>
      </c>
    </row>
    <row r="10" spans="1:6" ht="12.75">
      <c r="A10" s="44"/>
      <c r="B10" t="s">
        <v>226</v>
      </c>
      <c r="E10" s="12"/>
      <c r="F10" s="12">
        <v>0.015</v>
      </c>
    </row>
    <row r="11" spans="1:6" ht="12.75">
      <c r="A11" s="44"/>
      <c r="B11" t="s">
        <v>113</v>
      </c>
      <c r="E11" s="12"/>
      <c r="F11" s="10">
        <v>600</v>
      </c>
    </row>
    <row r="12" ht="12.75">
      <c r="A12" s="44"/>
    </row>
    <row r="13" spans="1:2" ht="12.75">
      <c r="A13" s="44"/>
      <c r="B13" s="7" t="s">
        <v>160</v>
      </c>
    </row>
    <row r="14" spans="1:8" ht="12.75">
      <c r="A14" s="44"/>
      <c r="D14" s="22" t="s">
        <v>182</v>
      </c>
      <c r="E14" s="22" t="s">
        <v>281</v>
      </c>
      <c r="F14" s="22" t="s">
        <v>112</v>
      </c>
      <c r="G14" s="9" t="s">
        <v>157</v>
      </c>
      <c r="H14" s="9" t="s">
        <v>224</v>
      </c>
    </row>
    <row r="15" ht="12.75">
      <c r="A15" s="44"/>
    </row>
    <row r="16" spans="1:8" ht="12.75">
      <c r="A16" s="44"/>
      <c r="B16" s="45" t="s">
        <v>282</v>
      </c>
      <c r="D16" s="10">
        <f>960*E7</f>
        <v>9600</v>
      </c>
      <c r="E16" s="10">
        <v>20</v>
      </c>
      <c r="F16" s="10">
        <f aca="true" t="shared" si="0" ref="F16:F26">D16/E16</f>
        <v>480</v>
      </c>
      <c r="G16" s="10">
        <f>(D16/2)*F9</f>
        <v>312</v>
      </c>
      <c r="H16" s="10">
        <f>(D16/2)*F10</f>
        <v>72</v>
      </c>
    </row>
    <row r="17" spans="1:8" ht="12.75">
      <c r="A17" s="44"/>
      <c r="B17" s="45" t="s">
        <v>283</v>
      </c>
      <c r="D17" s="10">
        <v>1400</v>
      </c>
      <c r="E17" s="10">
        <v>10</v>
      </c>
      <c r="F17" s="10">
        <f t="shared" si="0"/>
        <v>140</v>
      </c>
      <c r="G17" s="10">
        <f>(D17/2)*F9</f>
        <v>45.5</v>
      </c>
      <c r="H17" s="10">
        <f>(D17/2)*F10</f>
        <v>10.5</v>
      </c>
    </row>
    <row r="18" spans="1:8" ht="12.75">
      <c r="A18" s="44"/>
      <c r="B18" s="45" t="s">
        <v>284</v>
      </c>
      <c r="D18" s="10">
        <v>50000</v>
      </c>
      <c r="E18" s="10">
        <v>25</v>
      </c>
      <c r="F18" s="10">
        <f t="shared" si="0"/>
        <v>2000</v>
      </c>
      <c r="G18" s="10">
        <f>(D18/2)*F9</f>
        <v>1625</v>
      </c>
      <c r="H18" s="10">
        <f>(D18/2)*F10</f>
        <v>375</v>
      </c>
    </row>
    <row r="19" spans="1:8" ht="12.75">
      <c r="A19" s="44"/>
      <c r="B19" t="s">
        <v>206</v>
      </c>
      <c r="D19" s="10">
        <v>16000</v>
      </c>
      <c r="E19" s="10">
        <v>15</v>
      </c>
      <c r="F19" s="10">
        <f t="shared" si="0"/>
        <v>1066.6666666666667</v>
      </c>
      <c r="G19" s="10">
        <f>(D19/2)*F9</f>
        <v>520</v>
      </c>
      <c r="H19" s="10">
        <f>(D19/2)*F$10</f>
        <v>120</v>
      </c>
    </row>
    <row r="20" spans="1:8" ht="12.75">
      <c r="A20" s="44"/>
      <c r="B20" t="s">
        <v>104</v>
      </c>
      <c r="D20" s="10">
        <v>1000</v>
      </c>
      <c r="E20" s="10">
        <v>10</v>
      </c>
      <c r="F20" s="10">
        <f t="shared" si="0"/>
        <v>100</v>
      </c>
      <c r="G20" s="10">
        <f>(D21/2)*F9</f>
        <v>65</v>
      </c>
      <c r="H20" s="10">
        <f>(D20/2)*F10</f>
        <v>7.5</v>
      </c>
    </row>
    <row r="21" spans="1:8" ht="12.75">
      <c r="A21" s="44"/>
      <c r="B21" t="s">
        <v>127</v>
      </c>
      <c r="D21" s="10">
        <v>2000</v>
      </c>
      <c r="E21" s="10">
        <v>5</v>
      </c>
      <c r="F21" s="10">
        <f t="shared" si="0"/>
        <v>400</v>
      </c>
      <c r="G21" s="10">
        <f>(D21/2)*F9</f>
        <v>65</v>
      </c>
      <c r="H21" s="10">
        <f>(D21/2)*F$10</f>
        <v>15</v>
      </c>
    </row>
    <row r="22" spans="1:8" ht="12.75">
      <c r="A22" s="44"/>
      <c r="B22" t="s">
        <v>176</v>
      </c>
      <c r="D22" s="10">
        <v>2000</v>
      </c>
      <c r="E22" s="10">
        <v>5</v>
      </c>
      <c r="F22" s="10">
        <f t="shared" si="0"/>
        <v>400</v>
      </c>
      <c r="G22" s="10">
        <f>(D22/2)*F9</f>
        <v>65</v>
      </c>
      <c r="H22" s="10">
        <f>(D22/2)*F$10</f>
        <v>15</v>
      </c>
    </row>
    <row r="23" spans="1:8" ht="12.75">
      <c r="A23" s="44"/>
      <c r="B23" t="s">
        <v>110</v>
      </c>
      <c r="D23" s="10">
        <v>500</v>
      </c>
      <c r="E23" s="10">
        <v>5</v>
      </c>
      <c r="F23" s="10">
        <f t="shared" si="0"/>
        <v>100</v>
      </c>
      <c r="G23" s="10">
        <f>(D23/2)*F9</f>
        <v>16.25</v>
      </c>
      <c r="H23" s="10">
        <f>(D23/2)*F$10</f>
        <v>3.75</v>
      </c>
    </row>
    <row r="24" spans="1:8" ht="12.75">
      <c r="A24" s="44"/>
      <c r="B24" t="s">
        <v>270</v>
      </c>
      <c r="D24" s="10">
        <v>1500</v>
      </c>
      <c r="E24" s="10">
        <v>20</v>
      </c>
      <c r="F24" s="10">
        <f t="shared" si="0"/>
        <v>75</v>
      </c>
      <c r="G24" s="10">
        <f>(D24/2)*F9</f>
        <v>48.75</v>
      </c>
      <c r="H24" s="10">
        <f>(D24/2)*F10</f>
        <v>11.25</v>
      </c>
    </row>
    <row r="25" spans="1:8" ht="12.75">
      <c r="A25" s="44"/>
      <c r="B25" t="s">
        <v>177</v>
      </c>
      <c r="D25" s="10">
        <v>625</v>
      </c>
      <c r="E25" s="10">
        <v>5</v>
      </c>
      <c r="F25" s="10">
        <f t="shared" si="0"/>
        <v>125</v>
      </c>
      <c r="G25" s="10">
        <f>(D25/2)*F9</f>
        <v>20.3125</v>
      </c>
      <c r="H25" s="10">
        <f>(D25/2)*F10</f>
        <v>4.6875</v>
      </c>
    </row>
    <row r="26" spans="1:8" ht="12.75">
      <c r="A26" s="44"/>
      <c r="B26" t="s">
        <v>153</v>
      </c>
      <c r="D26" s="10">
        <f>300*E7</f>
        <v>3000</v>
      </c>
      <c r="E26" s="10">
        <v>20</v>
      </c>
      <c r="F26" s="10">
        <f t="shared" si="0"/>
        <v>150</v>
      </c>
      <c r="G26" s="10">
        <f>(D26/2)*F9</f>
        <v>97.5</v>
      </c>
      <c r="H26" s="10">
        <f>(D26/2)*F10</f>
        <v>22.5</v>
      </c>
    </row>
    <row r="27" spans="1:8" ht="13.5" thickBot="1">
      <c r="A27" s="44"/>
      <c r="B27" s="7" t="s">
        <v>245</v>
      </c>
      <c r="D27" s="59">
        <f>SUM(D16:D26)</f>
        <v>87625</v>
      </c>
      <c r="E27" s="12"/>
      <c r="F27" s="86">
        <f>SUM(F16:F26)</f>
        <v>5036.666666666667</v>
      </c>
      <c r="G27" s="86">
        <f>SUM(G16:G26)</f>
        <v>2880.3125</v>
      </c>
      <c r="H27" s="86">
        <f>SUM(H16:H26)</f>
        <v>657.1875</v>
      </c>
    </row>
    <row r="28" spans="1:8" ht="13.5" thickTop="1">
      <c r="A28" s="44"/>
      <c r="D28" s="12"/>
      <c r="E28" s="12"/>
      <c r="F28" s="12"/>
      <c r="G28" s="12"/>
      <c r="H28" s="12"/>
    </row>
    <row r="29" spans="1:8" ht="13.5" thickBot="1">
      <c r="A29" s="44"/>
      <c r="B29" s="7" t="s">
        <v>235</v>
      </c>
      <c r="D29" s="12"/>
      <c r="E29" s="12"/>
      <c r="F29" s="12"/>
      <c r="G29" s="12"/>
      <c r="H29" s="59">
        <f>F27+G27+H27</f>
        <v>8574.166666666668</v>
      </c>
    </row>
    <row r="30" spans="1:8" ht="13.5" thickTop="1">
      <c r="A30" s="44"/>
      <c r="D30" s="12"/>
      <c r="E30" s="12"/>
      <c r="F30" s="12"/>
      <c r="G30" s="12"/>
      <c r="H30" s="12"/>
    </row>
    <row r="31" spans="1:8" ht="13.5" thickBot="1">
      <c r="A31" s="44"/>
      <c r="B31" s="7" t="s">
        <v>94</v>
      </c>
      <c r="D31" s="12"/>
      <c r="E31" s="12"/>
      <c r="F31" s="12"/>
      <c r="G31" s="12"/>
      <c r="H31" s="85">
        <f>H29/E7</f>
        <v>857.4166666666667</v>
      </c>
    </row>
    <row r="32" spans="1:8" ht="13.5" thickTop="1">
      <c r="A32" s="44"/>
      <c r="D32" s="12"/>
      <c r="E32" s="12"/>
      <c r="F32" s="12"/>
      <c r="G32" s="12"/>
      <c r="H32" s="12"/>
    </row>
    <row r="33" spans="1:8" ht="12.75">
      <c r="A33" s="44"/>
      <c r="D33" s="12"/>
      <c r="E33" s="12"/>
      <c r="F33" s="12"/>
      <c r="G33" s="12"/>
      <c r="H33" s="12"/>
    </row>
    <row r="34" spans="1:8" ht="12.75">
      <c r="A34" s="44"/>
      <c r="B34" s="7" t="s">
        <v>185</v>
      </c>
      <c r="D34" s="12"/>
      <c r="E34" s="12"/>
      <c r="F34" s="12"/>
      <c r="G34" s="12"/>
      <c r="H34" s="12"/>
    </row>
    <row r="35" spans="1:8" ht="12.75">
      <c r="A35" s="44"/>
      <c r="D35" s="12"/>
      <c r="E35" s="12"/>
      <c r="F35" s="12"/>
      <c r="G35" s="12"/>
      <c r="H35" s="12"/>
    </row>
    <row r="36" spans="1:8" ht="12.75">
      <c r="A36" s="44"/>
      <c r="B36" t="s">
        <v>179</v>
      </c>
      <c r="D36" s="12"/>
      <c r="E36" s="12"/>
      <c r="F36" s="12">
        <v>50</v>
      </c>
      <c r="G36" s="12"/>
      <c r="H36" s="12"/>
    </row>
    <row r="37" spans="1:8" ht="12.75">
      <c r="A37" s="44"/>
      <c r="B37" t="s">
        <v>213</v>
      </c>
      <c r="D37" s="12"/>
      <c r="E37" s="12"/>
      <c r="F37" s="10">
        <v>625</v>
      </c>
      <c r="G37" s="12"/>
      <c r="H37" s="12"/>
    </row>
    <row r="38" spans="1:8" ht="12.75">
      <c r="A38" s="44"/>
      <c r="B38" t="s">
        <v>95</v>
      </c>
      <c r="D38" s="12"/>
      <c r="E38" s="12"/>
      <c r="F38" s="12">
        <v>100</v>
      </c>
      <c r="G38" s="12"/>
      <c r="H38" s="12"/>
    </row>
    <row r="39" spans="1:8" ht="12.75">
      <c r="A39" s="44"/>
      <c r="B39" t="s">
        <v>117</v>
      </c>
      <c r="D39" s="12"/>
      <c r="E39" s="12"/>
      <c r="F39" s="12"/>
      <c r="G39" s="12"/>
      <c r="H39" s="12"/>
    </row>
    <row r="40" spans="1:8" ht="12.75">
      <c r="A40" s="44"/>
      <c r="B40" t="s">
        <v>14</v>
      </c>
      <c r="D40" s="12"/>
      <c r="E40" s="12"/>
      <c r="F40" s="12">
        <v>1100</v>
      </c>
      <c r="G40" s="12"/>
      <c r="H40" s="12"/>
    </row>
    <row r="41" spans="1:8" ht="12.75">
      <c r="A41" s="44"/>
      <c r="B41" t="s">
        <v>35</v>
      </c>
      <c r="D41" s="12"/>
      <c r="E41" s="12"/>
      <c r="F41" s="12">
        <v>0.12</v>
      </c>
      <c r="G41" s="12"/>
      <c r="H41" s="12"/>
    </row>
    <row r="42" spans="1:8" ht="12.75">
      <c r="A42" s="44"/>
      <c r="B42" t="s">
        <v>92</v>
      </c>
      <c r="D42" s="12"/>
      <c r="E42" s="12"/>
      <c r="F42" s="10">
        <v>1245</v>
      </c>
      <c r="G42" s="12"/>
      <c r="H42" s="12"/>
    </row>
    <row r="43" spans="1:8" ht="12.75">
      <c r="A43" s="44"/>
      <c r="B43" t="s">
        <v>93</v>
      </c>
      <c r="D43" s="12"/>
      <c r="E43" s="12"/>
      <c r="F43" s="12"/>
      <c r="G43" s="12"/>
      <c r="H43" s="5">
        <f>F42/E7</f>
        <v>124.5</v>
      </c>
    </row>
    <row r="44" spans="1:8" ht="13.5" thickBot="1">
      <c r="A44" s="44"/>
      <c r="B44" s="7" t="s">
        <v>184</v>
      </c>
      <c r="D44" s="12"/>
      <c r="E44" s="12"/>
      <c r="F44" s="12"/>
      <c r="G44" s="12"/>
      <c r="H44" s="85">
        <f>(F37+F42)/E7</f>
        <v>187</v>
      </c>
    </row>
    <row r="45" spans="1:8" ht="13.5" thickTop="1">
      <c r="A45" s="44"/>
      <c r="D45" s="12"/>
      <c r="E45" s="12"/>
      <c r="F45" s="12"/>
      <c r="G45" s="12"/>
      <c r="H45" s="12"/>
    </row>
    <row r="46" spans="1:8" ht="13.5" thickBot="1">
      <c r="A46" s="44"/>
      <c r="B46" s="7" t="s">
        <v>234</v>
      </c>
      <c r="D46" s="12"/>
      <c r="E46" s="12"/>
      <c r="F46" s="12"/>
      <c r="G46" s="12"/>
      <c r="H46" s="85">
        <f>H31+H44</f>
        <v>1044.4166666666667</v>
      </c>
    </row>
    <row r="47" spans="1:8" ht="13.5" thickTop="1">
      <c r="A47" s="44"/>
      <c r="D47" s="12"/>
      <c r="E47" s="12"/>
      <c r="F47" s="12"/>
      <c r="G47" s="12"/>
      <c r="H47" s="12"/>
    </row>
    <row r="48" spans="1:8" ht="12.75">
      <c r="A48" s="44"/>
      <c r="D48" s="12"/>
      <c r="E48" s="12"/>
      <c r="F48" s="12"/>
      <c r="G48" s="12"/>
      <c r="H48" s="12"/>
    </row>
    <row r="49" spans="1:10" ht="12.75">
      <c r="A49" s="44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>
      <c r="A50" s="44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.75">
      <c r="A51" s="44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.75">
      <c r="A52" t="s">
        <v>85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2:10" ht="12.75">
      <c r="B53" s="48"/>
      <c r="C53" s="48"/>
      <c r="D53" s="48"/>
      <c r="E53" s="48"/>
      <c r="F53" s="48"/>
      <c r="G53" s="48"/>
      <c r="H53" s="48"/>
      <c r="I53" s="48"/>
      <c r="J53" s="48"/>
    </row>
    <row r="54" spans="2:10" ht="12.75">
      <c r="B54" s="48"/>
      <c r="C54" s="48"/>
      <c r="D54" s="48"/>
      <c r="E54" s="48"/>
      <c r="F54" s="48"/>
      <c r="G54" s="48"/>
      <c r="H54" s="48"/>
      <c r="I54" s="48"/>
      <c r="J54" s="48"/>
    </row>
    <row r="55" spans="2:10" ht="12.75">
      <c r="B55" s="48"/>
      <c r="C55" s="48"/>
      <c r="D55" s="48"/>
      <c r="E55" s="48"/>
      <c r="F55" s="48"/>
      <c r="G55" s="48"/>
      <c r="H55" s="48"/>
      <c r="I55" s="48"/>
      <c r="J55" s="48"/>
    </row>
  </sheetData>
  <sheetProtection/>
  <mergeCells count="3">
    <mergeCell ref="C4:G4"/>
    <mergeCell ref="C5:G5"/>
    <mergeCell ref="B3:I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2019-02-19T21:19:53Z</cp:lastPrinted>
  <dcterms:created xsi:type="dcterms:W3CDTF">2017-06-26T16:31:50Z</dcterms:created>
  <dcterms:modified xsi:type="dcterms:W3CDTF">2019-02-22T20:37:29Z</dcterms:modified>
  <cp:category/>
  <cp:version/>
  <cp:contentType/>
  <cp:contentStatus/>
</cp:coreProperties>
</file>