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6E56008D-0363-E54D-A538-A19C2BE3F815}" xr6:coauthVersionLast="46" xr6:coauthVersionMax="46" xr10:uidLastSave="{00000000-0000-0000-0000-000000000000}"/>
  <bookViews>
    <workbookView xWindow="11220" yWindow="1320" windowWidth="25540" windowHeight="1554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L11" i="2" l="1"/>
  <c r="L11" i="1" l="1"/>
  <c r="B11" i="1"/>
  <c r="A23" i="17" l="1"/>
  <c r="A12" i="17"/>
  <c r="F8" i="2"/>
  <c r="R36" i="2"/>
  <c r="H36" i="2"/>
  <c r="H21" i="2"/>
  <c r="H16" i="2"/>
  <c r="R16" i="2"/>
  <c r="R14" i="2"/>
  <c r="H14" i="2"/>
  <c r="T36" i="2"/>
  <c r="J36" i="2"/>
  <c r="T21" i="2"/>
  <c r="J21" i="2"/>
  <c r="T16" i="2"/>
  <c r="J16" i="2"/>
  <c r="T14" i="2"/>
  <c r="J14" i="2"/>
  <c r="J11" i="2"/>
  <c r="H35" i="1" l="1"/>
  <c r="R20" i="1"/>
  <c r="H20" i="1"/>
  <c r="H15" i="1"/>
  <c r="R15" i="1"/>
  <c r="R13" i="1"/>
  <c r="H13" i="1"/>
  <c r="R11" i="2"/>
  <c r="H11" i="2"/>
  <c r="R11" i="1"/>
  <c r="H11" i="1"/>
  <c r="T35" i="1"/>
  <c r="J35" i="1"/>
  <c r="T20" i="1"/>
  <c r="J20" i="1"/>
  <c r="T15" i="1"/>
  <c r="J15" i="1"/>
  <c r="T13" i="1"/>
  <c r="J13" i="1"/>
  <c r="V15" i="1"/>
  <c r="X35" i="1"/>
  <c r="V35" i="1"/>
  <c r="X20" i="1"/>
  <c r="V20" i="1"/>
  <c r="X15" i="1"/>
  <c r="X13" i="1"/>
  <c r="V13" i="1"/>
  <c r="P36" i="2" l="1"/>
  <c r="F36" i="2"/>
  <c r="P21" i="2"/>
  <c r="F21" i="2"/>
  <c r="P16" i="2"/>
  <c r="F16" i="2"/>
  <c r="F14" i="2"/>
  <c r="P14" i="2"/>
  <c r="P35" i="1"/>
  <c r="F35" i="1"/>
  <c r="P20" i="1"/>
  <c r="F20" i="1"/>
  <c r="P13" i="1"/>
  <c r="F13" i="1"/>
  <c r="N36" i="2" l="1"/>
  <c r="D36" i="2"/>
  <c r="N21" i="2"/>
  <c r="D21" i="2"/>
  <c r="N16" i="2"/>
  <c r="D16" i="2"/>
  <c r="N35" i="1" l="1"/>
  <c r="D35" i="1"/>
  <c r="N20" i="1"/>
  <c r="D20" i="1"/>
  <c r="N15" i="1"/>
  <c r="D15" i="1"/>
  <c r="N13" i="1"/>
  <c r="D13" i="1"/>
  <c r="N14" i="2"/>
  <c r="D14" i="2"/>
  <c r="P27" i="2" l="1"/>
  <c r="L27" i="2"/>
  <c r="B27" i="2"/>
  <c r="L23" i="2"/>
  <c r="B23" i="2"/>
  <c r="L36" i="2"/>
  <c r="B36" i="2"/>
  <c r="L21" i="2"/>
  <c r="B21" i="2"/>
  <c r="L15" i="1"/>
  <c r="L16" i="2"/>
  <c r="B16" i="2"/>
  <c r="L14" i="2"/>
  <c r="B14" i="2"/>
  <c r="L13" i="1" l="1"/>
  <c r="L26" i="1" s="1"/>
  <c r="L35" i="1"/>
  <c r="B35" i="1"/>
  <c r="X26" i="1"/>
  <c r="V26" i="1"/>
  <c r="T26" i="1"/>
  <c r="R26" i="1"/>
  <c r="P26" i="1"/>
  <c r="N26" i="1"/>
  <c r="J26" i="1"/>
  <c r="H26" i="1"/>
  <c r="F26" i="1"/>
  <c r="D26" i="1"/>
  <c r="B26" i="1"/>
  <c r="L20" i="1"/>
  <c r="B20" i="1"/>
  <c r="B15" i="1"/>
  <c r="B13" i="1"/>
  <c r="L27" i="1" l="1"/>
  <c r="B27" i="1"/>
  <c r="B28" i="2"/>
  <c r="L28" i="2"/>
  <c r="B19" i="1"/>
  <c r="L19" i="1"/>
  <c r="B12" i="1"/>
  <c r="R21" i="2" l="1"/>
  <c r="R35" i="1"/>
  <c r="P15" i="1" l="1"/>
  <c r="F15" i="1"/>
  <c r="J21" i="1" l="1"/>
  <c r="H21" i="1"/>
  <c r="F21" i="1"/>
  <c r="B21" i="1"/>
  <c r="D21" i="1"/>
  <c r="J8" i="2" l="1"/>
  <c r="H8" i="2"/>
  <c r="T19" i="1" l="1"/>
  <c r="H24" i="2" l="1"/>
  <c r="H27" i="2" s="1"/>
  <c r="H19" i="1" l="1"/>
  <c r="R19" i="1"/>
  <c r="D19" i="1" l="1"/>
  <c r="D48" i="2" l="1"/>
  <c r="N24" i="2" l="1"/>
  <c r="N27" i="2" s="1"/>
  <c r="P24" i="2"/>
  <c r="D24" i="2"/>
  <c r="D27" i="2" s="1"/>
  <c r="F24" i="2"/>
  <c r="F27" i="2" s="1"/>
  <c r="D4" i="9"/>
  <c r="T24" i="2"/>
  <c r="T27" i="2" s="1"/>
  <c r="L24" i="2"/>
  <c r="J24" i="2"/>
  <c r="J27" i="2" s="1"/>
  <c r="B24" i="2"/>
  <c r="P19" i="1"/>
  <c r="F19" i="1"/>
  <c r="X19" i="1"/>
  <c r="V19" i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27" i="2" s="1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19" i="1"/>
  <c r="N7" i="1"/>
  <c r="N28" i="1" s="1"/>
  <c r="L12" i="1"/>
  <c r="L8" i="1"/>
  <c r="L9" i="1" s="1"/>
  <c r="J19" i="1"/>
  <c r="J28" i="1"/>
  <c r="F28" i="1"/>
  <c r="D7" i="1"/>
  <c r="B269" i="11" s="1"/>
  <c r="D28" i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68" i="16"/>
  <c r="B269" i="16"/>
  <c r="B134" i="11"/>
  <c r="C3" i="9"/>
  <c r="K23" i="9" s="1"/>
  <c r="B167" i="16"/>
  <c r="B31" i="16"/>
  <c r="C46" i="10"/>
  <c r="B133" i="16"/>
  <c r="F4" i="7"/>
  <c r="A26" i="7" s="1"/>
  <c r="J9" i="1"/>
  <c r="B371" i="11"/>
  <c r="B202" i="11"/>
  <c r="B167" i="11"/>
  <c r="C4" i="10"/>
  <c r="B201" i="11"/>
  <c r="B31" i="11"/>
  <c r="F9" i="2"/>
  <c r="C3" i="7"/>
  <c r="K23" i="7" s="1"/>
  <c r="K13" i="3"/>
  <c r="I13" i="3" s="1"/>
  <c r="C25" i="10"/>
  <c r="B32" i="11"/>
  <c r="L20" i="2" l="1"/>
  <c r="B20" i="2"/>
  <c r="F22" i="2"/>
  <c r="H22" i="2"/>
  <c r="D22" i="2"/>
  <c r="J22" i="2"/>
  <c r="B22" i="2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D30" i="1" s="1"/>
  <c r="C3" i="10" s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J23" i="7"/>
  <c r="I23" i="7"/>
  <c r="M23" i="7"/>
  <c r="L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I23" i="9"/>
  <c r="L23" i="9"/>
  <c r="J23" i="9"/>
  <c r="M23" i="9"/>
  <c r="T38" i="10"/>
  <c r="D20" i="2"/>
  <c r="R20" i="2"/>
  <c r="P20" i="2"/>
  <c r="J30" i="1"/>
  <c r="H20" i="2"/>
  <c r="N20" i="2"/>
  <c r="V30" i="1"/>
  <c r="F20" i="2"/>
  <c r="J20" i="2"/>
  <c r="D30" i="2"/>
  <c r="B28" i="17"/>
  <c r="R30" i="1"/>
  <c r="T20" i="2"/>
  <c r="L31" i="2" l="1"/>
  <c r="H31" i="2"/>
  <c r="P31" i="2"/>
  <c r="B31" i="2"/>
  <c r="J31" i="2"/>
  <c r="T31" i="2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D33" i="1"/>
  <c r="C6" i="7"/>
  <c r="E3" i="10"/>
  <c r="R12" i="10" s="1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C14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F31" i="2"/>
  <c r="B31" i="1"/>
  <c r="D32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D31" i="2"/>
  <c r="C12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C18" i="10"/>
  <c r="B19" i="10"/>
  <c r="N10" i="10"/>
  <c r="H45" i="1"/>
  <c r="H42" i="1"/>
  <c r="H44" i="1"/>
  <c r="D9" i="2"/>
  <c r="C4" i="9"/>
  <c r="C5" i="9" s="1"/>
  <c r="R31" i="2"/>
  <c r="T31" i="10"/>
  <c r="F32" i="1"/>
  <c r="F33" i="1"/>
  <c r="D6" i="7"/>
  <c r="B15" i="7" s="1"/>
  <c r="F31" i="1"/>
  <c r="F38" i="1"/>
  <c r="F39" i="1" s="1"/>
  <c r="F41" i="1" s="1"/>
  <c r="D3" i="10"/>
  <c r="N52" i="10"/>
  <c r="C16" i="10"/>
  <c r="C15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J16" i="3" l="1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R39" i="10" l="1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<sst xmlns="http://schemas.openxmlformats.org/spreadsheetml/2006/main" count="791" uniqueCount="194">
  <si>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</si>
  <si>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</si>
  <si>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</si>
  <si>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</si>
  <si>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</si>
  <si>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</si>
  <si>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</si>
  <si>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</si>
  <si>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</si>
  <si>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</si>
  <si>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</si>
  <si>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</si>
  <si>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</si>
  <si>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</si>
  <si>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</si>
  <si>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</si>
  <si>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</si>
  <si>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</si>
  <si>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</si>
  <si>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</si>
  <si>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</si>
  <si>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</si>
  <si>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</si>
  <si>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</si>
  <si>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</si>
  <si>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</si>
  <si>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</si>
  <si>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</si>
  <si>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</si>
  <si>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</si>
  <si>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</si>
  <si>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</si>
  <si>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</si>
  <si>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</si>
  <si>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</si>
  <si>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</si>
  <si>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</si>
  <si>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</si>
  <si>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</si>
  <si>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</si>
  <si>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</si>
  <si>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</si>
  <si>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</si>
  <si>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</si>
  <si>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</si>
  <si>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</si>
  <si>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</si>
  <si>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</si>
  <si>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</si>
  <si>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</si>
  <si>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</si>
  <si>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</si>
  <si>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</si>
  <si>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</si>
  <si>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</si>
  <si>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</si>
  <si>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</si>
  <si>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</si>
  <si>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</si>
  <si>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</si>
  <si>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</si>
  <si>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</si>
  <si>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</si>
  <si>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</si>
  <si>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</si>
  <si>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</si>
  <si>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</si>
  <si>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</si>
  <si>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</si>
  <si>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</si>
  <si>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</si>
  <si>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</si>
  <si>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</si>
  <si>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</si>
  <si>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</si>
  <si>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</si>
  <si>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</si>
  <si>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</si>
  <si>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</si>
  <si>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</si>
  <si>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</si>
  <si>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</si>
  <si>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</si>
  <si>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</si>
  <si>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</si>
  <si>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</si>
  <si>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</si>
  <si>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</si>
  <si>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</si>
  <si>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</si>
  <si>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</si>
  <si>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</si>
  <si>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</si>
  <si>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</si>
  <si>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</si>
  <si>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</si>
  <si>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</si>
  <si>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</si>
  <si>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</si>
  <si>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</si>
  <si>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</si>
  <si>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</si>
  <si>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</si>
  <si>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</si>
  <si>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</si>
  <si>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</si>
  <si>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</si>
  <si>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</si>
  <si>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</si>
  <si>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</si>
  <si>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</si>
  <si>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</si>
  <si>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</si>
  <si>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</si>
  <si>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</si>
  <si>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</si>
  <si>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</si>
  <si>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</si>
  <si>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</si>
  <si>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</si>
  <si>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</si>
  <si>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</si>
  <si>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</si>
  <si>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</si>
  <si>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</si>
  <si>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</si>
  <si>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</si>
  <si>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</si>
  <si>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</si>
  <si>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</si>
  <si>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</si>
  <si>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</si>
  <si>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</si>
  <si>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</si>
  <si>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</si>
  <si>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</si>
  <si>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</si>
  <si>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</si>
  <si>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</si>
  <si>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</si>
  <si>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</si>
  <si>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</si>
  <si>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</si>
  <si>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</si>
  <si>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</si>
  <si>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</si>
  <si>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</si>
  <si>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</si>
  <si>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</si>
  <si>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</si>
  <si>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</si>
  <si>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</si>
  <si>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</si>
  <si>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</si>
  <si>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</si>
  <si>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</si>
  <si>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</si>
  <si>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</si>
  <si>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</si>
  <si>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</si>
  <si>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</si>
  <si>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</si>
  <si>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</si>
  <si>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</si>
  <si>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</si>
  <si>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</si>
  <si>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</si>
  <si>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</si>
  <si>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</si>
  <si>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</si>
  <si>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</si>
  <si>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</si>
  <si>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</si>
  <si>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</si>
  <si>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</si>
  <si>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</si>
  <si>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</si>
  <si>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</si>
  <si>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</si>
  <si>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</si>
  <si>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</si>
  <si>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</si>
  <si>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</si>
  <si>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</si>
  <si>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</si>
  <si>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</si>
  <si>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</si>
  <si>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</si>
  <si>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</si>
  <si>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</si>
  <si>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Estimate of 2021 Relative Row Crop Costs and Net Returns</t>
  </si>
  <si>
    <t>By A.R. Smith and Yangxuan Liu, UGA Extension Economists, Department of Agricultural &amp; Applied Economics</t>
  </si>
  <si>
    <t>January 2021</t>
  </si>
  <si>
    <t>*** Weighted average of diesel and electric irrigation application costs.  Electric is estimated at $7/appl and diesel is estimated at $10/appl when diesel cost $2.00/gal.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</si>
</sst>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66" fontId="13" fillId="8" borderId="28" xfId="2" applyNumberFormat="1" applyFont="1" applyFill="1" applyBorder="1" applyAlignment="1">
      <alignment horizontal="center"/>
    </xf>
    <xf numFmtId="1" fontId="14" fillId="8" borderId="51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66" fontId="14" fillId="8" borderId="49" xfId="2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66" fontId="13" fillId="8" borderId="70" xfId="0" applyNumberFormat="1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6" xfId="0" applyFont="1" applyFill="1" applyBorder="1" applyAlignment="1">
      <alignment horizontal="left"/>
    </xf>
    <xf numFmtId="166" fontId="13" fillId="3" borderId="40" xfId="2" applyNumberFormat="1" applyFont="1" applyFill="1" applyBorder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357.63370794970979</c:v>
                </c:pt>
                <c:pt idx="1">
                  <c:v>370.39966539651829</c:v>
                </c:pt>
                <c:pt idx="2">
                  <c:v>383.16562284332684</c:v>
                </c:pt>
                <c:pt idx="3">
                  <c:v>395.93158029013534</c:v>
                </c:pt>
                <c:pt idx="4">
                  <c:v>408.69753773694384</c:v>
                </c:pt>
                <c:pt idx="5">
                  <c:v>421.4634951837524</c:v>
                </c:pt>
                <c:pt idx="6">
                  <c:v>434.2294526305609</c:v>
                </c:pt>
                <c:pt idx="7">
                  <c:v>446.99541007736946</c:v>
                </c:pt>
                <c:pt idx="8">
                  <c:v>459.76136752417801</c:v>
                </c:pt>
                <c:pt idx="9">
                  <c:v>472.52732497098646</c:v>
                </c:pt>
                <c:pt idx="10">
                  <c:v>485.29328241779501</c:v>
                </c:pt>
                <c:pt idx="11">
                  <c:v>498.05923986460357</c:v>
                </c:pt>
                <c:pt idx="12">
                  <c:v>510.82519731141207</c:v>
                </c:pt>
                <c:pt idx="13">
                  <c:v>523.59115475822045</c:v>
                </c:pt>
                <c:pt idx="14">
                  <c:v>536.35711220502901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353.51724639037423</c:v>
                </c:pt>
                <c:pt idx="1">
                  <c:v>364.54665815508014</c:v>
                </c:pt>
                <c:pt idx="2">
                  <c:v>375.57606991978605</c:v>
                </c:pt>
                <c:pt idx="3">
                  <c:v>386.60548168449196</c:v>
                </c:pt>
                <c:pt idx="4">
                  <c:v>397.63489344919782</c:v>
                </c:pt>
                <c:pt idx="5">
                  <c:v>408.66430521390373</c:v>
                </c:pt>
                <c:pt idx="6">
                  <c:v>419.69371697860959</c:v>
                </c:pt>
                <c:pt idx="7">
                  <c:v>430.7231287433155</c:v>
                </c:pt>
                <c:pt idx="8">
                  <c:v>441.75254050802135</c:v>
                </c:pt>
                <c:pt idx="9">
                  <c:v>452.78195227272721</c:v>
                </c:pt>
                <c:pt idx="10">
                  <c:v>463.81136403743312</c:v>
                </c:pt>
                <c:pt idx="11">
                  <c:v>474.84077580213909</c:v>
                </c:pt>
                <c:pt idx="12">
                  <c:v>485.87018756684495</c:v>
                </c:pt>
                <c:pt idx="13">
                  <c:v>496.8995993315508</c:v>
                </c:pt>
                <c:pt idx="14">
                  <c:v>507.92901109625677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0.62616118993181824</c:v>
                </c:pt>
                <c:pt idx="1">
                  <c:v>0.64366118993181831</c:v>
                </c:pt>
                <c:pt idx="2">
                  <c:v>0.66116118993181827</c:v>
                </c:pt>
                <c:pt idx="3">
                  <c:v>0.67866118993181823</c:v>
                </c:pt>
                <c:pt idx="4">
                  <c:v>0.6961611899318183</c:v>
                </c:pt>
                <c:pt idx="5">
                  <c:v>0.71366118993181804</c:v>
                </c:pt>
                <c:pt idx="6">
                  <c:v>0.73116118993181811</c:v>
                </c:pt>
                <c:pt idx="7">
                  <c:v>0.74866118993181807</c:v>
                </c:pt>
                <c:pt idx="8">
                  <c:v>0.76616118993181814</c:v>
                </c:pt>
                <c:pt idx="9">
                  <c:v>0.7836611899318181</c:v>
                </c:pt>
                <c:pt idx="10">
                  <c:v>0.80116118993181806</c:v>
                </c:pt>
                <c:pt idx="11">
                  <c:v>0.81866118993181813</c:v>
                </c:pt>
                <c:pt idx="12">
                  <c:v>0.83616118993181809</c:v>
                </c:pt>
                <c:pt idx="13">
                  <c:v>0.85366118993181805</c:v>
                </c:pt>
                <c:pt idx="14">
                  <c:v>0.87116118993181813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0.59891786778181844</c:v>
                </c:pt>
                <c:pt idx="1">
                  <c:v>0.61291786778181834</c:v>
                </c:pt>
                <c:pt idx="2">
                  <c:v>0.62691786778181835</c:v>
                </c:pt>
                <c:pt idx="3">
                  <c:v>0.64091786778181836</c:v>
                </c:pt>
                <c:pt idx="4">
                  <c:v>0.65491786778181837</c:v>
                </c:pt>
                <c:pt idx="5">
                  <c:v>0.66891786778181828</c:v>
                </c:pt>
                <c:pt idx="6">
                  <c:v>0.68291786778181829</c:v>
                </c:pt>
                <c:pt idx="7">
                  <c:v>0.6969178677818183</c:v>
                </c:pt>
                <c:pt idx="8">
                  <c:v>0.71091786778181831</c:v>
                </c:pt>
                <c:pt idx="9">
                  <c:v>0.72491786778181833</c:v>
                </c:pt>
                <c:pt idx="10">
                  <c:v>0.73891786778181812</c:v>
                </c:pt>
                <c:pt idx="11">
                  <c:v>0.75291786778181813</c:v>
                </c:pt>
                <c:pt idx="12">
                  <c:v>0.76691786778181814</c:v>
                </c:pt>
                <c:pt idx="13">
                  <c:v>0.78091786778181815</c:v>
                </c:pt>
                <c:pt idx="14">
                  <c:v>0.79491786778181817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383.7585708936171</c:v>
                </c:pt>
                <c:pt idx="1">
                  <c:v>392.69474110638299</c:v>
                </c:pt>
                <c:pt idx="2">
                  <c:v>401.63091131914894</c:v>
                </c:pt>
                <c:pt idx="3">
                  <c:v>410.56708153191488</c:v>
                </c:pt>
                <c:pt idx="4">
                  <c:v>419.50325174468082</c:v>
                </c:pt>
                <c:pt idx="5">
                  <c:v>428.43942195744683</c:v>
                </c:pt>
                <c:pt idx="6">
                  <c:v>437.37559217021277</c:v>
                </c:pt>
                <c:pt idx="7">
                  <c:v>446.31176238297871</c:v>
                </c:pt>
                <c:pt idx="8">
                  <c:v>455.24793259574471</c:v>
                </c:pt>
                <c:pt idx="9">
                  <c:v>464.18410280851066</c:v>
                </c:pt>
                <c:pt idx="10">
                  <c:v>473.12027302127649</c:v>
                </c:pt>
                <c:pt idx="11">
                  <c:v>482.05644323404243</c:v>
                </c:pt>
                <c:pt idx="12">
                  <c:v>490.99261344680838</c:v>
                </c:pt>
                <c:pt idx="13">
                  <c:v>499.92878365957438</c:v>
                </c:pt>
                <c:pt idx="14">
                  <c:v>508.86495387234032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364.06924688235301</c:v>
                </c:pt>
                <c:pt idx="1">
                  <c:v>370.24571747058832</c:v>
                </c:pt>
                <c:pt idx="2">
                  <c:v>376.42218805882362</c:v>
                </c:pt>
                <c:pt idx="3">
                  <c:v>382.59865864705887</c:v>
                </c:pt>
                <c:pt idx="4">
                  <c:v>388.77512923529417</c:v>
                </c:pt>
                <c:pt idx="5">
                  <c:v>394.95159982352942</c:v>
                </c:pt>
                <c:pt idx="6">
                  <c:v>401.12807041176472</c:v>
                </c:pt>
                <c:pt idx="7">
                  <c:v>407.30454100000003</c:v>
                </c:pt>
                <c:pt idx="8">
                  <c:v>413.48101158823528</c:v>
                </c:pt>
                <c:pt idx="9">
                  <c:v>419.65748217647058</c:v>
                </c:pt>
                <c:pt idx="10">
                  <c:v>425.83395276470583</c:v>
                </c:pt>
                <c:pt idx="11">
                  <c:v>432.01042335294107</c:v>
                </c:pt>
                <c:pt idx="12">
                  <c:v>438.18689394117644</c:v>
                </c:pt>
                <c:pt idx="13">
                  <c:v>444.36336452941174</c:v>
                </c:pt>
                <c:pt idx="14">
                  <c:v>450.53983511764699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4.0614550330000014</c:v>
                </c:pt>
                <c:pt idx="1">
                  <c:v>4.166455033000001</c:v>
                </c:pt>
                <c:pt idx="2">
                  <c:v>4.2714550330000005</c:v>
                </c:pt>
                <c:pt idx="3">
                  <c:v>4.3764550330000009</c:v>
                </c:pt>
                <c:pt idx="4">
                  <c:v>4.4814550330000005</c:v>
                </c:pt>
                <c:pt idx="5">
                  <c:v>4.5864550330000009</c:v>
                </c:pt>
                <c:pt idx="6">
                  <c:v>4.6914550330000004</c:v>
                </c:pt>
                <c:pt idx="7">
                  <c:v>4.7964550330000009</c:v>
                </c:pt>
                <c:pt idx="8">
                  <c:v>4.9014550330000013</c:v>
                </c:pt>
                <c:pt idx="9">
                  <c:v>5.0064550330000008</c:v>
                </c:pt>
                <c:pt idx="10">
                  <c:v>5.1114550329999995</c:v>
                </c:pt>
                <c:pt idx="11">
                  <c:v>5.2164550329999999</c:v>
                </c:pt>
                <c:pt idx="12">
                  <c:v>5.3214550329999994</c:v>
                </c:pt>
                <c:pt idx="13">
                  <c:v>5.4264550329999999</c:v>
                </c:pt>
                <c:pt idx="14">
                  <c:v>5.5314550329999994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4.0050041583823539</c:v>
                </c:pt>
                <c:pt idx="1">
                  <c:v>4.1285335701470594</c:v>
                </c:pt>
                <c:pt idx="2">
                  <c:v>4.2520629819117648</c:v>
                </c:pt>
                <c:pt idx="3">
                  <c:v>4.3755923936764711</c:v>
                </c:pt>
                <c:pt idx="4">
                  <c:v>4.4991218054411766</c:v>
                </c:pt>
                <c:pt idx="5">
                  <c:v>4.622651217205882</c:v>
                </c:pt>
                <c:pt idx="6">
                  <c:v>4.7461806289705875</c:v>
                </c:pt>
                <c:pt idx="7">
                  <c:v>4.8697100407352938</c:v>
                </c:pt>
                <c:pt idx="8">
                  <c:v>4.9932394524999992</c:v>
                </c:pt>
                <c:pt idx="9">
                  <c:v>5.1167688642647056</c:v>
                </c:pt>
                <c:pt idx="10">
                  <c:v>5.240298276029411</c:v>
                </c:pt>
                <c:pt idx="11">
                  <c:v>5.3638276877941164</c:v>
                </c:pt>
                <c:pt idx="12">
                  <c:v>5.4873570995588228</c:v>
                </c:pt>
                <c:pt idx="13">
                  <c:v>5.6108865113235282</c:v>
                </c:pt>
                <c:pt idx="14">
                  <c:v>5.7344159230882346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342.03319731141187</c:v>
                </c:pt>
                <c:pt idx="1">
                  <c:v>354.79915475822037</c:v>
                </c:pt>
                <c:pt idx="2">
                  <c:v>367.56511220502892</c:v>
                </c:pt>
                <c:pt idx="3">
                  <c:v>380.33106965183742</c:v>
                </c:pt>
                <c:pt idx="4">
                  <c:v>393.09702709864592</c:v>
                </c:pt>
                <c:pt idx="5">
                  <c:v>405.86298454545448</c:v>
                </c:pt>
                <c:pt idx="6">
                  <c:v>418.62894199226298</c:v>
                </c:pt>
                <c:pt idx="7">
                  <c:v>431.39489943907148</c:v>
                </c:pt>
                <c:pt idx="8">
                  <c:v>444.16085688588004</c:v>
                </c:pt>
                <c:pt idx="9">
                  <c:v>456.92681433268848</c:v>
                </c:pt>
                <c:pt idx="10">
                  <c:v>469.69277177949715</c:v>
                </c:pt>
                <c:pt idx="11">
                  <c:v>482.45872922630565</c:v>
                </c:pt>
                <c:pt idx="12">
                  <c:v>495.22468667311415</c:v>
                </c:pt>
                <c:pt idx="13">
                  <c:v>507.99064411992265</c:v>
                </c:pt>
                <c:pt idx="14">
                  <c:v>520.75660156673121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334.66262139037417</c:v>
                </c:pt>
                <c:pt idx="1">
                  <c:v>345.69203315508008</c:v>
                </c:pt>
                <c:pt idx="2">
                  <c:v>356.72144491978605</c:v>
                </c:pt>
                <c:pt idx="3">
                  <c:v>367.75085668449191</c:v>
                </c:pt>
                <c:pt idx="4">
                  <c:v>378.78026844919776</c:v>
                </c:pt>
                <c:pt idx="5">
                  <c:v>389.80968021390373</c:v>
                </c:pt>
                <c:pt idx="6">
                  <c:v>400.83909197860964</c:v>
                </c:pt>
                <c:pt idx="7">
                  <c:v>411.8685037433155</c:v>
                </c:pt>
                <c:pt idx="8">
                  <c:v>422.89791550802141</c:v>
                </c:pt>
                <c:pt idx="9">
                  <c:v>433.92732727272727</c:v>
                </c:pt>
                <c:pt idx="10">
                  <c:v>444.95673903743318</c:v>
                </c:pt>
                <c:pt idx="11">
                  <c:v>455.98615080213904</c:v>
                </c:pt>
                <c:pt idx="12">
                  <c:v>467.01556256684489</c:v>
                </c:pt>
                <c:pt idx="13">
                  <c:v>478.0449743315508</c:v>
                </c:pt>
                <c:pt idx="14">
                  <c:v>489.07438609625672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3.4987090014839555</c:v>
                </c:pt>
                <c:pt idx="1">
                  <c:v>3.7192972367780732</c:v>
                </c:pt>
                <c:pt idx="2">
                  <c:v>3.9398854720721914</c:v>
                </c:pt>
                <c:pt idx="3">
                  <c:v>4.1604737073663092</c:v>
                </c:pt>
                <c:pt idx="4">
                  <c:v>4.3810619426604269</c:v>
                </c:pt>
                <c:pt idx="5">
                  <c:v>4.6016501779545456</c:v>
                </c:pt>
                <c:pt idx="6">
                  <c:v>4.8222384132486624</c:v>
                </c:pt>
                <c:pt idx="7">
                  <c:v>5.0428266485427802</c:v>
                </c:pt>
                <c:pt idx="8">
                  <c:v>5.2634148838368979</c:v>
                </c:pt>
                <c:pt idx="9">
                  <c:v>5.4840031191310157</c:v>
                </c:pt>
                <c:pt idx="10">
                  <c:v>5.7045913544251334</c:v>
                </c:pt>
                <c:pt idx="11">
                  <c:v>5.9251795897192521</c:v>
                </c:pt>
                <c:pt idx="12">
                  <c:v>6.1457678250133698</c:v>
                </c:pt>
                <c:pt idx="13">
                  <c:v>6.3663560603074876</c:v>
                </c:pt>
                <c:pt idx="14">
                  <c:v>6.5869442956016053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3.6285677684090896</c:v>
                </c:pt>
                <c:pt idx="1">
                  <c:v>3.7785677684090899</c:v>
                </c:pt>
                <c:pt idx="2">
                  <c:v>3.9285677684090898</c:v>
                </c:pt>
                <c:pt idx="3">
                  <c:v>4.0785677684090897</c:v>
                </c:pt>
                <c:pt idx="4">
                  <c:v>4.2285677684090901</c:v>
                </c:pt>
                <c:pt idx="5">
                  <c:v>4.3785677684090905</c:v>
                </c:pt>
                <c:pt idx="6">
                  <c:v>4.5285677684090908</c:v>
                </c:pt>
                <c:pt idx="7">
                  <c:v>4.6785677684090903</c:v>
                </c:pt>
                <c:pt idx="8">
                  <c:v>4.8285677684090906</c:v>
                </c:pt>
                <c:pt idx="9">
                  <c:v>4.9785677684090901</c:v>
                </c:pt>
                <c:pt idx="10">
                  <c:v>5.1285677684090913</c:v>
                </c:pt>
                <c:pt idx="11">
                  <c:v>5.2785677684090908</c:v>
                </c:pt>
                <c:pt idx="12">
                  <c:v>5.4285677684090912</c:v>
                </c:pt>
                <c:pt idx="13">
                  <c:v>5.5785677684090906</c:v>
                </c:pt>
                <c:pt idx="14">
                  <c:v>5.728567768409091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6.8483720554545391</c:v>
                </c:pt>
                <c:pt idx="1">
                  <c:v>7.4733720554545391</c:v>
                </c:pt>
                <c:pt idx="2">
                  <c:v>8.0983720554545418</c:v>
                </c:pt>
                <c:pt idx="3">
                  <c:v>8.7233720554545418</c:v>
                </c:pt>
                <c:pt idx="4">
                  <c:v>9.3483720554545418</c:v>
                </c:pt>
                <c:pt idx="5">
                  <c:v>9.9733720554545435</c:v>
                </c:pt>
                <c:pt idx="6">
                  <c:v>10.598372055454544</c:v>
                </c:pt>
                <c:pt idx="7">
                  <c:v>11.223372055454544</c:v>
                </c:pt>
                <c:pt idx="8">
                  <c:v>11.848372055454544</c:v>
                </c:pt>
                <c:pt idx="9">
                  <c:v>12.473372055454544</c:v>
                </c:pt>
                <c:pt idx="10">
                  <c:v>13.098372055454544</c:v>
                </c:pt>
                <c:pt idx="11">
                  <c:v>13.723372055454547</c:v>
                </c:pt>
                <c:pt idx="12">
                  <c:v>14.348372055454547</c:v>
                </c:pt>
                <c:pt idx="13">
                  <c:v>14.973372055454547</c:v>
                </c:pt>
                <c:pt idx="14">
                  <c:v>15.598372055454547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6.8553299513636299</c:v>
                </c:pt>
                <c:pt idx="1">
                  <c:v>7.3553299513636317</c:v>
                </c:pt>
                <c:pt idx="2">
                  <c:v>7.8553299513636317</c:v>
                </c:pt>
                <c:pt idx="3">
                  <c:v>8.3553299513636325</c:v>
                </c:pt>
                <c:pt idx="4">
                  <c:v>8.8553299513636325</c:v>
                </c:pt>
                <c:pt idx="5">
                  <c:v>9.3553299513636343</c:v>
                </c:pt>
                <c:pt idx="6">
                  <c:v>9.8553299513636343</c:v>
                </c:pt>
                <c:pt idx="7">
                  <c:v>10.355329951363634</c:v>
                </c:pt>
                <c:pt idx="8">
                  <c:v>10.855329951363634</c:v>
                </c:pt>
                <c:pt idx="9">
                  <c:v>11.355329951363634</c:v>
                </c:pt>
                <c:pt idx="10">
                  <c:v>11.855329951363636</c:v>
                </c:pt>
                <c:pt idx="11">
                  <c:v>12.355329951363636</c:v>
                </c:pt>
                <c:pt idx="12">
                  <c:v>12.855329951363638</c:v>
                </c:pt>
                <c:pt idx="13">
                  <c:v>13.355329951363638</c:v>
                </c:pt>
                <c:pt idx="14">
                  <c:v>13.855329951363638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0.67776472484848493</c:v>
                </c:pt>
                <c:pt idx="1">
                  <c:v>0.70043139151515155</c:v>
                </c:pt>
                <c:pt idx="2">
                  <c:v>0.72309805818181816</c:v>
                </c:pt>
                <c:pt idx="3">
                  <c:v>0.74576472484848488</c:v>
                </c:pt>
                <c:pt idx="4">
                  <c:v>0.7684313915151515</c:v>
                </c:pt>
                <c:pt idx="5">
                  <c:v>0.79109805818181822</c:v>
                </c:pt>
                <c:pt idx="6">
                  <c:v>0.81376472484848483</c:v>
                </c:pt>
                <c:pt idx="7">
                  <c:v>0.83643139151515156</c:v>
                </c:pt>
                <c:pt idx="8">
                  <c:v>0.85909805818181817</c:v>
                </c:pt>
                <c:pt idx="9">
                  <c:v>0.88176472484848489</c:v>
                </c:pt>
                <c:pt idx="10">
                  <c:v>0.90443139151515151</c:v>
                </c:pt>
                <c:pt idx="11">
                  <c:v>0.92709805818181823</c:v>
                </c:pt>
                <c:pt idx="12">
                  <c:v>0.94976472484848484</c:v>
                </c:pt>
                <c:pt idx="13">
                  <c:v>0.97243139151515157</c:v>
                </c:pt>
                <c:pt idx="14">
                  <c:v>0.99509805818181818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0.64935165526515159</c:v>
                </c:pt>
                <c:pt idx="1">
                  <c:v>0.66893498859848499</c:v>
                </c:pt>
                <c:pt idx="2">
                  <c:v>0.68851832193181828</c:v>
                </c:pt>
                <c:pt idx="3">
                  <c:v>0.70810165526515167</c:v>
                </c:pt>
                <c:pt idx="4">
                  <c:v>0.72768498859848496</c:v>
                </c:pt>
                <c:pt idx="5">
                  <c:v>0.74726832193181825</c:v>
                </c:pt>
                <c:pt idx="6">
                  <c:v>0.76685165526515164</c:v>
                </c:pt>
                <c:pt idx="7">
                  <c:v>0.78643498859848493</c:v>
                </c:pt>
                <c:pt idx="8">
                  <c:v>0.80601832193181833</c:v>
                </c:pt>
                <c:pt idx="9">
                  <c:v>0.82560165526515161</c:v>
                </c:pt>
                <c:pt idx="10">
                  <c:v>0.84518498859848501</c:v>
                </c:pt>
                <c:pt idx="11">
                  <c:v>0.8647683219318183</c:v>
                </c:pt>
                <c:pt idx="12">
                  <c:v>0.88435165526515158</c:v>
                </c:pt>
                <c:pt idx="13">
                  <c:v>0.90393498859848498</c:v>
                </c:pt>
                <c:pt idx="14">
                  <c:v>0.92351832193181826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4.4054565736764708</c:v>
                </c:pt>
                <c:pt idx="1">
                  <c:v>4.605456573676471</c:v>
                </c:pt>
                <c:pt idx="2">
                  <c:v>4.8054565736764712</c:v>
                </c:pt>
                <c:pt idx="3">
                  <c:v>5.0054565736764713</c:v>
                </c:pt>
                <c:pt idx="4">
                  <c:v>5.2054565736764706</c:v>
                </c:pt>
                <c:pt idx="5">
                  <c:v>5.4054565736764708</c:v>
                </c:pt>
                <c:pt idx="6">
                  <c:v>5.605456573676471</c:v>
                </c:pt>
                <c:pt idx="7">
                  <c:v>5.8054565736764712</c:v>
                </c:pt>
                <c:pt idx="8">
                  <c:v>6.0054565736764713</c:v>
                </c:pt>
                <c:pt idx="9">
                  <c:v>6.2054565736764715</c:v>
                </c:pt>
                <c:pt idx="10">
                  <c:v>6.4054565736764717</c:v>
                </c:pt>
                <c:pt idx="11">
                  <c:v>6.6054565736764719</c:v>
                </c:pt>
                <c:pt idx="12">
                  <c:v>6.8054565736764721</c:v>
                </c:pt>
                <c:pt idx="13">
                  <c:v>7.0054565736764713</c:v>
                </c:pt>
                <c:pt idx="14">
                  <c:v>7.2054565736764715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4.0746777000000005</c:v>
                </c:pt>
                <c:pt idx="1">
                  <c:v>4.1921777000000002</c:v>
                </c:pt>
                <c:pt idx="2">
                  <c:v>4.3096776999999999</c:v>
                </c:pt>
                <c:pt idx="3">
                  <c:v>4.4271777000000005</c:v>
                </c:pt>
                <c:pt idx="4">
                  <c:v>4.5446777000000003</c:v>
                </c:pt>
                <c:pt idx="5">
                  <c:v>4.6621777</c:v>
                </c:pt>
                <c:pt idx="6">
                  <c:v>4.7796777000000006</c:v>
                </c:pt>
                <c:pt idx="7">
                  <c:v>4.8971777000000003</c:v>
                </c:pt>
                <c:pt idx="8">
                  <c:v>5.0146777</c:v>
                </c:pt>
                <c:pt idx="9">
                  <c:v>5.1321776999999997</c:v>
                </c:pt>
                <c:pt idx="10">
                  <c:v>5.2496776999999994</c:v>
                </c:pt>
                <c:pt idx="11">
                  <c:v>5.3671777000000001</c:v>
                </c:pt>
                <c:pt idx="12">
                  <c:v>5.4846776999999998</c:v>
                </c:pt>
                <c:pt idx="13">
                  <c:v>5.6021776999999995</c:v>
                </c:pt>
                <c:pt idx="14">
                  <c:v>5.7196777000000001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9.4174901766666661</c:v>
                </c:pt>
                <c:pt idx="1">
                  <c:v>9.9841568433333325</c:v>
                </c:pt>
                <c:pt idx="2">
                  <c:v>10.550823509999999</c:v>
                </c:pt>
                <c:pt idx="3">
                  <c:v>11.117490176666667</c:v>
                </c:pt>
                <c:pt idx="4">
                  <c:v>11.684156843333334</c:v>
                </c:pt>
                <c:pt idx="5">
                  <c:v>12.25082351</c:v>
                </c:pt>
                <c:pt idx="6">
                  <c:v>12.817490176666666</c:v>
                </c:pt>
                <c:pt idx="7">
                  <c:v>13.384156843333333</c:v>
                </c:pt>
                <c:pt idx="8">
                  <c:v>13.950823509999999</c:v>
                </c:pt>
                <c:pt idx="9">
                  <c:v>14.517490176666666</c:v>
                </c:pt>
                <c:pt idx="10">
                  <c:v>15.084156843333334</c:v>
                </c:pt>
                <c:pt idx="11">
                  <c:v>15.65082351</c:v>
                </c:pt>
                <c:pt idx="12">
                  <c:v>16.217490176666665</c:v>
                </c:pt>
                <c:pt idx="13">
                  <c:v>16.784156843333331</c:v>
                </c:pt>
                <c:pt idx="14">
                  <c:v>17.350823510000001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8.3423630566666667</c:v>
                </c:pt>
                <c:pt idx="1">
                  <c:v>8.7340297233333324</c:v>
                </c:pt>
                <c:pt idx="2">
                  <c:v>9.1256963899999999</c:v>
                </c:pt>
                <c:pt idx="3">
                  <c:v>9.5173630566666656</c:v>
                </c:pt>
                <c:pt idx="4">
                  <c:v>9.9090297233333331</c:v>
                </c:pt>
                <c:pt idx="5">
                  <c:v>10.300696390000001</c:v>
                </c:pt>
                <c:pt idx="6">
                  <c:v>10.692363056666666</c:v>
                </c:pt>
                <c:pt idx="7">
                  <c:v>11.084029723333334</c:v>
                </c:pt>
                <c:pt idx="8">
                  <c:v>11.47569639</c:v>
                </c:pt>
                <c:pt idx="9">
                  <c:v>11.867363056666667</c:v>
                </c:pt>
                <c:pt idx="10">
                  <c:v>12.259029723333333</c:v>
                </c:pt>
                <c:pt idx="11">
                  <c:v>12.65069639</c:v>
                </c:pt>
                <c:pt idx="12">
                  <c:v>13.042363056666666</c:v>
                </c:pt>
                <c:pt idx="13">
                  <c:v>13.434029723333333</c:v>
                </c:pt>
                <c:pt idx="14">
                  <c:v>13.825696389999999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0.60357203859848463</c:v>
                </c:pt>
                <c:pt idx="1">
                  <c:v>0.62857203859848454</c:v>
                </c:pt>
                <c:pt idx="2">
                  <c:v>0.65357203859848456</c:v>
                </c:pt>
                <c:pt idx="3">
                  <c:v>0.67857203859848458</c:v>
                </c:pt>
                <c:pt idx="4">
                  <c:v>0.70357203859848472</c:v>
                </c:pt>
                <c:pt idx="5">
                  <c:v>0.72857203859848474</c:v>
                </c:pt>
                <c:pt idx="6">
                  <c:v>0.75357203859848487</c:v>
                </c:pt>
                <c:pt idx="7">
                  <c:v>0.77857203859848478</c:v>
                </c:pt>
                <c:pt idx="8">
                  <c:v>0.80357203859848492</c:v>
                </c:pt>
                <c:pt idx="9">
                  <c:v>0.82857203859848494</c:v>
                </c:pt>
                <c:pt idx="10">
                  <c:v>0.85357203859848518</c:v>
                </c:pt>
                <c:pt idx="11">
                  <c:v>0.87857203859848521</c:v>
                </c:pt>
                <c:pt idx="12">
                  <c:v>0.90357203859848523</c:v>
                </c:pt>
                <c:pt idx="13">
                  <c:v>0.92857203859848525</c:v>
                </c:pt>
                <c:pt idx="14">
                  <c:v>0.95357203859848516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0.60914631316515133</c:v>
                </c:pt>
                <c:pt idx="1">
                  <c:v>0.62614631316515135</c:v>
                </c:pt>
                <c:pt idx="2">
                  <c:v>0.64314631316515136</c:v>
                </c:pt>
                <c:pt idx="3">
                  <c:v>0.66014631316515127</c:v>
                </c:pt>
                <c:pt idx="4">
                  <c:v>0.67714631316515139</c:v>
                </c:pt>
                <c:pt idx="5">
                  <c:v>0.69414631316515141</c:v>
                </c:pt>
                <c:pt idx="6">
                  <c:v>0.71114631316515142</c:v>
                </c:pt>
                <c:pt idx="7">
                  <c:v>0.72814631316515144</c:v>
                </c:pt>
                <c:pt idx="8">
                  <c:v>0.74514631316515156</c:v>
                </c:pt>
                <c:pt idx="9">
                  <c:v>0.76214631316515169</c:v>
                </c:pt>
                <c:pt idx="10">
                  <c:v>0.7791463131651517</c:v>
                </c:pt>
                <c:pt idx="11">
                  <c:v>0.79614631316515172</c:v>
                </c:pt>
                <c:pt idx="12">
                  <c:v>0.81314631316515174</c:v>
                </c:pt>
                <c:pt idx="13">
                  <c:v>0.83014631316515175</c:v>
                </c:pt>
                <c:pt idx="14">
                  <c:v>0.84714631316515165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3.793964148542778</c:v>
                </c:pt>
                <c:pt idx="1">
                  <c:v>4.0145523838368957</c:v>
                </c:pt>
                <c:pt idx="2">
                  <c:v>4.2351406191310144</c:v>
                </c:pt>
                <c:pt idx="3">
                  <c:v>4.4557288544251321</c:v>
                </c:pt>
                <c:pt idx="4">
                  <c:v>4.6763170897192499</c:v>
                </c:pt>
                <c:pt idx="5">
                  <c:v>4.8969053250133676</c:v>
                </c:pt>
                <c:pt idx="6">
                  <c:v>5.1174935603074854</c:v>
                </c:pt>
                <c:pt idx="7">
                  <c:v>5.3380817956016031</c:v>
                </c:pt>
                <c:pt idx="8">
                  <c:v>5.5586700308957209</c:v>
                </c:pt>
                <c:pt idx="9">
                  <c:v>5.7792582661898386</c:v>
                </c:pt>
                <c:pt idx="10">
                  <c:v>5.9998465014839564</c:v>
                </c:pt>
                <c:pt idx="11">
                  <c:v>6.220434736778075</c:v>
                </c:pt>
                <c:pt idx="12">
                  <c:v>6.4410229720721928</c:v>
                </c:pt>
                <c:pt idx="13">
                  <c:v>6.6616112073663105</c:v>
                </c:pt>
                <c:pt idx="14">
                  <c:v>6.8821994426604283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3.7544878934090904</c:v>
                </c:pt>
                <c:pt idx="1">
                  <c:v>3.9044878934090912</c:v>
                </c:pt>
                <c:pt idx="2">
                  <c:v>4.0544878934090915</c:v>
                </c:pt>
                <c:pt idx="3">
                  <c:v>4.204487893409091</c:v>
                </c:pt>
                <c:pt idx="4">
                  <c:v>4.3544878934090914</c:v>
                </c:pt>
                <c:pt idx="5">
                  <c:v>4.5044878934090917</c:v>
                </c:pt>
                <c:pt idx="6">
                  <c:v>4.6544878934090921</c:v>
                </c:pt>
                <c:pt idx="7">
                  <c:v>4.8044878934090915</c:v>
                </c:pt>
                <c:pt idx="8">
                  <c:v>4.9544878934090919</c:v>
                </c:pt>
                <c:pt idx="9">
                  <c:v>5.1044878934090914</c:v>
                </c:pt>
                <c:pt idx="10">
                  <c:v>5.2544878934090926</c:v>
                </c:pt>
                <c:pt idx="11">
                  <c:v>5.4044878934090921</c:v>
                </c:pt>
                <c:pt idx="12">
                  <c:v>5.5544878934090933</c:v>
                </c:pt>
                <c:pt idx="13">
                  <c:v>5.7044878934090937</c:v>
                </c:pt>
                <c:pt idx="14">
                  <c:v>5.8544878934090931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356.62317446808493</c:v>
                </c:pt>
                <c:pt idx="1">
                  <c:v>369.38913191489343</c:v>
                </c:pt>
                <c:pt idx="2">
                  <c:v>382.15508936170187</c:v>
                </c:pt>
                <c:pt idx="3">
                  <c:v>394.92104680851048</c:v>
                </c:pt>
                <c:pt idx="4">
                  <c:v>407.68700425531898</c:v>
                </c:pt>
                <c:pt idx="5">
                  <c:v>420.45296170212754</c:v>
                </c:pt>
                <c:pt idx="6">
                  <c:v>433.2189191489361</c:v>
                </c:pt>
                <c:pt idx="7">
                  <c:v>445.98487659574459</c:v>
                </c:pt>
                <c:pt idx="8">
                  <c:v>458.75083404255321</c:v>
                </c:pt>
                <c:pt idx="9">
                  <c:v>471.51679148936171</c:v>
                </c:pt>
                <c:pt idx="10">
                  <c:v>484.28274893617026</c:v>
                </c:pt>
                <c:pt idx="11">
                  <c:v>497.04870638297876</c:v>
                </c:pt>
                <c:pt idx="12">
                  <c:v>509.81466382978726</c:v>
                </c:pt>
                <c:pt idx="13">
                  <c:v>522.58062127659605</c:v>
                </c:pt>
                <c:pt idx="14">
                  <c:v>535.34657872340449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349.72717131617634</c:v>
                </c:pt>
                <c:pt idx="1">
                  <c:v>357.2271713161764</c:v>
                </c:pt>
                <c:pt idx="2">
                  <c:v>364.72717131617634</c:v>
                </c:pt>
                <c:pt idx="3">
                  <c:v>372.22717131617634</c:v>
                </c:pt>
                <c:pt idx="4">
                  <c:v>379.7271713161764</c:v>
                </c:pt>
                <c:pt idx="5">
                  <c:v>387.2271713161764</c:v>
                </c:pt>
                <c:pt idx="6">
                  <c:v>394.7271713161764</c:v>
                </c:pt>
                <c:pt idx="7">
                  <c:v>402.2271713161764</c:v>
                </c:pt>
                <c:pt idx="8">
                  <c:v>409.7271713161764</c:v>
                </c:pt>
                <c:pt idx="9">
                  <c:v>417.22717131617651</c:v>
                </c:pt>
                <c:pt idx="10">
                  <c:v>424.72717131617651</c:v>
                </c:pt>
                <c:pt idx="11">
                  <c:v>432.22717131617657</c:v>
                </c:pt>
                <c:pt idx="12">
                  <c:v>439.72717131617657</c:v>
                </c:pt>
                <c:pt idx="13">
                  <c:v>447.22717131617657</c:v>
                </c:pt>
                <c:pt idx="14">
                  <c:v>454.72717131617657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7.426770723333326</c:v>
                </c:pt>
                <c:pt idx="1">
                  <c:v>7.9267707233333242</c:v>
                </c:pt>
                <c:pt idx="2">
                  <c:v>8.4267707233333251</c:v>
                </c:pt>
                <c:pt idx="3">
                  <c:v>8.9267707233333269</c:v>
                </c:pt>
                <c:pt idx="4">
                  <c:v>9.4267707233333287</c:v>
                </c:pt>
                <c:pt idx="5">
                  <c:v>9.9267707233333287</c:v>
                </c:pt>
                <c:pt idx="6">
                  <c:v>10.42677072333333</c:v>
                </c:pt>
                <c:pt idx="7">
                  <c:v>10.92677072333333</c:v>
                </c:pt>
                <c:pt idx="8">
                  <c:v>11.426770723333332</c:v>
                </c:pt>
                <c:pt idx="9">
                  <c:v>11.926770723333332</c:v>
                </c:pt>
                <c:pt idx="10">
                  <c:v>12.426770723333336</c:v>
                </c:pt>
                <c:pt idx="11">
                  <c:v>12.926770723333336</c:v>
                </c:pt>
                <c:pt idx="12">
                  <c:v>13.426770723333336</c:v>
                </c:pt>
                <c:pt idx="13">
                  <c:v>13.926770723333339</c:v>
                </c:pt>
                <c:pt idx="14">
                  <c:v>14.426770723333339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7.7020298845833262</c:v>
                </c:pt>
                <c:pt idx="1">
                  <c:v>8.127029884583326</c:v>
                </c:pt>
                <c:pt idx="2">
                  <c:v>8.5520298845833267</c:v>
                </c:pt>
                <c:pt idx="3">
                  <c:v>8.9770298845833256</c:v>
                </c:pt>
                <c:pt idx="4">
                  <c:v>9.4020298845833281</c:v>
                </c:pt>
                <c:pt idx="5">
                  <c:v>9.8270298845833288</c:v>
                </c:pt>
                <c:pt idx="6">
                  <c:v>10.25202988458333</c:v>
                </c:pt>
                <c:pt idx="7">
                  <c:v>10.67702988458333</c:v>
                </c:pt>
                <c:pt idx="8">
                  <c:v>11.102029884583333</c:v>
                </c:pt>
                <c:pt idx="9">
                  <c:v>11.527029884583333</c:v>
                </c:pt>
                <c:pt idx="10">
                  <c:v>11.952029884583334</c:v>
                </c:pt>
                <c:pt idx="11">
                  <c:v>12.377029884583335</c:v>
                </c:pt>
                <c:pt idx="12">
                  <c:v>12.802029884583336</c:v>
                </c:pt>
                <c:pt idx="13">
                  <c:v>13.227029884583338</c:v>
                </c:pt>
                <c:pt idx="14">
                  <c:v>13.652029884583337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0.64723350243181854</c:v>
                </c:pt>
                <c:pt idx="1">
                  <c:v>0.66473350243181839</c:v>
                </c:pt>
                <c:pt idx="2">
                  <c:v>0.68223350243181846</c:v>
                </c:pt>
                <c:pt idx="3">
                  <c:v>0.69973350243181842</c:v>
                </c:pt>
                <c:pt idx="4">
                  <c:v>0.71723350243181838</c:v>
                </c:pt>
                <c:pt idx="5">
                  <c:v>0.73473350243181834</c:v>
                </c:pt>
                <c:pt idx="6">
                  <c:v>0.7522335024318183</c:v>
                </c:pt>
                <c:pt idx="7">
                  <c:v>0.76973350243181826</c:v>
                </c:pt>
                <c:pt idx="8">
                  <c:v>0.78723350243181833</c:v>
                </c:pt>
                <c:pt idx="9">
                  <c:v>0.80473350243181829</c:v>
                </c:pt>
                <c:pt idx="10">
                  <c:v>0.82223350243181825</c:v>
                </c:pt>
                <c:pt idx="11">
                  <c:v>0.83973350243181821</c:v>
                </c:pt>
                <c:pt idx="12">
                  <c:v>0.85723350243181817</c:v>
                </c:pt>
                <c:pt idx="13">
                  <c:v>0.87473350243181813</c:v>
                </c:pt>
                <c:pt idx="14">
                  <c:v>0.89223350243181809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0.6330651177818184</c:v>
                </c:pt>
                <c:pt idx="1">
                  <c:v>0.6470651177818183</c:v>
                </c:pt>
                <c:pt idx="2">
                  <c:v>0.66106511778181831</c:v>
                </c:pt>
                <c:pt idx="3">
                  <c:v>0.67506511778181832</c:v>
                </c:pt>
                <c:pt idx="4">
                  <c:v>0.68906511778181845</c:v>
                </c:pt>
                <c:pt idx="5">
                  <c:v>0.70306511778181824</c:v>
                </c:pt>
                <c:pt idx="6">
                  <c:v>0.71706511778181825</c:v>
                </c:pt>
                <c:pt idx="7">
                  <c:v>0.73106511778181826</c:v>
                </c:pt>
                <c:pt idx="8">
                  <c:v>0.74506511778181828</c:v>
                </c:pt>
                <c:pt idx="9">
                  <c:v>0.75906511778181829</c:v>
                </c:pt>
                <c:pt idx="10">
                  <c:v>0.77306511778181808</c:v>
                </c:pt>
                <c:pt idx="11">
                  <c:v>0.78706511778181809</c:v>
                </c:pt>
                <c:pt idx="12">
                  <c:v>0.8010651177818181</c:v>
                </c:pt>
                <c:pt idx="13">
                  <c:v>0.81506511778181812</c:v>
                </c:pt>
                <c:pt idx="14">
                  <c:v>0.82906511778181813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378.91839004255331</c:v>
                </c:pt>
                <c:pt idx="1">
                  <c:v>387.8545602553192</c:v>
                </c:pt>
                <c:pt idx="2">
                  <c:v>396.79073046808514</c:v>
                </c:pt>
                <c:pt idx="3">
                  <c:v>405.72690068085109</c:v>
                </c:pt>
                <c:pt idx="4">
                  <c:v>414.66307089361709</c:v>
                </c:pt>
                <c:pt idx="5">
                  <c:v>423.59924110638298</c:v>
                </c:pt>
                <c:pt idx="6">
                  <c:v>432.53541131914898</c:v>
                </c:pt>
                <c:pt idx="7">
                  <c:v>441.47158153191492</c:v>
                </c:pt>
                <c:pt idx="8">
                  <c:v>450.40775174468087</c:v>
                </c:pt>
                <c:pt idx="9">
                  <c:v>459.34392195744681</c:v>
                </c:pt>
                <c:pt idx="10">
                  <c:v>468.28009217021275</c:v>
                </c:pt>
                <c:pt idx="11">
                  <c:v>477.2162623829787</c:v>
                </c:pt>
                <c:pt idx="12">
                  <c:v>486.1524325957447</c:v>
                </c:pt>
                <c:pt idx="13">
                  <c:v>495.08860280851064</c:v>
                </c:pt>
                <c:pt idx="14">
                  <c:v>504.02477302127659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360.27958511764706</c:v>
                </c:pt>
                <c:pt idx="1">
                  <c:v>366.45605570588242</c:v>
                </c:pt>
                <c:pt idx="2">
                  <c:v>372.63252629411767</c:v>
                </c:pt>
                <c:pt idx="3">
                  <c:v>378.80899688235297</c:v>
                </c:pt>
                <c:pt idx="4">
                  <c:v>384.98546747058828</c:v>
                </c:pt>
                <c:pt idx="5">
                  <c:v>391.16193805882347</c:v>
                </c:pt>
                <c:pt idx="6">
                  <c:v>397.33840864705877</c:v>
                </c:pt>
                <c:pt idx="7">
                  <c:v>403.51487923529413</c:v>
                </c:pt>
                <c:pt idx="8">
                  <c:v>409.69134982352938</c:v>
                </c:pt>
                <c:pt idx="9">
                  <c:v>415.86782041176468</c:v>
                </c:pt>
                <c:pt idx="10">
                  <c:v>422.04429099999999</c:v>
                </c:pt>
                <c:pt idx="11">
                  <c:v>428.22076158823523</c:v>
                </c:pt>
                <c:pt idx="12">
                  <c:v>434.3972321764706</c:v>
                </c:pt>
                <c:pt idx="13">
                  <c:v>440.57370276470584</c:v>
                </c:pt>
                <c:pt idx="14">
                  <c:v>446.75017335294115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4.0619687830000011</c:v>
                </c:pt>
                <c:pt idx="1">
                  <c:v>4.1669687830000006</c:v>
                </c:pt>
                <c:pt idx="2">
                  <c:v>4.271968783000001</c:v>
                </c:pt>
                <c:pt idx="3">
                  <c:v>4.3769687830000006</c:v>
                </c:pt>
                <c:pt idx="4">
                  <c:v>4.481968783000001</c:v>
                </c:pt>
                <c:pt idx="5">
                  <c:v>4.5869687830000005</c:v>
                </c:pt>
                <c:pt idx="6">
                  <c:v>4.6919687830000001</c:v>
                </c:pt>
                <c:pt idx="7">
                  <c:v>4.7969687830000005</c:v>
                </c:pt>
                <c:pt idx="8">
                  <c:v>4.9019687830000001</c:v>
                </c:pt>
                <c:pt idx="9">
                  <c:v>5.0069687830000005</c:v>
                </c:pt>
                <c:pt idx="10">
                  <c:v>5.111968783</c:v>
                </c:pt>
                <c:pt idx="11">
                  <c:v>5.2169687829999996</c:v>
                </c:pt>
                <c:pt idx="12">
                  <c:v>5.321968783</c:v>
                </c:pt>
                <c:pt idx="13">
                  <c:v>5.4269687829999995</c:v>
                </c:pt>
                <c:pt idx="14">
                  <c:v>5.5319687829999999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8.3000000000000025</c:v>
                </c:pt>
                <c:pt idx="1">
                  <c:v>8.6500000000000021</c:v>
                </c:pt>
                <c:pt idx="2">
                  <c:v>9.0000000000000018</c:v>
                </c:pt>
                <c:pt idx="3">
                  <c:v>9.3500000000000014</c:v>
                </c:pt>
                <c:pt idx="4">
                  <c:v>9.7000000000000011</c:v>
                </c:pt>
                <c:pt idx="5">
                  <c:v>10.050000000000001</c:v>
                </c:pt>
                <c:pt idx="6">
                  <c:v>10.4</c:v>
                </c:pt>
                <c:pt idx="7">
                  <c:v>10.75</c:v>
                </c:pt>
                <c:pt idx="8">
                  <c:v>11.1</c:v>
                </c:pt>
                <c:pt idx="9">
                  <c:v>11.45</c:v>
                </c:pt>
                <c:pt idx="10">
                  <c:v>11.799999999999999</c:v>
                </c:pt>
                <c:pt idx="11">
                  <c:v>12.149999999999999</c:v>
                </c:pt>
                <c:pt idx="12">
                  <c:v>12.499999999999998</c:v>
                </c:pt>
                <c:pt idx="13">
                  <c:v>12.849999999999998</c:v>
                </c:pt>
                <c:pt idx="14">
                  <c:v>13.199999999999998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4.0110482760294133</c:v>
                </c:pt>
                <c:pt idx="1">
                  <c:v>4.1345776877941187</c:v>
                </c:pt>
                <c:pt idx="2">
                  <c:v>4.258107099558825</c:v>
                </c:pt>
                <c:pt idx="3">
                  <c:v>4.3816365113235305</c:v>
                </c:pt>
                <c:pt idx="4">
                  <c:v>4.5051659230882368</c:v>
                </c:pt>
                <c:pt idx="5">
                  <c:v>4.6286953348529414</c:v>
                </c:pt>
                <c:pt idx="6">
                  <c:v>4.7522247466176477</c:v>
                </c:pt>
                <c:pt idx="7">
                  <c:v>4.8757541583823532</c:v>
                </c:pt>
                <c:pt idx="8">
                  <c:v>4.9992835701470595</c:v>
                </c:pt>
                <c:pt idx="9">
                  <c:v>5.1228129819117649</c:v>
                </c:pt>
                <c:pt idx="10">
                  <c:v>5.2463423936764704</c:v>
                </c:pt>
                <c:pt idx="11">
                  <c:v>5.3698718054411767</c:v>
                </c:pt>
                <c:pt idx="12">
                  <c:v>5.4934012172058821</c:v>
                </c:pt>
                <c:pt idx="13">
                  <c:v>5.6169306289705885</c:v>
                </c:pt>
                <c:pt idx="14">
                  <c:v>5.7404600407352939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7.7020533054545393</c:v>
                </c:pt>
                <c:pt idx="1">
                  <c:v>8.3270533054545393</c:v>
                </c:pt>
                <c:pt idx="2">
                  <c:v>8.952053305454541</c:v>
                </c:pt>
                <c:pt idx="3">
                  <c:v>9.577053305454541</c:v>
                </c:pt>
                <c:pt idx="4">
                  <c:v>10.202053305454541</c:v>
                </c:pt>
                <c:pt idx="5">
                  <c:v>10.827053305454543</c:v>
                </c:pt>
                <c:pt idx="6">
                  <c:v>11.452053305454543</c:v>
                </c:pt>
                <c:pt idx="7">
                  <c:v>12.077053305454543</c:v>
                </c:pt>
                <c:pt idx="8">
                  <c:v>12.702053305454543</c:v>
                </c:pt>
                <c:pt idx="9">
                  <c:v>13.327053305454543</c:v>
                </c:pt>
                <c:pt idx="10">
                  <c:v>13.952053305454543</c:v>
                </c:pt>
                <c:pt idx="11">
                  <c:v>14.577053305454546</c:v>
                </c:pt>
                <c:pt idx="12">
                  <c:v>15.202053305454546</c:v>
                </c:pt>
                <c:pt idx="13">
                  <c:v>15.827053305454546</c:v>
                </c:pt>
                <c:pt idx="14">
                  <c:v>16.452053305454548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0.57499999999999984</c:v>
                </c:pt>
                <c:pt idx="1">
                  <c:v>0.59999999999999987</c:v>
                </c:pt>
                <c:pt idx="2">
                  <c:v>0.62499999999999989</c:v>
                </c:pt>
                <c:pt idx="3">
                  <c:v>0.64999999999999991</c:v>
                </c:pt>
                <c:pt idx="4">
                  <c:v>0.67499999999999993</c:v>
                </c:pt>
                <c:pt idx="5">
                  <c:v>0.7</c:v>
                </c:pt>
                <c:pt idx="6">
                  <c:v>0.72499999999999998</c:v>
                </c:pt>
                <c:pt idx="7">
                  <c:v>0.75</c:v>
                </c:pt>
                <c:pt idx="8">
                  <c:v>0.77500000000000002</c:v>
                </c:pt>
                <c:pt idx="9">
                  <c:v>0.8</c:v>
                </c:pt>
                <c:pt idx="10">
                  <c:v>0.82500000000000007</c:v>
                </c:pt>
                <c:pt idx="11">
                  <c:v>0.85000000000000009</c:v>
                </c:pt>
                <c:pt idx="12">
                  <c:v>0.87500000000000011</c:v>
                </c:pt>
                <c:pt idx="13">
                  <c:v>0.90000000000000013</c:v>
                </c:pt>
                <c:pt idx="14">
                  <c:v>0.92500000000000016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7.2767762013636332</c:v>
                </c:pt>
                <c:pt idx="1">
                  <c:v>7.776776201363635</c:v>
                </c:pt>
                <c:pt idx="2">
                  <c:v>8.276776201363635</c:v>
                </c:pt>
                <c:pt idx="3">
                  <c:v>8.776776201363635</c:v>
                </c:pt>
                <c:pt idx="4">
                  <c:v>9.276776201363635</c:v>
                </c:pt>
                <c:pt idx="5">
                  <c:v>9.7767762013636386</c:v>
                </c:pt>
                <c:pt idx="6">
                  <c:v>10.276776201363639</c:v>
                </c:pt>
                <c:pt idx="7">
                  <c:v>10.776776201363639</c:v>
                </c:pt>
                <c:pt idx="8">
                  <c:v>11.276776201363639</c:v>
                </c:pt>
                <c:pt idx="9">
                  <c:v>11.776776201363639</c:v>
                </c:pt>
                <c:pt idx="10">
                  <c:v>12.276776201363639</c:v>
                </c:pt>
                <c:pt idx="11">
                  <c:v>12.776776201363639</c:v>
                </c:pt>
                <c:pt idx="12">
                  <c:v>13.276776201363642</c:v>
                </c:pt>
                <c:pt idx="13">
                  <c:v>13.776776201363642</c:v>
                </c:pt>
                <c:pt idx="14">
                  <c:v>14.276776201363642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0.63502757484848493</c:v>
                </c:pt>
                <c:pt idx="1">
                  <c:v>0.65769424151515155</c:v>
                </c:pt>
                <c:pt idx="2">
                  <c:v>0.68036090818181827</c:v>
                </c:pt>
                <c:pt idx="3">
                  <c:v>0.70302757484848488</c:v>
                </c:pt>
                <c:pt idx="4">
                  <c:v>0.72569424151515161</c:v>
                </c:pt>
                <c:pt idx="5">
                  <c:v>0.74836090818181822</c:v>
                </c:pt>
                <c:pt idx="6">
                  <c:v>0.77102757484848494</c:v>
                </c:pt>
                <c:pt idx="7">
                  <c:v>0.79369424151515156</c:v>
                </c:pt>
                <c:pt idx="8">
                  <c:v>0.81636090818181828</c:v>
                </c:pt>
                <c:pt idx="9">
                  <c:v>0.83902757484848489</c:v>
                </c:pt>
                <c:pt idx="10">
                  <c:v>0.86169424151515162</c:v>
                </c:pt>
                <c:pt idx="11">
                  <c:v>0.88436090818181823</c:v>
                </c:pt>
                <c:pt idx="12">
                  <c:v>0.90702757484848495</c:v>
                </c:pt>
                <c:pt idx="13">
                  <c:v>0.92969424151515156</c:v>
                </c:pt>
                <c:pt idx="14">
                  <c:v>0.95236090818181829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0.61880065526515149</c:v>
                </c:pt>
                <c:pt idx="1">
                  <c:v>0.63838398859848489</c:v>
                </c:pt>
                <c:pt idx="2">
                  <c:v>0.65796732193181817</c:v>
                </c:pt>
                <c:pt idx="3">
                  <c:v>0.67755065526515157</c:v>
                </c:pt>
                <c:pt idx="4">
                  <c:v>0.69713398859848486</c:v>
                </c:pt>
                <c:pt idx="5">
                  <c:v>0.71671732193181825</c:v>
                </c:pt>
                <c:pt idx="6">
                  <c:v>0.73630065526515154</c:v>
                </c:pt>
                <c:pt idx="7">
                  <c:v>0.75588398859848482</c:v>
                </c:pt>
                <c:pt idx="8">
                  <c:v>0.77546732193181822</c:v>
                </c:pt>
                <c:pt idx="9">
                  <c:v>0.79505065526515151</c:v>
                </c:pt>
                <c:pt idx="10">
                  <c:v>0.8146339885984849</c:v>
                </c:pt>
                <c:pt idx="11">
                  <c:v>0.83421732193181819</c:v>
                </c:pt>
                <c:pt idx="12">
                  <c:v>0.85380065526515148</c:v>
                </c:pt>
                <c:pt idx="13">
                  <c:v>0.87338398859848476</c:v>
                </c:pt>
                <c:pt idx="14">
                  <c:v>0.89296732193181816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4.3236192207352939</c:v>
                </c:pt>
                <c:pt idx="1">
                  <c:v>4.5236192207352932</c:v>
                </c:pt>
                <c:pt idx="2">
                  <c:v>4.7236192207352934</c:v>
                </c:pt>
                <c:pt idx="3">
                  <c:v>4.9236192207352936</c:v>
                </c:pt>
                <c:pt idx="4">
                  <c:v>5.1236192207352937</c:v>
                </c:pt>
                <c:pt idx="5">
                  <c:v>5.3236192207352939</c:v>
                </c:pt>
                <c:pt idx="6">
                  <c:v>5.5236192207352932</c:v>
                </c:pt>
                <c:pt idx="7">
                  <c:v>5.7236192207352934</c:v>
                </c:pt>
                <c:pt idx="8">
                  <c:v>5.9236192207352936</c:v>
                </c:pt>
                <c:pt idx="9">
                  <c:v>6.1236192207352937</c:v>
                </c:pt>
                <c:pt idx="10">
                  <c:v>6.3236192207352939</c:v>
                </c:pt>
                <c:pt idx="11">
                  <c:v>6.5236192207352932</c:v>
                </c:pt>
                <c:pt idx="12">
                  <c:v>6.7236192207352934</c:v>
                </c:pt>
                <c:pt idx="13">
                  <c:v>6.9236192207352936</c:v>
                </c:pt>
                <c:pt idx="14">
                  <c:v>7.1236192207352937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4.0172918250000009</c:v>
                </c:pt>
                <c:pt idx="1">
                  <c:v>4.1347918250000006</c:v>
                </c:pt>
                <c:pt idx="2">
                  <c:v>4.2522918250000012</c:v>
                </c:pt>
                <c:pt idx="3">
                  <c:v>4.369791825000001</c:v>
                </c:pt>
                <c:pt idx="4">
                  <c:v>4.4872918250000007</c:v>
                </c:pt>
                <c:pt idx="5">
                  <c:v>4.6047918250000013</c:v>
                </c:pt>
                <c:pt idx="6">
                  <c:v>4.722291825000001</c:v>
                </c:pt>
                <c:pt idx="7">
                  <c:v>4.8397918250000007</c:v>
                </c:pt>
                <c:pt idx="8">
                  <c:v>4.9572918250000013</c:v>
                </c:pt>
                <c:pt idx="9">
                  <c:v>5.074791825000001</c:v>
                </c:pt>
                <c:pt idx="10">
                  <c:v>5.1922918250000007</c:v>
                </c:pt>
                <c:pt idx="11">
                  <c:v>5.3097918250000014</c:v>
                </c:pt>
                <c:pt idx="12">
                  <c:v>5.4272918250000011</c:v>
                </c:pt>
                <c:pt idx="13">
                  <c:v>5.5447918250000008</c:v>
                </c:pt>
                <c:pt idx="14">
                  <c:v>5.6622918250000005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9.2027426766666665</c:v>
                </c:pt>
                <c:pt idx="1">
                  <c:v>9.7694093433333329</c:v>
                </c:pt>
                <c:pt idx="2">
                  <c:v>10.336076009999999</c:v>
                </c:pt>
                <c:pt idx="3">
                  <c:v>10.902742676666666</c:v>
                </c:pt>
                <c:pt idx="4">
                  <c:v>11.469409343333332</c:v>
                </c:pt>
                <c:pt idx="5">
                  <c:v>12.036076009999999</c:v>
                </c:pt>
                <c:pt idx="6">
                  <c:v>12.602742676666667</c:v>
                </c:pt>
                <c:pt idx="7">
                  <c:v>13.169409343333333</c:v>
                </c:pt>
                <c:pt idx="8">
                  <c:v>13.73607601</c:v>
                </c:pt>
                <c:pt idx="9">
                  <c:v>14.302742676666666</c:v>
                </c:pt>
                <c:pt idx="10">
                  <c:v>14.869409343333333</c:v>
                </c:pt>
                <c:pt idx="11">
                  <c:v>15.436076009999999</c:v>
                </c:pt>
                <c:pt idx="12">
                  <c:v>16.002742676666667</c:v>
                </c:pt>
                <c:pt idx="13">
                  <c:v>16.569409343333334</c:v>
                </c:pt>
                <c:pt idx="14">
                  <c:v>17.13607601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8.1527893066666675</c:v>
                </c:pt>
                <c:pt idx="1">
                  <c:v>8.5444559733333332</c:v>
                </c:pt>
                <c:pt idx="2">
                  <c:v>8.9361226400000007</c:v>
                </c:pt>
                <c:pt idx="3">
                  <c:v>9.3277893066666664</c:v>
                </c:pt>
                <c:pt idx="4">
                  <c:v>9.7194559733333339</c:v>
                </c:pt>
                <c:pt idx="5">
                  <c:v>10.11112264</c:v>
                </c:pt>
                <c:pt idx="6">
                  <c:v>10.502789306666667</c:v>
                </c:pt>
                <c:pt idx="7">
                  <c:v>10.894455973333333</c:v>
                </c:pt>
                <c:pt idx="8">
                  <c:v>11.28612264</c:v>
                </c:pt>
                <c:pt idx="9">
                  <c:v>11.677789306666666</c:v>
                </c:pt>
                <c:pt idx="10">
                  <c:v>12.069455973333334</c:v>
                </c:pt>
                <c:pt idx="11">
                  <c:v>12.461122640000001</c:v>
                </c:pt>
                <c:pt idx="12">
                  <c:v>12.852789306666667</c:v>
                </c:pt>
                <c:pt idx="13">
                  <c:v>13.244455973333334</c:v>
                </c:pt>
                <c:pt idx="14">
                  <c:v>13.63612264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0.58258535109848442</c:v>
                </c:pt>
                <c:pt idx="1">
                  <c:v>0.60758535109848433</c:v>
                </c:pt>
                <c:pt idx="2">
                  <c:v>0.63258535109848435</c:v>
                </c:pt>
                <c:pt idx="3">
                  <c:v>0.65758535109848448</c:v>
                </c:pt>
                <c:pt idx="4">
                  <c:v>0.68258535109848451</c:v>
                </c:pt>
                <c:pt idx="5">
                  <c:v>0.70758535109848453</c:v>
                </c:pt>
                <c:pt idx="6">
                  <c:v>0.73258535109848466</c:v>
                </c:pt>
                <c:pt idx="7">
                  <c:v>0.75758535109848457</c:v>
                </c:pt>
                <c:pt idx="8">
                  <c:v>0.78258535109848471</c:v>
                </c:pt>
                <c:pt idx="9">
                  <c:v>0.80758535109848473</c:v>
                </c:pt>
                <c:pt idx="10">
                  <c:v>0.83258535109848486</c:v>
                </c:pt>
                <c:pt idx="11">
                  <c:v>0.85758535109848477</c:v>
                </c:pt>
                <c:pt idx="12">
                  <c:v>0.88258535109848479</c:v>
                </c:pt>
                <c:pt idx="13">
                  <c:v>0.90758535109848515</c:v>
                </c:pt>
                <c:pt idx="14">
                  <c:v>0.93258535109848517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0.57568406316515142</c:v>
                </c:pt>
                <c:pt idx="1">
                  <c:v>0.59268406316515143</c:v>
                </c:pt>
                <c:pt idx="2">
                  <c:v>0.60968406316515145</c:v>
                </c:pt>
                <c:pt idx="3">
                  <c:v>0.62668406316515146</c:v>
                </c:pt>
                <c:pt idx="4">
                  <c:v>0.64368406316515148</c:v>
                </c:pt>
                <c:pt idx="5">
                  <c:v>0.66068406316515149</c:v>
                </c:pt>
                <c:pt idx="6">
                  <c:v>0.67768406316515162</c:v>
                </c:pt>
                <c:pt idx="7">
                  <c:v>0.69468406316515152</c:v>
                </c:pt>
                <c:pt idx="8">
                  <c:v>0.71168406316515165</c:v>
                </c:pt>
                <c:pt idx="9">
                  <c:v>0.72868406316515177</c:v>
                </c:pt>
                <c:pt idx="10">
                  <c:v>0.74568406316515179</c:v>
                </c:pt>
                <c:pt idx="11">
                  <c:v>0.7626840631651518</c:v>
                </c:pt>
                <c:pt idx="12">
                  <c:v>0.77968406316515182</c:v>
                </c:pt>
                <c:pt idx="13">
                  <c:v>0.79668406316515183</c:v>
                </c:pt>
                <c:pt idx="14">
                  <c:v>0.81368406316515185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361.50707872340405</c:v>
                </c:pt>
                <c:pt idx="1">
                  <c:v>374.27303617021249</c:v>
                </c:pt>
                <c:pt idx="2">
                  <c:v>387.03899361702099</c:v>
                </c:pt>
                <c:pt idx="3">
                  <c:v>399.80495106382955</c:v>
                </c:pt>
                <c:pt idx="4">
                  <c:v>412.57090851063811</c:v>
                </c:pt>
                <c:pt idx="5">
                  <c:v>425.33686595744661</c:v>
                </c:pt>
                <c:pt idx="6">
                  <c:v>438.10282340425516</c:v>
                </c:pt>
                <c:pt idx="7">
                  <c:v>450.86878085106366</c:v>
                </c:pt>
                <c:pt idx="8">
                  <c:v>463.63473829787227</c:v>
                </c:pt>
                <c:pt idx="9">
                  <c:v>476.40069574468077</c:v>
                </c:pt>
                <c:pt idx="10">
                  <c:v>489.16665319148939</c:v>
                </c:pt>
                <c:pt idx="11">
                  <c:v>501.93261063829789</c:v>
                </c:pt>
                <c:pt idx="12">
                  <c:v>514.69856808510644</c:v>
                </c:pt>
                <c:pt idx="13">
                  <c:v>527.464525531915</c:v>
                </c:pt>
                <c:pt idx="14">
                  <c:v>540.23048297872356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353.81903896323524</c:v>
                </c:pt>
                <c:pt idx="1">
                  <c:v>361.31903896323524</c:v>
                </c:pt>
                <c:pt idx="2">
                  <c:v>368.81903896323524</c:v>
                </c:pt>
                <c:pt idx="3">
                  <c:v>376.31903896323524</c:v>
                </c:pt>
                <c:pt idx="4">
                  <c:v>383.81903896323524</c:v>
                </c:pt>
                <c:pt idx="5">
                  <c:v>391.3190389632353</c:v>
                </c:pt>
                <c:pt idx="6">
                  <c:v>398.8190389632353</c:v>
                </c:pt>
                <c:pt idx="7">
                  <c:v>406.31903896323524</c:v>
                </c:pt>
                <c:pt idx="8">
                  <c:v>413.8190389632353</c:v>
                </c:pt>
                <c:pt idx="9">
                  <c:v>421.31903896323541</c:v>
                </c:pt>
                <c:pt idx="10">
                  <c:v>428.81903896323536</c:v>
                </c:pt>
                <c:pt idx="11">
                  <c:v>436.31903896323536</c:v>
                </c:pt>
                <c:pt idx="12">
                  <c:v>443.81903896323536</c:v>
                </c:pt>
                <c:pt idx="13">
                  <c:v>451.31903896323541</c:v>
                </c:pt>
                <c:pt idx="14">
                  <c:v>458.81903896323541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7.428483223333326</c:v>
                </c:pt>
                <c:pt idx="1">
                  <c:v>7.9284832233333242</c:v>
                </c:pt>
                <c:pt idx="2">
                  <c:v>8.4284832233333233</c:v>
                </c:pt>
                <c:pt idx="3">
                  <c:v>8.9284832233333269</c:v>
                </c:pt>
                <c:pt idx="4">
                  <c:v>9.4284832233333269</c:v>
                </c:pt>
                <c:pt idx="5">
                  <c:v>9.9284832233333269</c:v>
                </c:pt>
                <c:pt idx="6">
                  <c:v>10.42848322333333</c:v>
                </c:pt>
                <c:pt idx="7">
                  <c:v>10.92848322333333</c:v>
                </c:pt>
                <c:pt idx="8">
                  <c:v>11.42848322333333</c:v>
                </c:pt>
                <c:pt idx="9">
                  <c:v>11.92848322333333</c:v>
                </c:pt>
                <c:pt idx="10">
                  <c:v>12.428483223333334</c:v>
                </c:pt>
                <c:pt idx="11">
                  <c:v>12.928483223333334</c:v>
                </c:pt>
                <c:pt idx="12">
                  <c:v>13.428483223333334</c:v>
                </c:pt>
                <c:pt idx="13">
                  <c:v>13.928483223333338</c:v>
                </c:pt>
                <c:pt idx="14">
                  <c:v>14.428483223333338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3.799999999999998</c:v>
                </c:pt>
                <c:pt idx="1">
                  <c:v>3.949999999999998</c:v>
                </c:pt>
                <c:pt idx="2">
                  <c:v>4.0999999999999979</c:v>
                </c:pt>
                <c:pt idx="3">
                  <c:v>4.2499999999999982</c:v>
                </c:pt>
                <c:pt idx="4">
                  <c:v>4.3999999999999986</c:v>
                </c:pt>
                <c:pt idx="5">
                  <c:v>4.5499999999999989</c:v>
                </c:pt>
                <c:pt idx="6">
                  <c:v>4.6999999999999993</c:v>
                </c:pt>
                <c:pt idx="7">
                  <c:v>4.8499999999999996</c:v>
                </c:pt>
                <c:pt idx="8">
                  <c:v>5</c:v>
                </c:pt>
                <c:pt idx="9">
                  <c:v>5.15</c:v>
                </c:pt>
                <c:pt idx="10">
                  <c:v>5.3000000000000007</c:v>
                </c:pt>
                <c:pt idx="11">
                  <c:v>5.4500000000000011</c:v>
                </c:pt>
                <c:pt idx="12">
                  <c:v>5.6000000000000014</c:v>
                </c:pt>
                <c:pt idx="13">
                  <c:v>5.7500000000000018</c:v>
                </c:pt>
                <c:pt idx="14">
                  <c:v>5.9000000000000021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7.7191548845833289</c:v>
                </c:pt>
                <c:pt idx="1">
                  <c:v>8.1441548845833278</c:v>
                </c:pt>
                <c:pt idx="2">
                  <c:v>8.5691548845833285</c:v>
                </c:pt>
                <c:pt idx="3">
                  <c:v>8.9941548845833292</c:v>
                </c:pt>
                <c:pt idx="4">
                  <c:v>9.4191548845833299</c:v>
                </c:pt>
                <c:pt idx="5">
                  <c:v>9.8441548845833307</c:v>
                </c:pt>
                <c:pt idx="6">
                  <c:v>10.269154884583333</c:v>
                </c:pt>
                <c:pt idx="7">
                  <c:v>10.694154884583332</c:v>
                </c:pt>
                <c:pt idx="8">
                  <c:v>11.119154884583335</c:v>
                </c:pt>
                <c:pt idx="9">
                  <c:v>11.544154884583337</c:v>
                </c:pt>
                <c:pt idx="10">
                  <c:v>11.969154884583336</c:v>
                </c:pt>
                <c:pt idx="11">
                  <c:v>12.394154884583338</c:v>
                </c:pt>
                <c:pt idx="12">
                  <c:v>12.819154884583337</c:v>
                </c:pt>
                <c:pt idx="13">
                  <c:v>13.24415488458334</c:v>
                </c:pt>
                <c:pt idx="14">
                  <c:v>13.669154884583341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 x14ac:dyDescent="0.15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 x14ac:dyDescent="0.15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 x14ac:dyDescent="0.15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 x14ac:dyDescent="0.15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0" t="s">
        <v>46</v>
      </c>
      <c r="C1" s="460"/>
      <c r="D1" s="460"/>
      <c r="E1" s="460"/>
      <c r="F1" s="460"/>
      <c r="G1" s="460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0.75</v>
      </c>
      <c r="C4" s="68">
        <f>Conventional!N8</f>
        <v>450</v>
      </c>
      <c r="D4" s="69">
        <f>Conventional!P8</f>
        <v>4.8499999999999996</v>
      </c>
      <c r="E4" s="69">
        <f>Conventional!R8</f>
        <v>10.75</v>
      </c>
      <c r="F4" s="69">
        <f>Conventional!T8</f>
        <v>4.5</v>
      </c>
      <c r="G4" s="69">
        <f>Conventional!X8</f>
        <v>5.6</v>
      </c>
    </row>
    <row r="5" spans="1:13" s="62" customFormat="1" ht="12" hidden="1" x14ac:dyDescent="0.15">
      <c r="A5" s="70" t="s">
        <v>44</v>
      </c>
      <c r="B5" s="71">
        <f t="shared" ref="B5:G5" si="0">B3*B4</f>
        <v>562.5</v>
      </c>
      <c r="C5" s="71">
        <f>C3*C4/2000</f>
        <v>765</v>
      </c>
      <c r="D5" s="71">
        <f t="shared" si="0"/>
        <v>412.24999999999994</v>
      </c>
      <c r="E5" s="71">
        <f t="shared" si="0"/>
        <v>322.5</v>
      </c>
      <c r="F5" s="71">
        <f t="shared" si="0"/>
        <v>292.5</v>
      </c>
      <c r="G5" s="71">
        <f t="shared" si="0"/>
        <v>308</v>
      </c>
    </row>
    <row r="6" spans="1:13" s="62" customFormat="1" ht="12" hidden="1" x14ac:dyDescent="0.15">
      <c r="A6" s="70" t="s">
        <v>43</v>
      </c>
      <c r="B6" s="73">
        <f>Conventional!L30</f>
        <v>423.30480613636371</v>
      </c>
      <c r="C6" s="73">
        <f>Conventional!N30</f>
        <v>593.03412500000002</v>
      </c>
      <c r="D6" s="73">
        <f>Conventional!P30</f>
        <v>314.54175876249997</v>
      </c>
      <c r="E6" s="73">
        <f>Conventional!R30</f>
        <v>223.1164053</v>
      </c>
      <c r="F6" s="73">
        <f>Conventional!T30</f>
        <v>217.66727757499999</v>
      </c>
      <c r="G6" s="73">
        <f>Conventional!X30</f>
        <v>190.59879211250001</v>
      </c>
    </row>
    <row r="7" spans="1:13" s="62" customFormat="1" ht="16" x14ac:dyDescent="0.2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51</v>
      </c>
      <c r="B10" s="457"/>
      <c r="C10" s="457"/>
      <c r="D10" s="457"/>
      <c r="E10" s="457"/>
      <c r="F10" s="457"/>
      <c r="H10" s="457" t="s">
        <v>52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3.3949999999999996</v>
      </c>
      <c r="B14" s="85">
        <f>$A$14*B$13-$D$6</f>
        <v>-98.11050876249999</v>
      </c>
      <c r="C14" s="85">
        <f>$A$14*C$13-$D$6</f>
        <v>-54.824258762499994</v>
      </c>
      <c r="D14" s="85">
        <f>$A$14*D$13-$D$6</f>
        <v>-25.966758762499978</v>
      </c>
      <c r="E14" s="85">
        <f>$A$14*E$13-$D$6</f>
        <v>2.8907412375000376</v>
      </c>
      <c r="F14" s="85">
        <f>$A$14*F$13-$D$6</f>
        <v>46.176991237499976</v>
      </c>
      <c r="H14" s="84">
        <f>Irrigated!H14</f>
        <v>0.52499999999999991</v>
      </c>
      <c r="I14" s="85">
        <f>$H$14*I$13-$B$6</f>
        <v>-127.99230613636377</v>
      </c>
      <c r="J14" s="85">
        <f>$H$14*J$13-$B$6</f>
        <v>-68.929806136363766</v>
      </c>
      <c r="K14" s="85">
        <f>$H$14*K$13-$B$6</f>
        <v>-29.554806136363766</v>
      </c>
      <c r="L14" s="85">
        <f>$H$14*L$13-$B$6</f>
        <v>9.8201938636362911</v>
      </c>
      <c r="M14" s="85">
        <f>$H$14*M$13-$B$6</f>
        <v>68.882693863636234</v>
      </c>
    </row>
    <row r="15" spans="1:13" x14ac:dyDescent="0.15">
      <c r="A15" s="86">
        <f>Irrigated!A15</f>
        <v>4.1224999999999996</v>
      </c>
      <c r="B15" s="87">
        <f>$A$15*B$13-$D$6</f>
        <v>-51.732383762499978</v>
      </c>
      <c r="C15" s="87">
        <f>$A$15*C$13-$D$6</f>
        <v>0.82949123750000808</v>
      </c>
      <c r="D15" s="87">
        <f>$A$15*D$13-$D$6</f>
        <v>35.870741237499999</v>
      </c>
      <c r="E15" s="87">
        <f>$A$15*E$13-$D$6</f>
        <v>70.911991237500047</v>
      </c>
      <c r="F15" s="87">
        <f>$A$15*F$13-$D$6</f>
        <v>123.47386623749998</v>
      </c>
      <c r="H15" s="86">
        <f>Irrigated!H15</f>
        <v>0.63749999999999996</v>
      </c>
      <c r="I15" s="87">
        <f>$H$15*I$13-$B$6</f>
        <v>-64.711056136363709</v>
      </c>
      <c r="J15" s="87">
        <f>$H$15*J$13-$B$6</f>
        <v>7.0076938636362343</v>
      </c>
      <c r="K15" s="87">
        <f>$H$15*K$13-$B$6</f>
        <v>54.820193863636234</v>
      </c>
      <c r="L15" s="87">
        <f>$H$15*L$13-$B$6</f>
        <v>102.63269386363629</v>
      </c>
      <c r="M15" s="87">
        <f>$H$15*M$13-$B$6</f>
        <v>174.35144386363629</v>
      </c>
    </row>
    <row r="16" spans="1:13" x14ac:dyDescent="0.15">
      <c r="A16" s="86">
        <f>Irrigated!A16</f>
        <v>4.8499999999999996</v>
      </c>
      <c r="B16" s="87">
        <f>$A$16*B$13-$D$6</f>
        <v>-5.3542587624999669</v>
      </c>
      <c r="C16" s="87">
        <f>$A$16*C$13-$D$6</f>
        <v>56.48324123750001</v>
      </c>
      <c r="D16" s="87">
        <f>$A$16*D$13-$D$6</f>
        <v>97.708241237499976</v>
      </c>
      <c r="E16" s="87">
        <f>$A$16*E$13-$D$6</f>
        <v>138.93324123750006</v>
      </c>
      <c r="F16" s="87">
        <f>$A$16*F$13-$D$6</f>
        <v>200.77074123750003</v>
      </c>
      <c r="H16" s="86">
        <f>Irrigated!H16</f>
        <v>0.75</v>
      </c>
      <c r="I16" s="87">
        <f>$H$16*I$13-$B$6</f>
        <v>-1.4298061363637089</v>
      </c>
      <c r="J16" s="87">
        <f>$H$16*J$13-$B$6</f>
        <v>82.945193863636291</v>
      </c>
      <c r="K16" s="87">
        <f>$H$16*K$13-$B$6</f>
        <v>139.19519386363629</v>
      </c>
      <c r="L16" s="87">
        <f>$H$16*L$13-$B$6</f>
        <v>195.4451938636364</v>
      </c>
      <c r="M16" s="87">
        <f>$H$16*M$13-$B$6</f>
        <v>279.82019386363629</v>
      </c>
    </row>
    <row r="17" spans="1:13" x14ac:dyDescent="0.15">
      <c r="A17" s="86">
        <f>Irrigated!A17</f>
        <v>5.5774999999999988</v>
      </c>
      <c r="B17" s="87">
        <f>$A$17*B$13-$D$6</f>
        <v>41.023866237499931</v>
      </c>
      <c r="C17" s="87">
        <f>$A$17*C$13-$D$6</f>
        <v>112.13699123749996</v>
      </c>
      <c r="D17" s="87">
        <f>$A$17*D$13-$D$6</f>
        <v>159.54574123749995</v>
      </c>
      <c r="E17" s="87">
        <f>$A$17*E$13-$D$6</f>
        <v>206.95449123749995</v>
      </c>
      <c r="F17" s="87">
        <f>$A$17*F$13-$D$6</f>
        <v>278.06761623749992</v>
      </c>
      <c r="H17" s="86">
        <f>Irrigated!H17</f>
        <v>0.86249999999999993</v>
      </c>
      <c r="I17" s="87">
        <f>$H$17*I$13-$B$6</f>
        <v>61.851443863636234</v>
      </c>
      <c r="J17" s="87">
        <f>$H$17*J$13-$B$6</f>
        <v>158.88269386363629</v>
      </c>
      <c r="K17" s="87">
        <f>$H$17*K$13-$B$6</f>
        <v>223.57019386363629</v>
      </c>
      <c r="L17" s="87">
        <f>$H$17*L$13-$B$6</f>
        <v>288.25769386363629</v>
      </c>
      <c r="M17" s="87">
        <f>$H$17*M$13-$B$6</f>
        <v>385.28894386363618</v>
      </c>
    </row>
    <row r="18" spans="1:13" x14ac:dyDescent="0.15">
      <c r="A18" s="88">
        <f>Irrigated!A18</f>
        <v>6.3049999999999997</v>
      </c>
      <c r="B18" s="89">
        <f>$A$18*B$13-$D$6</f>
        <v>87.401991237499999</v>
      </c>
      <c r="C18" s="89">
        <f>$A$18*C$13-$D$6</f>
        <v>167.79074123750001</v>
      </c>
      <c r="D18" s="89">
        <f>$A$18*D$13-$D$6</f>
        <v>221.38324123749999</v>
      </c>
      <c r="E18" s="89">
        <f>$A$18*E$13-$D$6</f>
        <v>274.97574123750007</v>
      </c>
      <c r="F18" s="89">
        <f>$A$18*F$13-$D$6</f>
        <v>355.36449123750003</v>
      </c>
      <c r="H18" s="88">
        <f>Irrigated!H18</f>
        <v>0.97500000000000009</v>
      </c>
      <c r="I18" s="89">
        <f>$H$18*I$13-$B$6</f>
        <v>125.13269386363629</v>
      </c>
      <c r="J18" s="89">
        <f>$H$18*J$13-$B$6</f>
        <v>234.8201938636364</v>
      </c>
      <c r="K18" s="89">
        <f>$H$18*K$13-$B$6</f>
        <v>307.9451938636364</v>
      </c>
      <c r="L18" s="89">
        <f>$H$18*L$13-$B$6</f>
        <v>381.07019386363652</v>
      </c>
      <c r="M18" s="89">
        <f>$H$18*M$13-$B$6</f>
        <v>490.7576938636364</v>
      </c>
    </row>
    <row r="20" spans="1:13" x14ac:dyDescent="0.15">
      <c r="A20" s="457" t="s">
        <v>54</v>
      </c>
      <c r="B20" s="457"/>
      <c r="C20" s="457"/>
      <c r="D20" s="457"/>
      <c r="E20" s="457"/>
      <c r="F20" s="457"/>
      <c r="H20" s="463" t="s">
        <v>121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3.15</v>
      </c>
      <c r="B24" s="85">
        <f>$A$24*B$23-$F$6</f>
        <v>-64.104777574999986</v>
      </c>
      <c r="C24" s="85">
        <f>$A$24*C$23-$F$6</f>
        <v>-33.39227757499998</v>
      </c>
      <c r="D24" s="85">
        <f>$A$24*D$23-$F$6</f>
        <v>-12.917277574999986</v>
      </c>
      <c r="E24" s="85">
        <f>$A$24*E$23-$F$6</f>
        <v>7.5577224250000086</v>
      </c>
      <c r="F24" s="85">
        <f>$A$24*F$23-$F$6</f>
        <v>38.270222425000014</v>
      </c>
      <c r="H24" s="90">
        <f>Irrigated!H24</f>
        <v>315</v>
      </c>
      <c r="I24" s="85">
        <f>$H$24*I$23/2000-$C$6</f>
        <v>-191.40912500000002</v>
      </c>
      <c r="J24" s="85">
        <f>$H$24*J$23/2000-$C$6</f>
        <v>-111.08412500000003</v>
      </c>
      <c r="K24" s="85">
        <f>$H$24*K$23/2000-$C$6</f>
        <v>-57.534125000000017</v>
      </c>
      <c r="L24" s="85">
        <f>$H$24*L$23/2000-$C$6</f>
        <v>-3.9841249999999491</v>
      </c>
      <c r="M24" s="85">
        <f>$H$24*M$23/2000-$C$6</f>
        <v>76.340874999999983</v>
      </c>
    </row>
    <row r="25" spans="1:13" x14ac:dyDescent="0.15">
      <c r="A25" s="86">
        <f>Irrigated!A25</f>
        <v>3.8249999999999997</v>
      </c>
      <c r="B25" s="87">
        <f>$A$25*B$23-$F$6</f>
        <v>-31.198527574999986</v>
      </c>
      <c r="C25" s="87">
        <f>$A$25*C$23-$F$6</f>
        <v>6.0952224250000029</v>
      </c>
      <c r="D25" s="87">
        <f>$A$25*D$23-$F$6</f>
        <v>30.957722424999986</v>
      </c>
      <c r="E25" s="87">
        <f>$A$25*E$23-$F$6</f>
        <v>55.820222424999969</v>
      </c>
      <c r="F25" s="87">
        <f>$A$25*F$23-$F$6</f>
        <v>93.113972425000014</v>
      </c>
      <c r="H25" s="91">
        <f>Irrigated!H25</f>
        <v>382.5</v>
      </c>
      <c r="I25" s="87">
        <f>$H$25*I$23/2000-$C$6</f>
        <v>-105.34662500000002</v>
      </c>
      <c r="J25" s="87">
        <f>$H$25*J$23/2000-$C$6</f>
        <v>-7.8091249999999945</v>
      </c>
      <c r="K25" s="87">
        <f>$H$25*K$23/2000-$C$6</f>
        <v>57.215874999999983</v>
      </c>
      <c r="L25" s="87">
        <f>$H$25*L$23/2000-$C$6</f>
        <v>122.24087500000007</v>
      </c>
      <c r="M25" s="87">
        <f>$H$25*M$23/2000-$C$6</f>
        <v>219.77837499999998</v>
      </c>
    </row>
    <row r="26" spans="1:13" x14ac:dyDescent="0.15">
      <c r="A26" s="86">
        <f>Irrigated!A26</f>
        <v>4.5</v>
      </c>
      <c r="B26" s="87">
        <f>$A$26*B$23-$F$6</f>
        <v>1.7077224250000143</v>
      </c>
      <c r="C26" s="87">
        <f>$A$26*C$23-$F$6</f>
        <v>45.582722425000014</v>
      </c>
      <c r="D26" s="87">
        <f>$A$26*D$23-$F$6</f>
        <v>74.832722425000014</v>
      </c>
      <c r="E26" s="87">
        <f>$A$26*E$23-$F$6</f>
        <v>104.08272242500001</v>
      </c>
      <c r="F26" s="87">
        <f>$A$26*F$23-$F$6</f>
        <v>147.95772242500001</v>
      </c>
      <c r="H26" s="91">
        <f>Irrigated!H26</f>
        <v>450</v>
      </c>
      <c r="I26" s="87">
        <f>$H$26*I$23/2000-$C$6</f>
        <v>-19.284125000000017</v>
      </c>
      <c r="J26" s="87">
        <f>$H$26*J$23/2000-$C$6</f>
        <v>95.465874999999983</v>
      </c>
      <c r="K26" s="87">
        <f>$H$26*K$23/2000-$C$6</f>
        <v>171.96587499999998</v>
      </c>
      <c r="L26" s="87">
        <f>$H$26*L$23/2000-$C$6</f>
        <v>248.4658750000001</v>
      </c>
      <c r="M26" s="87">
        <f>$H$26*M$23/2000-$C$6</f>
        <v>363.21587499999998</v>
      </c>
    </row>
    <row r="27" spans="1:13" x14ac:dyDescent="0.15">
      <c r="A27" s="86">
        <f>Irrigated!A27</f>
        <v>5.1749999999999998</v>
      </c>
      <c r="B27" s="87">
        <f>$A$27*B$23-$F$6</f>
        <v>34.613972425000014</v>
      </c>
      <c r="C27" s="87">
        <f>$A$27*C$23-$F$6</f>
        <v>85.070222425000026</v>
      </c>
      <c r="D27" s="87">
        <f>$A$27*D$23-$F$6</f>
        <v>118.70772242500001</v>
      </c>
      <c r="E27" s="87">
        <f>$A$27*E$23-$F$6</f>
        <v>152.345222425</v>
      </c>
      <c r="F27" s="87">
        <f>$A$27*F$23-$F$6</f>
        <v>202.80147242500001</v>
      </c>
      <c r="H27" s="91">
        <f>Irrigated!H27</f>
        <v>517.5</v>
      </c>
      <c r="I27" s="87">
        <f>$H$27*I$23/2000-$C$6</f>
        <v>66.778374999999983</v>
      </c>
      <c r="J27" s="87">
        <f>$H$27*J$23/2000-$C$6</f>
        <v>198.74087499999996</v>
      </c>
      <c r="K27" s="87">
        <f>$H$27*K$23/2000-$C$6</f>
        <v>286.71587499999998</v>
      </c>
      <c r="L27" s="87">
        <f>$H$27*L$23/2000-$C$6</f>
        <v>374.69087500000012</v>
      </c>
      <c r="M27" s="87">
        <f>$H$27*M$23/2000-$C$6</f>
        <v>506.65337499999998</v>
      </c>
    </row>
    <row r="28" spans="1:13" x14ac:dyDescent="0.15">
      <c r="A28" s="88">
        <f>Irrigated!A28</f>
        <v>5.8500000000000005</v>
      </c>
      <c r="B28" s="89">
        <f>$A$28*B$23-$F$6</f>
        <v>67.520222425000014</v>
      </c>
      <c r="C28" s="89">
        <f>$A$28*C$23-$F$6</f>
        <v>124.55772242500004</v>
      </c>
      <c r="D28" s="89">
        <f>$A$28*D$23-$F$6</f>
        <v>162.58272242500007</v>
      </c>
      <c r="E28" s="89">
        <f>$A$28*E$23-$F$6</f>
        <v>200.60772242500005</v>
      </c>
      <c r="F28" s="89">
        <f>$A$28*F$23-$F$6</f>
        <v>257.64522242500004</v>
      </c>
      <c r="H28" s="92">
        <f>Irrigated!H28</f>
        <v>585</v>
      </c>
      <c r="I28" s="89">
        <f>$H$28*I$23/2000-$C$6</f>
        <v>152.84087499999998</v>
      </c>
      <c r="J28" s="89">
        <f>$H$28*J$23/2000-$C$6</f>
        <v>302.01587499999994</v>
      </c>
      <c r="K28" s="89">
        <f>$H$28*K$23/2000-$C$6</f>
        <v>401.46587499999998</v>
      </c>
      <c r="L28" s="89">
        <f>$H$28*L$23/2000-$C$6</f>
        <v>500.91587500000026</v>
      </c>
      <c r="M28" s="89">
        <f>$H$28*M$23/2000-$C$6</f>
        <v>650.09087499999998</v>
      </c>
    </row>
    <row r="30" spans="1:13" x14ac:dyDescent="0.15">
      <c r="A30" s="457" t="s">
        <v>53</v>
      </c>
      <c r="B30" s="457"/>
      <c r="C30" s="457"/>
      <c r="D30" s="457"/>
      <c r="E30" s="457"/>
      <c r="F30" s="457"/>
      <c r="H30" s="457" t="s">
        <v>63</v>
      </c>
      <c r="I30" s="457"/>
      <c r="J30" s="457"/>
      <c r="K30" s="457"/>
      <c r="L30" s="457"/>
      <c r="M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7.5249999999999995</v>
      </c>
      <c r="B34" s="85">
        <f>$A$34*B$33-$E$6</f>
        <v>-53.803905299999997</v>
      </c>
      <c r="C34" s="85">
        <f>$A$34*C$33-$E$6</f>
        <v>-19.941405300000014</v>
      </c>
      <c r="D34" s="85">
        <f>$A$34*D$33-$E$6</f>
        <v>2.6335946999999749</v>
      </c>
      <c r="E34" s="85">
        <f>$A$34*E$33-$E$6</f>
        <v>25.208594699999992</v>
      </c>
      <c r="F34" s="85">
        <f>$A$34*F$33-$E$6</f>
        <v>59.071094700000003</v>
      </c>
      <c r="H34" s="84">
        <f>Irrigated!H34</f>
        <v>3.9199999999999995</v>
      </c>
      <c r="I34" s="85">
        <f>$H$34*I$33-$G$6</f>
        <v>-28.898792112500018</v>
      </c>
      <c r="J34" s="85">
        <f>$H$34*J$33-$G$6</f>
        <v>3.4412078874999565</v>
      </c>
      <c r="K34" s="85">
        <f>$H$34*K$33-$G$6</f>
        <v>25.001207887499959</v>
      </c>
      <c r="L34" s="85">
        <f>$H$34*L$33-$G$6</f>
        <v>46.56120788749999</v>
      </c>
      <c r="M34" s="85">
        <f>$H$34*M$33-$G$6</f>
        <v>78.901207887499936</v>
      </c>
    </row>
    <row r="35" spans="1:13" x14ac:dyDescent="0.15">
      <c r="A35" s="86">
        <f>Irrigated!A35</f>
        <v>9.1374999999999993</v>
      </c>
      <c r="B35" s="87">
        <f>$A$35*B$33-$E$6</f>
        <v>-17.522655300000025</v>
      </c>
      <c r="C35" s="87">
        <f>$A$35*C$33-$E$6</f>
        <v>23.596094699999981</v>
      </c>
      <c r="D35" s="87">
        <f>$A$35*D$33-$E$6</f>
        <v>51.008594700000003</v>
      </c>
      <c r="E35" s="87">
        <f>$A$35*E$33-$E$6</f>
        <v>78.421094699999969</v>
      </c>
      <c r="F35" s="87">
        <f>$A$35*F$33-$E$6</f>
        <v>119.5398447</v>
      </c>
      <c r="H35" s="86">
        <f>Irrigated!H35</f>
        <v>4.76</v>
      </c>
      <c r="I35" s="87">
        <f>$H$35*I$33-$G$6</f>
        <v>5.7512078874999872</v>
      </c>
      <c r="J35" s="87">
        <f>$H$35*J$33-$G$6</f>
        <v>45.021207887499969</v>
      </c>
      <c r="K35" s="87">
        <f>$H$35*K$33-$G$6</f>
        <v>71.201207887500004</v>
      </c>
      <c r="L35" s="87">
        <f>$H$35*L$33-$G$6</f>
        <v>97.381207887500011</v>
      </c>
      <c r="M35" s="87">
        <f>$H$35*M$33-$G$6</f>
        <v>136.65120788749999</v>
      </c>
    </row>
    <row r="36" spans="1:13" x14ac:dyDescent="0.15">
      <c r="A36" s="86">
        <f>Irrigated!A36</f>
        <v>10.75</v>
      </c>
      <c r="B36" s="87">
        <f>$A$36*B$33-$E$6</f>
        <v>18.758594700000003</v>
      </c>
      <c r="C36" s="87">
        <f>$A$36*C$33-$E$6</f>
        <v>67.133594700000003</v>
      </c>
      <c r="D36" s="87">
        <f>$A$36*D$33-$E$6</f>
        <v>99.383594700000003</v>
      </c>
      <c r="E36" s="87">
        <f>$A$36*E$33-$E$6</f>
        <v>131.6335947</v>
      </c>
      <c r="F36" s="87">
        <f>$A$36*F$33-$E$6</f>
        <v>180.0085947</v>
      </c>
      <c r="H36" s="86">
        <f>Irrigated!H36</f>
        <v>5.6</v>
      </c>
      <c r="I36" s="87">
        <f>$H$36*I$33-$G$6</f>
        <v>40.401207887499964</v>
      </c>
      <c r="J36" s="87">
        <f>$H$36*J$33-$G$6</f>
        <v>86.601207887499982</v>
      </c>
      <c r="K36" s="87">
        <f>$H$36*K$33-$G$6</f>
        <v>117.40120788749999</v>
      </c>
      <c r="L36" s="87">
        <f>$H$36*L$33-$G$6</f>
        <v>148.2012078875</v>
      </c>
      <c r="M36" s="87">
        <f>$H$36*M$33-$G$6</f>
        <v>194.40120788749999</v>
      </c>
    </row>
    <row r="37" spans="1:13" x14ac:dyDescent="0.15">
      <c r="A37" s="86">
        <f>Irrigated!A37</f>
        <v>12.362499999999999</v>
      </c>
      <c r="B37" s="87">
        <f>$A$37*B$33-$E$6</f>
        <v>55.039844700000003</v>
      </c>
      <c r="C37" s="87">
        <f>$A$37*C$33-$E$6</f>
        <v>110.67109469999997</v>
      </c>
      <c r="D37" s="87">
        <f>$A$37*D$33-$E$6</f>
        <v>147.75859469999995</v>
      </c>
      <c r="E37" s="87">
        <f>$A$37*E$33-$E$6</f>
        <v>184.84609469999998</v>
      </c>
      <c r="F37" s="87">
        <f>$A$37*F$33-$E$6</f>
        <v>240.47734469999995</v>
      </c>
      <c r="H37" s="86">
        <f>Irrigated!H37</f>
        <v>6.4399999999999995</v>
      </c>
      <c r="I37" s="87">
        <f>$H$37*I$33-$G$6</f>
        <v>75.05120788749997</v>
      </c>
      <c r="J37" s="87">
        <f>$H$37*J$33-$G$6</f>
        <v>128.18120788749997</v>
      </c>
      <c r="K37" s="87">
        <f>$H$37*K$33-$G$6</f>
        <v>163.60120788749998</v>
      </c>
      <c r="L37" s="87">
        <f>$H$37*L$33-$G$6</f>
        <v>199.0212078875</v>
      </c>
      <c r="M37" s="87">
        <f>$H$37*M$33-$G$6</f>
        <v>252.15120788749994</v>
      </c>
    </row>
    <row r="38" spans="1:13" x14ac:dyDescent="0.15">
      <c r="A38" s="88">
        <f>Irrigated!A38</f>
        <v>13.975</v>
      </c>
      <c r="B38" s="89">
        <f>$A$38*B$33-$E$6</f>
        <v>91.321094700000003</v>
      </c>
      <c r="C38" s="89">
        <f>$A$38*C$33-$E$6</f>
        <v>154.20859469999999</v>
      </c>
      <c r="D38" s="89">
        <f>$A$38*D$33-$E$6</f>
        <v>196.1335947</v>
      </c>
      <c r="E38" s="89">
        <f>$A$38*E$33-$E$6</f>
        <v>238.05859470000001</v>
      </c>
      <c r="F38" s="89">
        <f>$A$38*F$33-$E$6</f>
        <v>300.9460947</v>
      </c>
      <c r="H38" s="88">
        <f>Irrigated!H38</f>
        <v>7.2799999999999994</v>
      </c>
      <c r="I38" s="89">
        <f>$H$38*I$33-$G$6</f>
        <v>109.70120788749995</v>
      </c>
      <c r="J38" s="89">
        <f>$H$38*J$33-$G$6</f>
        <v>169.76120788749995</v>
      </c>
      <c r="K38" s="89">
        <f>$H$38*K$33-$G$6</f>
        <v>209.80120788749997</v>
      </c>
      <c r="L38" s="89">
        <f>$H$38*L$33-$G$6</f>
        <v>249.84120788749999</v>
      </c>
      <c r="M38" s="89">
        <f>$H$38*M$33-$G$6</f>
        <v>309.90120788749994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0.75</v>
      </c>
      <c r="C4" s="68">
        <f>'Strip-Till'!D8</f>
        <v>450</v>
      </c>
      <c r="D4" s="69">
        <f>'Strip-Till'!F8</f>
        <v>4.8499999999999996</v>
      </c>
      <c r="E4" s="69">
        <f>'Strip-Till'!H8</f>
        <v>10.75</v>
      </c>
      <c r="F4" s="69">
        <f>'Strip-Till'!J8</f>
        <v>4.5</v>
      </c>
      <c r="G4" s="69"/>
    </row>
    <row r="5" spans="1:13" s="62" customFormat="1" ht="12" hidden="1" x14ac:dyDescent="0.15">
      <c r="A5" s="70" t="s">
        <v>44</v>
      </c>
      <c r="B5" s="71">
        <f>B3*B4</f>
        <v>900</v>
      </c>
      <c r="C5" s="71">
        <f>C3*C4/2000</f>
        <v>1057.5</v>
      </c>
      <c r="D5" s="71">
        <f>D3*D4</f>
        <v>969.99999999999989</v>
      </c>
      <c r="E5" s="71">
        <f>E3*E4</f>
        <v>645</v>
      </c>
      <c r="F5" s="71">
        <f>F3*F4</f>
        <v>450</v>
      </c>
      <c r="G5" s="72"/>
    </row>
    <row r="6" spans="1:13" s="62" customFormat="1" ht="12" hidden="1" x14ac:dyDescent="0.15">
      <c r="A6" s="70" t="s">
        <v>43</v>
      </c>
      <c r="B6" s="73">
        <f>'Strip-Till'!B31</f>
        <v>552.68543631818193</v>
      </c>
      <c r="C6" s="73">
        <f>'Strip-Till'!D31</f>
        <v>666.46344999999997</v>
      </c>
      <c r="D6" s="73">
        <f>'Strip-Till'!F31</f>
        <v>588.39899000000003</v>
      </c>
      <c r="E6" s="73">
        <f>'Strip-Till'!H31</f>
        <v>274.00523339999995</v>
      </c>
      <c r="F6" s="73">
        <f>'Strip-Till'!J31</f>
        <v>305.28211000000005</v>
      </c>
      <c r="G6" s="68"/>
    </row>
    <row r="7" spans="1:13" s="62" customFormat="1" ht="16" x14ac:dyDescent="0.2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55</v>
      </c>
      <c r="B10" s="457"/>
      <c r="C10" s="457"/>
      <c r="D10" s="457"/>
      <c r="E10" s="457"/>
      <c r="F10" s="457"/>
      <c r="H10" s="457" t="s">
        <v>56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3.3949999999999996</v>
      </c>
      <c r="B14" s="85">
        <f>$A$14*B$13-$D$6</f>
        <v>-79.148990000000083</v>
      </c>
      <c r="C14" s="85">
        <f>$A$14*C$13-$D$6</f>
        <v>22.701009999999883</v>
      </c>
      <c r="D14" s="85">
        <f>$A$14*D$13-$D$6</f>
        <v>90.60100999999986</v>
      </c>
      <c r="E14" s="85">
        <f>$A$14*E$13-$D$6</f>
        <v>158.50100999999995</v>
      </c>
      <c r="F14" s="85">
        <f>$A$14*F$13-$D$6</f>
        <v>260.35100999999986</v>
      </c>
      <c r="H14" s="84">
        <f>Irrigated!H14</f>
        <v>0.52499999999999991</v>
      </c>
      <c r="I14" s="87">
        <f>$H$14*$I$13-$B$6</f>
        <v>-80.185436318181985</v>
      </c>
      <c r="J14" s="87">
        <f>$H$14*J13-$B$6</f>
        <v>14.314563681817958</v>
      </c>
      <c r="K14" s="87">
        <f>$H$14*K13-$B$6</f>
        <v>77.314563681817958</v>
      </c>
      <c r="L14" s="87">
        <f>$H$14*L13-$B$6</f>
        <v>140.31456368181796</v>
      </c>
      <c r="M14" s="87">
        <f>$H$14*M13-$B$6</f>
        <v>234.81456368181796</v>
      </c>
    </row>
    <row r="15" spans="1:13" x14ac:dyDescent="0.15">
      <c r="A15" s="86">
        <f>Irrigated!A15</f>
        <v>4.1224999999999996</v>
      </c>
      <c r="B15" s="87">
        <f>$A$15*B$13-$D$6</f>
        <v>29.97600999999986</v>
      </c>
      <c r="C15" s="87">
        <f>$A$15*C$13-$D$6</f>
        <v>153.65100999999993</v>
      </c>
      <c r="D15" s="87">
        <f>$A$15*D$13-$D$6</f>
        <v>236.10100999999986</v>
      </c>
      <c r="E15" s="87">
        <f>$A$15*E$13-$D$6</f>
        <v>318.55101000000002</v>
      </c>
      <c r="F15" s="87">
        <f>$A$15*F$13-$D$6</f>
        <v>442.22600999999997</v>
      </c>
      <c r="H15" s="86">
        <f>Irrigated!H15</f>
        <v>0.63749999999999996</v>
      </c>
      <c r="I15" s="87">
        <f>$H$15*$I$13-$B$6</f>
        <v>21.064563681818072</v>
      </c>
      <c r="J15" s="87">
        <f>$H$15*J13-$B$6</f>
        <v>135.81456368181807</v>
      </c>
      <c r="K15" s="87">
        <f>$H$15*K13-$B$6</f>
        <v>212.31456368181807</v>
      </c>
      <c r="L15" s="87">
        <f>$H$15*L13-$B$6</f>
        <v>288.81456368181796</v>
      </c>
      <c r="M15" s="87">
        <f>$H$15*M13-$B$6</f>
        <v>403.56456368181796</v>
      </c>
    </row>
    <row r="16" spans="1:13" x14ac:dyDescent="0.15">
      <c r="A16" s="86">
        <f>Irrigated!A16</f>
        <v>4.8499999999999996</v>
      </c>
      <c r="B16" s="87">
        <f>$A$16*B$13-$D$6</f>
        <v>139.10100999999997</v>
      </c>
      <c r="C16" s="87">
        <f>$A$16*C$13-$D$6</f>
        <v>284.60100999999986</v>
      </c>
      <c r="D16" s="87">
        <f>$A$16*D$13-$D$6</f>
        <v>381.60100999999986</v>
      </c>
      <c r="E16" s="87">
        <f>$A$16*E$13-$D$6</f>
        <v>478.60100999999997</v>
      </c>
      <c r="F16" s="87">
        <f>$A$16*F$13-$D$6</f>
        <v>624.10100999999997</v>
      </c>
      <c r="H16" s="86">
        <f>Irrigated!H16</f>
        <v>0.75</v>
      </c>
      <c r="I16" s="87">
        <f>$H$16*$I$13-$B$6</f>
        <v>122.31456368181807</v>
      </c>
      <c r="J16" s="87">
        <f>$H$16*J13-$B$6</f>
        <v>257.31456368181807</v>
      </c>
      <c r="K16" s="87">
        <f>$H$16*K13-$B$6</f>
        <v>347.31456368181807</v>
      </c>
      <c r="L16" s="87">
        <f>$H$16*L13-$B$6</f>
        <v>437.31456368181807</v>
      </c>
      <c r="M16" s="87">
        <f>$H$16*M13-$B$6</f>
        <v>572.31456368181807</v>
      </c>
    </row>
    <row r="17" spans="1:13" x14ac:dyDescent="0.15">
      <c r="A17" s="86">
        <f>Irrigated!A17</f>
        <v>5.5774999999999988</v>
      </c>
      <c r="B17" s="87">
        <f>$A$17*B$13-$D$6</f>
        <v>248.22600999999975</v>
      </c>
      <c r="C17" s="87">
        <f>$A$17*C$13-$D$6</f>
        <v>415.55100999999979</v>
      </c>
      <c r="D17" s="87">
        <f>$A$17*D$13-$D$6</f>
        <v>527.10100999999975</v>
      </c>
      <c r="E17" s="87">
        <f>$A$17*E$13-$D$6</f>
        <v>638.65100999999993</v>
      </c>
      <c r="F17" s="87">
        <f>$A$17*F$13-$D$6</f>
        <v>805.97600999999975</v>
      </c>
      <c r="H17" s="86">
        <f>Irrigated!H17</f>
        <v>0.86249999999999993</v>
      </c>
      <c r="I17" s="87">
        <f>$H$17*$I$13-$B$6</f>
        <v>223.56456368181796</v>
      </c>
      <c r="J17" s="87">
        <f>$H$17*J13-$B$6</f>
        <v>378.81456368181796</v>
      </c>
      <c r="K17" s="87">
        <f>$H$17*K13-$B$6</f>
        <v>482.31456368181807</v>
      </c>
      <c r="L17" s="87">
        <f>$H$17*L13-$B$6</f>
        <v>585.81456368181807</v>
      </c>
      <c r="M17" s="87">
        <f>$H$17*M13-$B$6</f>
        <v>741.06456368181807</v>
      </c>
    </row>
    <row r="18" spans="1:13" x14ac:dyDescent="0.15">
      <c r="A18" s="88">
        <f>Irrigated!A18</f>
        <v>6.3049999999999997</v>
      </c>
      <c r="B18" s="89">
        <f>$A$18*B$13-$D$6</f>
        <v>357.35100999999997</v>
      </c>
      <c r="C18" s="89">
        <f>$A$18*C$13-$D$6</f>
        <v>546.50100999999984</v>
      </c>
      <c r="D18" s="89">
        <f>$A$18*D$13-$D$6</f>
        <v>672.60100999999997</v>
      </c>
      <c r="E18" s="89">
        <f>$A$18*E$13-$D$6</f>
        <v>798.70101000000011</v>
      </c>
      <c r="F18" s="89">
        <f>$A$18*F$13-$D$6</f>
        <v>987.85100999999997</v>
      </c>
      <c r="H18" s="88">
        <f>Irrigated!H18</f>
        <v>0.97500000000000009</v>
      </c>
      <c r="I18" s="89">
        <f>$H$18*$I$13-$B$6</f>
        <v>324.81456368181819</v>
      </c>
      <c r="J18" s="89">
        <f>$H$18*J13-$B$6</f>
        <v>500.31456368181807</v>
      </c>
      <c r="K18" s="89">
        <f>$H$18*K13-$B$6</f>
        <v>617.31456368181807</v>
      </c>
      <c r="L18" s="89">
        <f>$H$18*L13-$B$6</f>
        <v>734.3145636818183</v>
      </c>
      <c r="M18" s="89">
        <f>$H$18*M13-$B$6</f>
        <v>909.8145636818183</v>
      </c>
    </row>
    <row r="20" spans="1:13" x14ac:dyDescent="0.15">
      <c r="A20" s="457" t="s">
        <v>57</v>
      </c>
      <c r="B20" s="457"/>
      <c r="C20" s="457"/>
      <c r="D20" s="457"/>
      <c r="E20" s="457"/>
      <c r="F20" s="457"/>
      <c r="H20" s="463" t="s">
        <v>122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3.15</v>
      </c>
      <c r="B24" s="85">
        <f>$A$24*B$23-$F$6</f>
        <v>-69.032110000000046</v>
      </c>
      <c r="C24" s="85">
        <f>$A$24*C$23-$F$6</f>
        <v>-21.782110000000046</v>
      </c>
      <c r="D24" s="85">
        <f>$A$24*D$23-$F$6</f>
        <v>9.7178899999999544</v>
      </c>
      <c r="E24" s="85">
        <f>$A$24*E$23-$F$6</f>
        <v>41.217890000000011</v>
      </c>
      <c r="F24" s="85">
        <f>$A$24*F$23-$F$6</f>
        <v>88.467889999999954</v>
      </c>
      <c r="H24" s="90">
        <f>Irrigated!H24</f>
        <v>315</v>
      </c>
      <c r="I24" s="85">
        <f>$H$24*I$23/2000-$C$6</f>
        <v>-111.27594999999997</v>
      </c>
      <c r="J24" s="85">
        <f>$H$24*J$23/2000-$C$6</f>
        <v>-0.23844999999994343</v>
      </c>
      <c r="K24" s="85">
        <f>$H$24*K$23/2000-$C$6</f>
        <v>73.786550000000034</v>
      </c>
      <c r="L24" s="85">
        <f>$H$24*L$23/2000-$C$6</f>
        <v>147.81155000000001</v>
      </c>
      <c r="M24" s="85">
        <f>$H$24*M$23/2000-$C$6</f>
        <v>258.84905000000003</v>
      </c>
    </row>
    <row r="25" spans="1:13" x14ac:dyDescent="0.15">
      <c r="A25" s="86">
        <f>Irrigated!A25</f>
        <v>3.8249999999999997</v>
      </c>
      <c r="B25" s="87">
        <f>$A$25*B$23-$F$6</f>
        <v>-18.407110000000046</v>
      </c>
      <c r="C25" s="87">
        <f>$A$25*C$23-$F$6</f>
        <v>38.967889999999954</v>
      </c>
      <c r="D25" s="87">
        <f>$A$25*D$23-$F$6</f>
        <v>77.217889999999954</v>
      </c>
      <c r="E25" s="87">
        <f>$A$25*E$23-$F$6</f>
        <v>115.46788999999995</v>
      </c>
      <c r="F25" s="87">
        <f>$A$25*F$23-$F$6</f>
        <v>172.8428899999999</v>
      </c>
      <c r="H25" s="91">
        <f>Irrigated!H25</f>
        <v>382.5</v>
      </c>
      <c r="I25" s="87">
        <f>$H$25*I$23/2000-$C$6</f>
        <v>7.6928000000000338</v>
      </c>
      <c r="J25" s="87">
        <f>$H$25*J$23/2000-$C$6</f>
        <v>142.52404999999999</v>
      </c>
      <c r="K25" s="87">
        <f>$H$25*K$23/2000-$C$6</f>
        <v>232.41155000000003</v>
      </c>
      <c r="L25" s="87">
        <f>$H$25*L$23/2000-$C$6</f>
        <v>322.29905000000008</v>
      </c>
      <c r="M25" s="87">
        <f>$H$25*M$23/2000-$C$6</f>
        <v>457.13030000000003</v>
      </c>
    </row>
    <row r="26" spans="1:13" x14ac:dyDescent="0.15">
      <c r="A26" s="86">
        <f>Irrigated!A26</f>
        <v>4.5</v>
      </c>
      <c r="B26" s="87">
        <f>$A$26*B$23-$F$6</f>
        <v>32.217889999999954</v>
      </c>
      <c r="C26" s="87">
        <f>$A$26*C$23-$F$6</f>
        <v>99.717889999999954</v>
      </c>
      <c r="D26" s="87">
        <f>$A$26*D$23-$F$6</f>
        <v>144.71788999999995</v>
      </c>
      <c r="E26" s="87">
        <f>$A$26*E$23-$F$6</f>
        <v>189.71789000000001</v>
      </c>
      <c r="F26" s="87">
        <f>$A$26*F$23-$F$6</f>
        <v>257.21788999999995</v>
      </c>
      <c r="H26" s="91">
        <f>Irrigated!H26</f>
        <v>450</v>
      </c>
      <c r="I26" s="87">
        <f>$H$26*I$23/2000-$C$6</f>
        <v>126.66155000000003</v>
      </c>
      <c r="J26" s="87">
        <f>$H$26*J$23/2000-$C$6</f>
        <v>285.28655000000003</v>
      </c>
      <c r="K26" s="87">
        <f>$H$26*K$23/2000-$C$6</f>
        <v>391.03655000000003</v>
      </c>
      <c r="L26" s="87">
        <f>$H$26*L$23/2000-$C$6</f>
        <v>496.78655000000003</v>
      </c>
      <c r="M26" s="87">
        <f>$H$26*M$23/2000-$C$6</f>
        <v>655.41155000000003</v>
      </c>
    </row>
    <row r="27" spans="1:13" x14ac:dyDescent="0.15">
      <c r="A27" s="86">
        <f>Irrigated!A27</f>
        <v>5.1749999999999998</v>
      </c>
      <c r="B27" s="87">
        <f>$A$27*B$23-$F$6</f>
        <v>82.842889999999954</v>
      </c>
      <c r="C27" s="87">
        <f>$A$27*C$23-$F$6</f>
        <v>160.46788999999995</v>
      </c>
      <c r="D27" s="87">
        <f>$A$27*D$23-$F$6</f>
        <v>212.21788999999995</v>
      </c>
      <c r="E27" s="87">
        <f>$A$27*E$23-$F$6</f>
        <v>263.96788999999995</v>
      </c>
      <c r="F27" s="87">
        <f>$A$27*F$23-$F$6</f>
        <v>341.59288999999995</v>
      </c>
      <c r="H27" s="91">
        <f>Irrigated!H27</f>
        <v>517.5</v>
      </c>
      <c r="I27" s="87">
        <f>$H$27*I$23/2000-$C$6</f>
        <v>245.63030000000003</v>
      </c>
      <c r="J27" s="87">
        <f>$H$27*J$23/2000-$C$6</f>
        <v>428.04905000000008</v>
      </c>
      <c r="K27" s="87">
        <f>$H$27*K$23/2000-$C$6</f>
        <v>549.66155000000003</v>
      </c>
      <c r="L27" s="87">
        <f>$H$27*L$23/2000-$C$6</f>
        <v>671.27404999999999</v>
      </c>
      <c r="M27" s="87">
        <f>$H$27*M$23/2000-$C$6</f>
        <v>853.69280000000003</v>
      </c>
    </row>
    <row r="28" spans="1:13" x14ac:dyDescent="0.15">
      <c r="A28" s="88">
        <f>Irrigated!A28</f>
        <v>5.8500000000000005</v>
      </c>
      <c r="B28" s="89">
        <f>$A$28*B$23-$F$6</f>
        <v>133.46789000000001</v>
      </c>
      <c r="C28" s="89">
        <f>$A$28*C$23-$F$6</f>
        <v>221.21788999999995</v>
      </c>
      <c r="D28" s="89">
        <f>$A$28*D$23-$F$6</f>
        <v>279.71788999999995</v>
      </c>
      <c r="E28" s="89">
        <f>$A$28*E$23-$F$6</f>
        <v>338.21789000000007</v>
      </c>
      <c r="F28" s="89">
        <f>$A$28*F$23-$F$6</f>
        <v>425.96789000000007</v>
      </c>
      <c r="H28" s="92">
        <f>Irrigated!H28</f>
        <v>585</v>
      </c>
      <c r="I28" s="89">
        <f>$H$28*I$23/2000-$C$6</f>
        <v>364.59905000000003</v>
      </c>
      <c r="J28" s="89">
        <f>$H$28*J$23/2000-$C$6</f>
        <v>570.81155000000012</v>
      </c>
      <c r="K28" s="89">
        <f>$H$28*K$23/2000-$C$6</f>
        <v>708.28655000000003</v>
      </c>
      <c r="L28" s="89">
        <f>$H$28*L$23/2000-$C$6</f>
        <v>845.76154999999994</v>
      </c>
      <c r="M28" s="89">
        <f>$H$28*M$23/2000-$C$6</f>
        <v>1051.97405</v>
      </c>
    </row>
    <row r="30" spans="1:13" x14ac:dyDescent="0.15">
      <c r="A30" s="457" t="s">
        <v>58</v>
      </c>
      <c r="B30" s="457"/>
      <c r="C30" s="457"/>
      <c r="D30" s="457"/>
      <c r="E30" s="457"/>
      <c r="F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7.5249999999999995</v>
      </c>
      <c r="B34" s="85">
        <f>$A$34*B$33-$E$6</f>
        <v>64.619766600000048</v>
      </c>
      <c r="C34" s="85">
        <f>$A$34*C$33-$E$6</f>
        <v>132.34476660000001</v>
      </c>
      <c r="D34" s="85">
        <f>$A$34*D$33-$E$6</f>
        <v>177.49476659999999</v>
      </c>
      <c r="E34" s="85">
        <f>$A$34*E$33-$E$6</f>
        <v>222.64476660000003</v>
      </c>
      <c r="F34" s="85">
        <f>$A$34*F$33-$E$6</f>
        <v>290.36976660000005</v>
      </c>
    </row>
    <row r="35" spans="1:6" x14ac:dyDescent="0.15">
      <c r="A35" s="86">
        <f>Irrigated!A35</f>
        <v>9.1374999999999993</v>
      </c>
      <c r="B35" s="87">
        <f>$A$35*B$33-$E$6</f>
        <v>137.18226659999999</v>
      </c>
      <c r="C35" s="87">
        <f>$A$35*C$33-$E$6</f>
        <v>219.4197666</v>
      </c>
      <c r="D35" s="87">
        <f>$A$35*D$33-$E$6</f>
        <v>274.24476660000005</v>
      </c>
      <c r="E35" s="87">
        <f>$A$35*E$33-$E$6</f>
        <v>329.06976659999998</v>
      </c>
      <c r="F35" s="87">
        <f>$A$35*F$33-$E$6</f>
        <v>411.30726660000005</v>
      </c>
    </row>
    <row r="36" spans="1:6" x14ac:dyDescent="0.15">
      <c r="A36" s="86">
        <f>Irrigated!A36</f>
        <v>10.75</v>
      </c>
      <c r="B36" s="87">
        <f>$A$36*B$33-$E$6</f>
        <v>209.74476660000005</v>
      </c>
      <c r="C36" s="87">
        <f>$A$36*C$33-$E$6</f>
        <v>306.49476660000005</v>
      </c>
      <c r="D36" s="87">
        <f>$A$36*D$33-$E$6</f>
        <v>370.99476660000005</v>
      </c>
      <c r="E36" s="87">
        <f>$A$36*E$33-$E$6</f>
        <v>435.49476660000005</v>
      </c>
      <c r="F36" s="87">
        <f>$A$36*F$33-$E$6</f>
        <v>532.24476660000005</v>
      </c>
    </row>
    <row r="37" spans="1:6" x14ac:dyDescent="0.15">
      <c r="A37" s="86">
        <f>Irrigated!A37</f>
        <v>12.362499999999999</v>
      </c>
      <c r="B37" s="87">
        <f>$A$37*B$33-$E$6</f>
        <v>282.30726660000005</v>
      </c>
      <c r="C37" s="87">
        <f>$A$37*C$33-$E$6</f>
        <v>393.56976659999998</v>
      </c>
      <c r="D37" s="87">
        <f>$A$37*D$33-$E$6</f>
        <v>467.74476659999993</v>
      </c>
      <c r="E37" s="87">
        <f>$A$37*E$33-$E$6</f>
        <v>541.9197666</v>
      </c>
      <c r="F37" s="87">
        <f>$A$37*F$33-$E$6</f>
        <v>653.18226659999993</v>
      </c>
    </row>
    <row r="38" spans="1:6" x14ac:dyDescent="0.15">
      <c r="A38" s="88">
        <f>Irrigated!A38</f>
        <v>13.975</v>
      </c>
      <c r="B38" s="89">
        <f>$A$38*B$33-$E$6</f>
        <v>354.86976660000005</v>
      </c>
      <c r="C38" s="89">
        <f>$A$38*C$33-$E$6</f>
        <v>480.64476660000003</v>
      </c>
      <c r="D38" s="89">
        <f>$A$38*D$33-$E$6</f>
        <v>564.49476660000005</v>
      </c>
      <c r="E38" s="89">
        <f>$A$38*E$33-$E$6</f>
        <v>648.34476660000007</v>
      </c>
      <c r="F38" s="89">
        <f>$A$38*F$33-$E$6</f>
        <v>774.11976660000005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66" t="s">
        <v>46</v>
      </c>
      <c r="C1" s="466"/>
      <c r="D1" s="466"/>
      <c r="E1" s="466"/>
      <c r="F1" s="466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0.75</v>
      </c>
      <c r="C4" s="68">
        <f>'Strip-Till'!N8</f>
        <v>450</v>
      </c>
      <c r="D4" s="69">
        <f>'Strip-Till'!P8</f>
        <v>4.8499999999999996</v>
      </c>
      <c r="E4" s="69">
        <f>'Strip-Till'!R8</f>
        <v>10.75</v>
      </c>
      <c r="F4" s="69">
        <f>'Strip-Till'!T8</f>
        <v>4.5</v>
      </c>
    </row>
    <row r="5" spans="1:13" s="62" customFormat="1" ht="12" hidden="1" x14ac:dyDescent="0.15">
      <c r="A5" s="70" t="s">
        <v>44</v>
      </c>
      <c r="B5" s="71">
        <f>B3*B4</f>
        <v>562.5</v>
      </c>
      <c r="C5" s="71">
        <f>C3*C4/2000</f>
        <v>765</v>
      </c>
      <c r="D5" s="71">
        <f>D3*D4</f>
        <v>412.24999999999994</v>
      </c>
      <c r="E5" s="71">
        <f>E3*E4</f>
        <v>322.5</v>
      </c>
      <c r="F5" s="71">
        <f>F3*F4</f>
        <v>292.5</v>
      </c>
    </row>
    <row r="6" spans="1:13" s="62" customFormat="1" ht="12" hidden="1" x14ac:dyDescent="0.15">
      <c r="A6" s="70" t="s">
        <v>43</v>
      </c>
      <c r="B6" s="73">
        <f>'Strip-Till'!L31</f>
        <v>442.69886863636367</v>
      </c>
      <c r="C6" s="73">
        <f>'Strip-Till'!N31</f>
        <v>580.37532499999998</v>
      </c>
      <c r="D6" s="73">
        <f>'Strip-Till'!P31</f>
        <v>308.83913376250001</v>
      </c>
      <c r="E6" s="73">
        <f>'Strip-Till'!R31</f>
        <v>216.90003029999997</v>
      </c>
      <c r="F6" s="73">
        <f>'Strip-Till'!T31</f>
        <v>208.34785257499999</v>
      </c>
    </row>
    <row r="7" spans="1:13" s="62" customFormat="1" ht="16" x14ac:dyDescent="0.2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59</v>
      </c>
      <c r="B10" s="457"/>
      <c r="C10" s="457"/>
      <c r="D10" s="457"/>
      <c r="E10" s="457"/>
      <c r="F10" s="457"/>
      <c r="H10" s="457" t="s">
        <v>62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3.3949999999999996</v>
      </c>
      <c r="B14" s="85">
        <f>$A$14*B$13-$D$6</f>
        <v>-92.407883762500035</v>
      </c>
      <c r="C14" s="85">
        <f>$A$14*C$13-$D$6</f>
        <v>-49.121633762500039</v>
      </c>
      <c r="D14" s="85">
        <f>$A$14*D$13-$D$6</f>
        <v>-20.264133762500023</v>
      </c>
      <c r="E14" s="85">
        <f>$A$14*E$13-$D$6</f>
        <v>8.5933662374999926</v>
      </c>
      <c r="F14" s="85">
        <f>$A$14*F$13-$D$6</f>
        <v>51.879616237499931</v>
      </c>
      <c r="H14" s="84">
        <f>Irrigated!H14</f>
        <v>0.52499999999999991</v>
      </c>
      <c r="I14" s="85">
        <f>$H$14*I$13-$B$6</f>
        <v>-147.38636863636373</v>
      </c>
      <c r="J14" s="85">
        <f>$H$14*J$13-$B$6</f>
        <v>-88.323868636363727</v>
      </c>
      <c r="K14" s="85">
        <f>$H$14*K$13-$B$6</f>
        <v>-48.948868636363727</v>
      </c>
      <c r="L14" s="85">
        <f>$H$14*L$13-$B$6</f>
        <v>-9.5738686363636702</v>
      </c>
      <c r="M14" s="85">
        <f>$H$14*M$13-$B$6</f>
        <v>49.488631363636273</v>
      </c>
    </row>
    <row r="15" spans="1:13" x14ac:dyDescent="0.15">
      <c r="A15" s="86">
        <f>Irrigated!A15</f>
        <v>4.1224999999999996</v>
      </c>
      <c r="B15" s="87">
        <f>$A$15*B$13-$D$6</f>
        <v>-46.029758762500023</v>
      </c>
      <c r="C15" s="87">
        <f>$A$15*C$13-$D$6</f>
        <v>6.5321162374999631</v>
      </c>
      <c r="D15" s="87">
        <f>$A$15*D$13-$D$6</f>
        <v>41.573366237499954</v>
      </c>
      <c r="E15" s="87">
        <f>$A$15*E$13-$D$6</f>
        <v>76.614616237500002</v>
      </c>
      <c r="F15" s="87">
        <f>$A$15*F$13-$D$6</f>
        <v>129.17649123749993</v>
      </c>
      <c r="H15" s="86">
        <f>Irrigated!H15</f>
        <v>0.63749999999999996</v>
      </c>
      <c r="I15" s="87">
        <f>$H$15*I$13-$B$6</f>
        <v>-84.10511863636367</v>
      </c>
      <c r="J15" s="87">
        <f>$H$15*J$13-$B$6</f>
        <v>-12.386368636363727</v>
      </c>
      <c r="K15" s="87">
        <f>$H$15*K$13-$B$6</f>
        <v>35.426131363636273</v>
      </c>
      <c r="L15" s="87">
        <f>$H$15*L$13-$B$6</f>
        <v>83.23863136363633</v>
      </c>
      <c r="M15" s="87">
        <f>$H$15*M$13-$B$6</f>
        <v>154.95738136363633</v>
      </c>
    </row>
    <row r="16" spans="1:13" x14ac:dyDescent="0.15">
      <c r="A16" s="86">
        <f>Irrigated!A16</f>
        <v>4.8499999999999996</v>
      </c>
      <c r="B16" s="87">
        <f>$A$16*B$13-$D$6</f>
        <v>0.34836623749998807</v>
      </c>
      <c r="C16" s="87">
        <f>$A$16*C$13-$D$6</f>
        <v>62.185866237499965</v>
      </c>
      <c r="D16" s="87">
        <f>$A$16*D$13-$D$6</f>
        <v>103.41086623749993</v>
      </c>
      <c r="E16" s="87">
        <f>$A$16*E$13-$D$6</f>
        <v>144.63586623750001</v>
      </c>
      <c r="F16" s="87">
        <f>$A$16*F$13-$D$6</f>
        <v>206.47336623749999</v>
      </c>
      <c r="H16" s="86">
        <f>Irrigated!H16</f>
        <v>0.75</v>
      </c>
      <c r="I16" s="87">
        <f>$H$16*I$13-$B$6</f>
        <v>-20.82386863636367</v>
      </c>
      <c r="J16" s="87">
        <f>$H$16*J$13-$B$6</f>
        <v>63.55113136363633</v>
      </c>
      <c r="K16" s="87">
        <f>$H$16*K$13-$B$6</f>
        <v>119.80113136363633</v>
      </c>
      <c r="L16" s="87">
        <f>$H$16*L$13-$B$6</f>
        <v>176.05113136363644</v>
      </c>
      <c r="M16" s="87">
        <f>$H$16*M$13-$B$6</f>
        <v>260.42613136363633</v>
      </c>
    </row>
    <row r="17" spans="1:13" x14ac:dyDescent="0.15">
      <c r="A17" s="86">
        <f>Irrigated!A17</f>
        <v>5.5774999999999988</v>
      </c>
      <c r="B17" s="87">
        <f>$A$17*B$13-$D$6</f>
        <v>46.726491237499886</v>
      </c>
      <c r="C17" s="87">
        <f>$A$17*C$13-$D$6</f>
        <v>117.83961623749991</v>
      </c>
      <c r="D17" s="87">
        <f>$A$17*D$13-$D$6</f>
        <v>165.24836623749991</v>
      </c>
      <c r="E17" s="87">
        <f>$A$17*E$13-$D$6</f>
        <v>212.65711623749991</v>
      </c>
      <c r="F17" s="87">
        <f>$A$17*F$13-$D$6</f>
        <v>283.77024123749987</v>
      </c>
      <c r="H17" s="86">
        <f>Irrigated!H17</f>
        <v>0.86249999999999993</v>
      </c>
      <c r="I17" s="87">
        <f>$H$17*I$13-$B$6</f>
        <v>42.457381363636273</v>
      </c>
      <c r="J17" s="87">
        <f>$H$17*J$13-$B$6</f>
        <v>139.48863136363633</v>
      </c>
      <c r="K17" s="87">
        <f>$H$17*K$13-$B$6</f>
        <v>204.17613136363633</v>
      </c>
      <c r="L17" s="87">
        <f>$H$17*L$13-$B$6</f>
        <v>268.86363136363633</v>
      </c>
      <c r="M17" s="87">
        <f>$H$17*M$13-$B$6</f>
        <v>365.89488136363622</v>
      </c>
    </row>
    <row r="18" spans="1:13" x14ac:dyDescent="0.15">
      <c r="A18" s="88">
        <f>Irrigated!A18</f>
        <v>6.3049999999999997</v>
      </c>
      <c r="B18" s="89">
        <f>$A$18*B$13-$D$6</f>
        <v>93.104616237499954</v>
      </c>
      <c r="C18" s="89">
        <f>$A$18*C$13-$D$6</f>
        <v>173.49336623749997</v>
      </c>
      <c r="D18" s="89">
        <f>$A$18*D$13-$D$6</f>
        <v>227.08586623749994</v>
      </c>
      <c r="E18" s="89">
        <f>$A$18*E$13-$D$6</f>
        <v>280.67836623750003</v>
      </c>
      <c r="F18" s="89">
        <f>$A$18*F$13-$D$6</f>
        <v>361.06711623749999</v>
      </c>
      <c r="H18" s="88">
        <f>Irrigated!H18</f>
        <v>0.97500000000000009</v>
      </c>
      <c r="I18" s="89">
        <f>$H$18*I$13-$B$6</f>
        <v>105.73863136363633</v>
      </c>
      <c r="J18" s="89">
        <f>$H$18*J$13-$B$6</f>
        <v>215.42613136363644</v>
      </c>
      <c r="K18" s="89">
        <f>$H$18*K$13-$B$6</f>
        <v>288.55113136363644</v>
      </c>
      <c r="L18" s="89">
        <f>$H$18*L$13-$B$6</f>
        <v>361.67613136363656</v>
      </c>
      <c r="M18" s="89">
        <f>$H$18*M$13-$B$6</f>
        <v>471.36363136363644</v>
      </c>
    </row>
    <row r="20" spans="1:13" x14ac:dyDescent="0.15">
      <c r="A20" s="457" t="s">
        <v>60</v>
      </c>
      <c r="B20" s="457"/>
      <c r="C20" s="457"/>
      <c r="D20" s="457"/>
      <c r="E20" s="457"/>
      <c r="F20" s="457"/>
      <c r="H20" s="463" t="s">
        <v>123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3.15</v>
      </c>
      <c r="B24" s="85">
        <f>$A$24*B$23-$F$6</f>
        <v>-54.78535257499999</v>
      </c>
      <c r="C24" s="85">
        <f>$A$24*C$23-$F$6</f>
        <v>-24.072852574999985</v>
      </c>
      <c r="D24" s="85">
        <f>$A$24*D$23-$F$6</f>
        <v>-3.5978525749999903</v>
      </c>
      <c r="E24" s="85">
        <f>$A$24*E$23-$F$6</f>
        <v>16.877147425000004</v>
      </c>
      <c r="F24" s="85">
        <f>$A$24*F$23-$F$6</f>
        <v>47.58964742500001</v>
      </c>
      <c r="H24" s="90">
        <f>Irrigated!H24</f>
        <v>315</v>
      </c>
      <c r="I24" s="85">
        <f>$H$24*I$23/2000-$C$6</f>
        <v>-178.75032499999998</v>
      </c>
      <c r="J24" s="85">
        <f>$H$24*J$23/2000-$C$6</f>
        <v>-98.425324999999987</v>
      </c>
      <c r="K24" s="85">
        <f>$H$24*K$23/2000-$C$6</f>
        <v>-44.875324999999975</v>
      </c>
      <c r="L24" s="85">
        <f>$H$24*L$23/2000-$C$6</f>
        <v>8.674675000000093</v>
      </c>
      <c r="M24" s="85">
        <f>$H$24*M$23/2000-$C$6</f>
        <v>88.999675000000025</v>
      </c>
    </row>
    <row r="25" spans="1:13" x14ac:dyDescent="0.15">
      <c r="A25" s="86">
        <f>Irrigated!A25</f>
        <v>3.8249999999999997</v>
      </c>
      <c r="B25" s="87">
        <f>$A$25*B$23-$F$6</f>
        <v>-21.87910257499999</v>
      </c>
      <c r="C25" s="87">
        <f>$A$25*C$23-$F$6</f>
        <v>15.414647424999998</v>
      </c>
      <c r="D25" s="87">
        <f>$A$25*D$23-$F$6</f>
        <v>40.277147424999981</v>
      </c>
      <c r="E25" s="87">
        <f>$A$25*E$23-$F$6</f>
        <v>65.139647424999964</v>
      </c>
      <c r="F25" s="87">
        <f>$A$25*F$23-$F$6</f>
        <v>102.43339742500001</v>
      </c>
      <c r="H25" s="91">
        <f>Irrigated!H25</f>
        <v>382.5</v>
      </c>
      <c r="I25" s="87">
        <f>$H$25*I$23/2000-$C$6</f>
        <v>-92.687824999999975</v>
      </c>
      <c r="J25" s="87">
        <f>$H$25*J$23/2000-$C$6</f>
        <v>4.8496750000000475</v>
      </c>
      <c r="K25" s="87">
        <f>$H$25*K$23/2000-$C$6</f>
        <v>69.874675000000025</v>
      </c>
      <c r="L25" s="87">
        <f>$H$25*L$23/2000-$C$6</f>
        <v>134.89967500000012</v>
      </c>
      <c r="M25" s="87">
        <f>$H$25*M$23/2000-$C$6</f>
        <v>232.43717500000002</v>
      </c>
    </row>
    <row r="26" spans="1:13" x14ac:dyDescent="0.15">
      <c r="A26" s="86">
        <f>Irrigated!A26</f>
        <v>4.5</v>
      </c>
      <c r="B26" s="87">
        <f>$A$26*B$23-$F$6</f>
        <v>11.02714742500001</v>
      </c>
      <c r="C26" s="87">
        <f>$A$26*C$23-$F$6</f>
        <v>54.90214742500001</v>
      </c>
      <c r="D26" s="87">
        <f>$A$26*D$23-$F$6</f>
        <v>84.15214742500001</v>
      </c>
      <c r="E26" s="87">
        <f>$A$26*E$23-$F$6</f>
        <v>113.40214742500001</v>
      </c>
      <c r="F26" s="87">
        <f>$A$26*F$23-$F$6</f>
        <v>157.27714742500001</v>
      </c>
      <c r="H26" s="91">
        <f>Irrigated!H26</f>
        <v>450</v>
      </c>
      <c r="I26" s="87">
        <f>$H$26*I$23/2000-$C$6</f>
        <v>-6.6253249999999753</v>
      </c>
      <c r="J26" s="87">
        <f>$H$26*J$23/2000-$C$6</f>
        <v>108.12467500000002</v>
      </c>
      <c r="K26" s="87">
        <f>$H$26*K$23/2000-$C$6</f>
        <v>184.62467500000002</v>
      </c>
      <c r="L26" s="87">
        <f>$H$26*L$23/2000-$C$6</f>
        <v>261.12467500000014</v>
      </c>
      <c r="M26" s="87">
        <f>$H$26*M$23/2000-$C$6</f>
        <v>375.87467500000002</v>
      </c>
    </row>
    <row r="27" spans="1:13" x14ac:dyDescent="0.15">
      <c r="A27" s="86">
        <f>Irrigated!A27</f>
        <v>5.1749999999999998</v>
      </c>
      <c r="B27" s="87">
        <f>$A$27*B$23-$F$6</f>
        <v>43.93339742500001</v>
      </c>
      <c r="C27" s="87">
        <f>$A$27*C$23-$F$6</f>
        <v>94.389647425000021</v>
      </c>
      <c r="D27" s="87">
        <f>$A$27*D$23-$F$6</f>
        <v>128.02714742500001</v>
      </c>
      <c r="E27" s="87">
        <f>$A$27*E$23-$F$6</f>
        <v>161.664647425</v>
      </c>
      <c r="F27" s="87">
        <f>$A$27*F$23-$F$6</f>
        <v>212.12089742500001</v>
      </c>
      <c r="H27" s="91">
        <f>Irrigated!H27</f>
        <v>517.5</v>
      </c>
      <c r="I27" s="87">
        <f>$H$27*I$23/2000-$C$6</f>
        <v>79.437175000000025</v>
      </c>
      <c r="J27" s="87">
        <f>$H$27*J$23/2000-$C$6</f>
        <v>211.399675</v>
      </c>
      <c r="K27" s="87">
        <f>$H$27*K$23/2000-$C$6</f>
        <v>299.37467500000002</v>
      </c>
      <c r="L27" s="87">
        <f>$H$27*L$23/2000-$C$6</f>
        <v>387.34967500000016</v>
      </c>
      <c r="M27" s="87">
        <f>$H$27*M$23/2000-$C$6</f>
        <v>519.31217500000002</v>
      </c>
    </row>
    <row r="28" spans="1:13" x14ac:dyDescent="0.15">
      <c r="A28" s="88">
        <f>Irrigated!A28</f>
        <v>5.8500000000000005</v>
      </c>
      <c r="B28" s="89">
        <f>$A$28*B$23-$F$6</f>
        <v>76.83964742500001</v>
      </c>
      <c r="C28" s="89">
        <f>$A$28*C$23-$F$6</f>
        <v>133.87714742500003</v>
      </c>
      <c r="D28" s="89">
        <f>$A$28*D$23-$F$6</f>
        <v>171.90214742500007</v>
      </c>
      <c r="E28" s="89">
        <f>$A$28*E$23-$F$6</f>
        <v>209.92714742500004</v>
      </c>
      <c r="F28" s="89">
        <f>$A$28*F$23-$F$6</f>
        <v>266.96464742500007</v>
      </c>
      <c r="H28" s="92">
        <f>Irrigated!H28</f>
        <v>585</v>
      </c>
      <c r="I28" s="89">
        <f>$H$28*I$23/2000-$C$6</f>
        <v>165.49967500000002</v>
      </c>
      <c r="J28" s="89">
        <f>$H$28*J$23/2000-$C$6</f>
        <v>314.67467499999998</v>
      </c>
      <c r="K28" s="89">
        <f>$H$28*K$23/2000-$C$6</f>
        <v>414.12467500000002</v>
      </c>
      <c r="L28" s="89">
        <f>$H$28*L$23/2000-$C$6</f>
        <v>513.5746750000003</v>
      </c>
      <c r="M28" s="89">
        <f>$H$28*M$23/2000-$C$6</f>
        <v>662.74967500000002</v>
      </c>
    </row>
    <row r="30" spans="1:13" x14ac:dyDescent="0.15">
      <c r="A30" s="457" t="s">
        <v>61</v>
      </c>
      <c r="B30" s="457"/>
      <c r="C30" s="457"/>
      <c r="D30" s="457"/>
      <c r="E30" s="457"/>
      <c r="F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7.5249999999999995</v>
      </c>
      <c r="B34" s="85">
        <f>$A$34*B$33-$E$6</f>
        <v>-47.587530299999969</v>
      </c>
      <c r="C34" s="85">
        <f>$A$34*C$33-$E$6</f>
        <v>-13.725030299999986</v>
      </c>
      <c r="D34" s="85">
        <f>$A$34*D$33-$E$6</f>
        <v>8.8499697000000026</v>
      </c>
      <c r="E34" s="85">
        <f>$A$34*E$33-$E$6</f>
        <v>31.42496970000002</v>
      </c>
      <c r="F34" s="85">
        <f>$A$34*F$33-$E$6</f>
        <v>65.287469700000031</v>
      </c>
      <c r="I34" s="62"/>
    </row>
    <row r="35" spans="1:9" x14ac:dyDescent="0.15">
      <c r="A35" s="86">
        <f>Irrigated!A35</f>
        <v>9.1374999999999993</v>
      </c>
      <c r="B35" s="87">
        <f>$A$35*B$33-$E$6</f>
        <v>-11.306280299999997</v>
      </c>
      <c r="C35" s="87">
        <f>$A$35*C$33-$E$6</f>
        <v>29.812469700000008</v>
      </c>
      <c r="D35" s="87">
        <f>$A$35*D$33-$E$6</f>
        <v>57.224969700000031</v>
      </c>
      <c r="E35" s="87">
        <f>$A$35*E$33-$E$6</f>
        <v>84.637469699999997</v>
      </c>
      <c r="F35" s="87">
        <f>$A$35*F$33-$E$6</f>
        <v>125.75621970000003</v>
      </c>
      <c r="I35" s="62"/>
    </row>
    <row r="36" spans="1:9" x14ac:dyDescent="0.15">
      <c r="A36" s="86">
        <f>Irrigated!A36</f>
        <v>10.75</v>
      </c>
      <c r="B36" s="87">
        <f>$A$36*B$33-$E$6</f>
        <v>24.974969700000031</v>
      </c>
      <c r="C36" s="87">
        <f>$A$36*C$33-$E$6</f>
        <v>73.349969700000031</v>
      </c>
      <c r="D36" s="87">
        <f>$A$36*D$33-$E$6</f>
        <v>105.59996970000003</v>
      </c>
      <c r="E36" s="87">
        <f>$A$36*E$33-$E$6</f>
        <v>137.84996970000003</v>
      </c>
      <c r="F36" s="87">
        <f>$A$36*F$33-$E$6</f>
        <v>186.22496970000003</v>
      </c>
      <c r="I36" s="62"/>
    </row>
    <row r="37" spans="1:9" x14ac:dyDescent="0.15">
      <c r="A37" s="86">
        <f>Irrigated!A37</f>
        <v>12.362499999999999</v>
      </c>
      <c r="B37" s="87">
        <f>$A$37*B$33-$E$6</f>
        <v>61.256219700000031</v>
      </c>
      <c r="C37" s="87">
        <f>$A$37*C$33-$E$6</f>
        <v>116.8874697</v>
      </c>
      <c r="D37" s="87">
        <f>$A$37*D$33-$E$6</f>
        <v>153.97496969999997</v>
      </c>
      <c r="E37" s="87">
        <f>$A$37*E$33-$E$6</f>
        <v>191.06246970000001</v>
      </c>
      <c r="F37" s="87">
        <f>$A$37*F$33-$E$6</f>
        <v>246.69371969999997</v>
      </c>
      <c r="I37" s="62"/>
    </row>
    <row r="38" spans="1:9" x14ac:dyDescent="0.15">
      <c r="A38" s="88">
        <f>Irrigated!A38</f>
        <v>13.975</v>
      </c>
      <c r="B38" s="89">
        <f>$A$38*B$33-$E$6</f>
        <v>97.537469700000031</v>
      </c>
      <c r="C38" s="89">
        <f>$A$38*C$33-$E$6</f>
        <v>160.42496970000002</v>
      </c>
      <c r="D38" s="89">
        <f>$A$38*D$33-$E$6</f>
        <v>202.34996970000003</v>
      </c>
      <c r="E38" s="89">
        <f>$A$38*E$33-$E$6</f>
        <v>244.27496970000004</v>
      </c>
      <c r="F38" s="89">
        <f>$A$38*F$33-$E$6</f>
        <v>307.16246970000003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80" zoomScaleNormal="180" zoomScaleSheetLayoutView="87" zoomScalePageLayoutView="170" workbookViewId="0">
      <pane xSplit="1" ySplit="10" topLeftCell="B25" activePane="bottomRight" state="frozen"/>
      <selection pane="topRight" activeCell="B1" sqref="B1"/>
      <selection pane="bottomLeft" activeCell="A11" sqref="A11"/>
      <selection pane="bottomRight" activeCell="L11" sqref="L11:M11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8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x14ac:dyDescent="0.2">
      <c r="A1" s="94" t="s">
        <v>190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" x14ac:dyDescent="0.15">
      <c r="A2" s="316" t="s">
        <v>191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 x14ac:dyDescent="0.2">
      <c r="A3" s="231" t="s">
        <v>192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335"/>
      <c r="L4" s="334" t="s">
        <v>1</v>
      </c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46"/>
      <c r="C5" s="347"/>
      <c r="D5" s="345"/>
      <c r="E5" s="345"/>
      <c r="F5" s="348"/>
      <c r="G5" s="348"/>
      <c r="H5" s="348"/>
      <c r="I5" s="348"/>
      <c r="J5" s="359" t="s">
        <v>23</v>
      </c>
      <c r="K5" s="347"/>
      <c r="L5" s="346"/>
      <c r="M5" s="347"/>
      <c r="N5" s="345"/>
      <c r="O5" s="345"/>
      <c r="P5" s="348"/>
      <c r="Q5" s="348"/>
      <c r="R5" s="348"/>
      <c r="S5" s="348"/>
      <c r="T5" s="348" t="s">
        <v>23</v>
      </c>
      <c r="U5" s="348"/>
      <c r="V5" s="348" t="s">
        <v>22</v>
      </c>
      <c r="W5" s="348"/>
      <c r="X5" s="347"/>
      <c r="Y5" s="357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343" t="s">
        <v>2</v>
      </c>
      <c r="C6" s="344"/>
      <c r="D6" s="342" t="s">
        <v>3</v>
      </c>
      <c r="E6" s="342"/>
      <c r="F6" s="341" t="s">
        <v>4</v>
      </c>
      <c r="G6" s="341"/>
      <c r="H6" s="341" t="s">
        <v>5</v>
      </c>
      <c r="I6" s="341"/>
      <c r="J6" s="360" t="s">
        <v>6</v>
      </c>
      <c r="K6" s="344"/>
      <c r="L6" s="343" t="s">
        <v>2</v>
      </c>
      <c r="M6" s="344"/>
      <c r="N6" s="342" t="s">
        <v>3</v>
      </c>
      <c r="O6" s="342"/>
      <c r="P6" s="341" t="s">
        <v>4</v>
      </c>
      <c r="Q6" s="341"/>
      <c r="R6" s="341" t="s">
        <v>5</v>
      </c>
      <c r="S6" s="341"/>
      <c r="T6" s="341" t="s">
        <v>6</v>
      </c>
      <c r="U6" s="341"/>
      <c r="V6" s="341" t="s">
        <v>7</v>
      </c>
      <c r="W6" s="341"/>
      <c r="X6" s="344" t="s">
        <v>7</v>
      </c>
      <c r="Y6" s="358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0.75</v>
      </c>
      <c r="C8" s="276" t="s">
        <v>159</v>
      </c>
      <c r="D8" s="280">
        <f>'Peanut Price Calculator'!B17</f>
        <v>450</v>
      </c>
      <c r="E8" s="281" t="s">
        <v>160</v>
      </c>
      <c r="F8" s="273">
        <v>4.8499999999999996</v>
      </c>
      <c r="G8" s="270" t="s">
        <v>162</v>
      </c>
      <c r="H8" s="273">
        <v>10.75</v>
      </c>
      <c r="I8" s="270" t="s">
        <v>162</v>
      </c>
      <c r="J8" s="273">
        <v>4.5</v>
      </c>
      <c r="K8" s="276" t="s">
        <v>162</v>
      </c>
      <c r="L8" s="308">
        <f>B8</f>
        <v>0.75</v>
      </c>
      <c r="M8" s="276" t="s">
        <v>159</v>
      </c>
      <c r="N8" s="280">
        <f>'Peanut Price Calculator'!B28</f>
        <v>450</v>
      </c>
      <c r="O8" s="281" t="s">
        <v>160</v>
      </c>
      <c r="P8" s="269">
        <f>F8</f>
        <v>4.8499999999999996</v>
      </c>
      <c r="Q8" s="270" t="s">
        <v>162</v>
      </c>
      <c r="R8" s="269">
        <f>H8</f>
        <v>10.75</v>
      </c>
      <c r="S8" s="270" t="s">
        <v>162</v>
      </c>
      <c r="T8" s="269">
        <f>J8</f>
        <v>4.5</v>
      </c>
      <c r="U8" s="270" t="s">
        <v>162</v>
      </c>
      <c r="V8" s="273">
        <v>5.6</v>
      </c>
      <c r="W8" s="270" t="s">
        <v>162</v>
      </c>
      <c r="X8" s="271">
        <f>V8</f>
        <v>5.6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63">
        <f>B7*B8</f>
        <v>900</v>
      </c>
      <c r="C9" s="364"/>
      <c r="D9" s="376">
        <f>D8*(D7/2000)</f>
        <v>1057.5</v>
      </c>
      <c r="E9" s="376"/>
      <c r="F9" s="376">
        <f>F7*F8</f>
        <v>969.99999999999989</v>
      </c>
      <c r="G9" s="376"/>
      <c r="H9" s="376">
        <f>H7*H8</f>
        <v>645</v>
      </c>
      <c r="I9" s="376"/>
      <c r="J9" s="377">
        <f>J7*J8</f>
        <v>450</v>
      </c>
      <c r="K9" s="364"/>
      <c r="L9" s="363">
        <f>L7*L8</f>
        <v>562.5</v>
      </c>
      <c r="M9" s="364"/>
      <c r="N9" s="376">
        <f>N8*(N7/2000)</f>
        <v>765</v>
      </c>
      <c r="O9" s="376"/>
      <c r="P9" s="376">
        <f>P7*P8</f>
        <v>412.24999999999994</v>
      </c>
      <c r="Q9" s="376"/>
      <c r="R9" s="376">
        <f>R7*R8</f>
        <v>322.5</v>
      </c>
      <c r="S9" s="376"/>
      <c r="T9" s="376">
        <f>T7*T8</f>
        <v>292.5</v>
      </c>
      <c r="U9" s="376"/>
      <c r="V9" s="376">
        <f>V7*V8</f>
        <v>420</v>
      </c>
      <c r="W9" s="376"/>
      <c r="X9" s="364">
        <f>X7*X8</f>
        <v>308</v>
      </c>
      <c r="Y9" s="385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69"/>
      <c r="C10" s="370"/>
      <c r="D10" s="382"/>
      <c r="E10" s="382"/>
      <c r="F10" s="382"/>
      <c r="G10" s="382"/>
      <c r="H10" s="382"/>
      <c r="I10" s="382"/>
      <c r="J10" s="381"/>
      <c r="K10" s="370"/>
      <c r="L10" s="369"/>
      <c r="M10" s="370"/>
      <c r="N10" s="382"/>
      <c r="O10" s="382"/>
      <c r="P10" s="382"/>
      <c r="Q10" s="382"/>
      <c r="R10" s="382"/>
      <c r="S10" s="382"/>
      <c r="T10" s="382"/>
      <c r="U10" s="382"/>
      <c r="V10" s="302"/>
      <c r="W10" s="301"/>
      <c r="X10" s="370"/>
      <c r="Y10" s="383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65">
        <f>(89+98)/2</f>
        <v>93.5</v>
      </c>
      <c r="C11" s="366"/>
      <c r="D11" s="378">
        <v>126</v>
      </c>
      <c r="E11" s="378"/>
      <c r="F11" s="378">
        <v>121.28</v>
      </c>
      <c r="G11" s="378"/>
      <c r="H11" s="379">
        <f>(56+61.5*3)/4</f>
        <v>60.125</v>
      </c>
      <c r="I11" s="380"/>
      <c r="J11" s="379">
        <v>24.3</v>
      </c>
      <c r="K11" s="366"/>
      <c r="L11" s="365">
        <f>(89+98)/2</f>
        <v>93.5</v>
      </c>
      <c r="M11" s="366"/>
      <c r="N11" s="378">
        <v>126</v>
      </c>
      <c r="O11" s="378"/>
      <c r="P11" s="378">
        <v>75.8</v>
      </c>
      <c r="Q11" s="378"/>
      <c r="R11" s="378">
        <f>(56+61.5*3)/4</f>
        <v>60.125</v>
      </c>
      <c r="S11" s="378"/>
      <c r="T11" s="378">
        <v>14.85</v>
      </c>
      <c r="U11" s="378"/>
      <c r="V11" s="378">
        <v>58.75</v>
      </c>
      <c r="W11" s="378"/>
      <c r="X11" s="366">
        <v>33.299999999999997</v>
      </c>
      <c r="Y11" s="384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54">
        <f>B7/495*0.75</f>
        <v>1.8181818181818183</v>
      </c>
      <c r="C12" s="352"/>
      <c r="D12" s="349"/>
      <c r="E12" s="349"/>
      <c r="F12" s="349"/>
      <c r="G12" s="349"/>
      <c r="H12" s="349"/>
      <c r="I12" s="349"/>
      <c r="J12" s="352"/>
      <c r="K12" s="352"/>
      <c r="L12" s="354">
        <f>L7/495*0.75</f>
        <v>1.1363636363636362</v>
      </c>
      <c r="M12" s="352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52"/>
      <c r="Y12" s="375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54">
        <f>15.84+6+B7*0.075*$D$46+0.0583*B7*$F$46+0.0583*B7*$H$46</f>
        <v>109.9128</v>
      </c>
      <c r="C13" s="352"/>
      <c r="D13" s="349">
        <f>9.25+55+3</f>
        <v>67.25</v>
      </c>
      <c r="E13" s="349"/>
      <c r="F13" s="349">
        <f>24+F7*1.2*$D$46+F7*0.5*$F$46+F7*$H$46</f>
        <v>230</v>
      </c>
      <c r="G13" s="349"/>
      <c r="H13" s="349">
        <f>6.5+15.84+0.6667*H7*$F$46+1.333*H7*$H$46+1.6</f>
        <v>63.13476</v>
      </c>
      <c r="I13" s="349"/>
      <c r="J13" s="352">
        <f>24+1.25*J7*$D$46+0.6*J7*$F$46+0.9*J7*$H$46</f>
        <v>130.05000000000001</v>
      </c>
      <c r="K13" s="352"/>
      <c r="L13" s="354">
        <f>15.84+6+0.08*L7*$D$46+0.0667*L7*$F$46+0.0667*L7*$H$46</f>
        <v>82.856999999999999</v>
      </c>
      <c r="M13" s="352"/>
      <c r="N13" s="349">
        <f>9.25+55+3</f>
        <v>67.25</v>
      </c>
      <c r="O13" s="349"/>
      <c r="P13" s="349">
        <f>12+P7*1.1765*$D$46+0.4706*P7*$F$46+0.7059*P7*$H$46</f>
        <v>90.201955000000012</v>
      </c>
      <c r="Q13" s="349"/>
      <c r="R13" s="373">
        <f>6.5+15.84+1.3333*R7*$F$46+2.6667*R7*$H$46+1.6</f>
        <v>63.139919999999996</v>
      </c>
      <c r="S13" s="374"/>
      <c r="T13" s="349">
        <f>12+1.2308*T7*$D$46+0.6154*T7*$F$46+0.9231*T7*$H$46</f>
        <v>81.201729999999998</v>
      </c>
      <c r="U13" s="349"/>
      <c r="V13" s="349">
        <f>12+1.6*V7*$D$46+0.6667*V7*$F$46+0.8*V7*$H$46</f>
        <v>103.00095</v>
      </c>
      <c r="W13" s="349"/>
      <c r="X13" s="352">
        <f>12+1.4545*X7*$D$46+0.7273*X7*$F$46+0.7273*X7*$H$46</f>
        <v>75.199894999999998</v>
      </c>
      <c r="Y13" s="375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54"/>
      <c r="C14" s="352"/>
      <c r="D14" s="349"/>
      <c r="E14" s="349"/>
      <c r="F14" s="349"/>
      <c r="G14" s="349"/>
      <c r="H14" s="349"/>
      <c r="I14" s="349"/>
      <c r="J14" s="352"/>
      <c r="K14" s="352"/>
      <c r="L14" s="354"/>
      <c r="M14" s="352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52"/>
      <c r="Y14" s="375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54">
        <f>(53.68+58.64)/2+20.75+1.84+14.26</f>
        <v>93.01</v>
      </c>
      <c r="C15" s="352"/>
      <c r="D15" s="349">
        <f>40.5+54.2+92.22</f>
        <v>186.92000000000002</v>
      </c>
      <c r="E15" s="349"/>
      <c r="F15" s="349">
        <f>12.5+9.5+19.45</f>
        <v>41.45</v>
      </c>
      <c r="G15" s="349"/>
      <c r="H15" s="349">
        <f>28.85+4.55+24</f>
        <v>57.4</v>
      </c>
      <c r="I15" s="349"/>
      <c r="J15" s="352">
        <f>16.7+11.45</f>
        <v>28.15</v>
      </c>
      <c r="K15" s="352"/>
      <c r="L15" s="354">
        <f>(43.68+48.63)/2+20.75+1.33+14.26</f>
        <v>82.495000000000005</v>
      </c>
      <c r="M15" s="352"/>
      <c r="N15" s="349">
        <f>48.24+54.2+54.02</f>
        <v>156.46</v>
      </c>
      <c r="O15" s="349"/>
      <c r="P15" s="349">
        <f>12.5+9.5+19.45</f>
        <v>41.45</v>
      </c>
      <c r="Q15" s="349"/>
      <c r="R15" s="349">
        <f>27.5+4.55</f>
        <v>32.049999999999997</v>
      </c>
      <c r="S15" s="349"/>
      <c r="T15" s="349">
        <f>16.7+11.45</f>
        <v>28.15</v>
      </c>
      <c r="U15" s="349"/>
      <c r="V15" s="349">
        <f>22.3+2.18+7.8</f>
        <v>32.28</v>
      </c>
      <c r="W15" s="349"/>
      <c r="X15" s="352">
        <f>12.85+2.18+4.2</f>
        <v>19.23</v>
      </c>
      <c r="Y15" s="375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73"/>
      <c r="E16" s="374"/>
      <c r="F16" s="373"/>
      <c r="G16" s="374"/>
      <c r="H16" s="373"/>
      <c r="I16" s="374"/>
      <c r="J16" s="233"/>
      <c r="K16" s="233"/>
      <c r="L16" s="299"/>
      <c r="M16" s="298"/>
      <c r="N16" s="373"/>
      <c r="O16" s="374"/>
      <c r="P16" s="373"/>
      <c r="Q16" s="374"/>
      <c r="R16" s="373"/>
      <c r="S16" s="374"/>
      <c r="T16" s="373"/>
      <c r="U16" s="374"/>
      <c r="V16" s="373"/>
      <c r="W16" s="374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54">
        <v>15</v>
      </c>
      <c r="C17" s="352"/>
      <c r="D17" s="349">
        <v>15</v>
      </c>
      <c r="E17" s="349"/>
      <c r="F17" s="349"/>
      <c r="G17" s="349"/>
      <c r="H17" s="349"/>
      <c r="I17" s="349"/>
      <c r="J17" s="352"/>
      <c r="K17" s="352"/>
      <c r="L17" s="354">
        <v>15</v>
      </c>
      <c r="M17" s="352"/>
      <c r="N17" s="349">
        <v>15</v>
      </c>
      <c r="O17" s="349"/>
      <c r="P17" s="349"/>
      <c r="Q17" s="349"/>
      <c r="R17" s="349"/>
      <c r="S17" s="349"/>
      <c r="T17" s="349"/>
      <c r="U17" s="349"/>
      <c r="V17" s="349"/>
      <c r="W17" s="349"/>
      <c r="X17" s="352"/>
      <c r="Y17" s="375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54">
        <v>10</v>
      </c>
      <c r="C18" s="352"/>
      <c r="D18" s="349">
        <v>10</v>
      </c>
      <c r="E18" s="349"/>
      <c r="F18" s="349"/>
      <c r="G18" s="349"/>
      <c r="H18" s="349"/>
      <c r="I18" s="349"/>
      <c r="J18" s="352"/>
      <c r="K18" s="352"/>
      <c r="L18" s="354">
        <v>10</v>
      </c>
      <c r="M18" s="352"/>
      <c r="N18" s="349">
        <v>10</v>
      </c>
      <c r="O18" s="349"/>
      <c r="P18" s="349"/>
      <c r="Q18" s="349"/>
      <c r="R18" s="349"/>
      <c r="S18" s="349"/>
      <c r="T18" s="349"/>
      <c r="U18" s="349"/>
      <c r="V18" s="349"/>
      <c r="W18" s="349"/>
      <c r="X18" s="352"/>
      <c r="Y18" s="375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54">
        <f>(4.6+6.4)*$B$47</f>
        <v>22</v>
      </c>
      <c r="C19" s="352"/>
      <c r="D19" s="349">
        <f>(9.2+7.9)*$B$47</f>
        <v>34.200000000000003</v>
      </c>
      <c r="E19" s="349"/>
      <c r="F19" s="349">
        <f>7.4*$B$47</f>
        <v>14.8</v>
      </c>
      <c r="G19" s="349"/>
      <c r="H19" s="349">
        <f>6.8*$B$47</f>
        <v>13.6</v>
      </c>
      <c r="I19" s="349"/>
      <c r="J19" s="352">
        <f>7.6*$B$47</f>
        <v>15.2</v>
      </c>
      <c r="K19" s="352"/>
      <c r="L19" s="354">
        <f>(4.6+6.4)*$B$47</f>
        <v>22</v>
      </c>
      <c r="M19" s="352"/>
      <c r="N19" s="349">
        <f>(9.2+7.9)*$B$47</f>
        <v>34.200000000000003</v>
      </c>
      <c r="O19" s="349"/>
      <c r="P19" s="349">
        <f>7.4*B47</f>
        <v>14.8</v>
      </c>
      <c r="Q19" s="349"/>
      <c r="R19" s="349">
        <f>6.8*$B$47</f>
        <v>13.6</v>
      </c>
      <c r="S19" s="349"/>
      <c r="T19" s="349">
        <f>7.6*$B$47</f>
        <v>15.2</v>
      </c>
      <c r="U19" s="349"/>
      <c r="V19" s="349">
        <f>11*$B$47</f>
        <v>22</v>
      </c>
      <c r="W19" s="349"/>
      <c r="X19" s="352">
        <f>6.7*$B$47</f>
        <v>13.4</v>
      </c>
      <c r="Y19" s="375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54">
        <f>(23.48+13.7+13.7+27.45)/2</f>
        <v>39.164999999999999</v>
      </c>
      <c r="C20" s="352"/>
      <c r="D20" s="349">
        <f>22.27+32.04</f>
        <v>54.31</v>
      </c>
      <c r="E20" s="349"/>
      <c r="F20" s="349">
        <f>13.27+9.08</f>
        <v>22.35</v>
      </c>
      <c r="G20" s="349"/>
      <c r="H20" s="349">
        <f>11.49+8.22</f>
        <v>19.71</v>
      </c>
      <c r="I20" s="349"/>
      <c r="J20" s="373">
        <f>14.03+7.83</f>
        <v>21.86</v>
      </c>
      <c r="K20" s="375"/>
      <c r="L20" s="354">
        <f>(23.48+13.7+13.7+27.45)/2</f>
        <v>39.164999999999999</v>
      </c>
      <c r="M20" s="352"/>
      <c r="N20" s="349">
        <f>22.27+32.04</f>
        <v>54.31</v>
      </c>
      <c r="O20" s="349"/>
      <c r="P20" s="349">
        <f>13.27+9.08</f>
        <v>22.35</v>
      </c>
      <c r="Q20" s="349"/>
      <c r="R20" s="349">
        <f>11.49+8.22</f>
        <v>19.71</v>
      </c>
      <c r="S20" s="349"/>
      <c r="T20" s="373">
        <f>14.03+7.83</f>
        <v>21.86</v>
      </c>
      <c r="U20" s="375"/>
      <c r="V20" s="349">
        <f>18.21+6.08</f>
        <v>24.29</v>
      </c>
      <c r="W20" s="349"/>
      <c r="X20" s="352">
        <f>8.98+6.08</f>
        <v>15.06</v>
      </c>
      <c r="Y20" s="375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 x14ac:dyDescent="0.2">
      <c r="A21" s="105" t="s">
        <v>29</v>
      </c>
      <c r="B21" s="354">
        <f>((7*8)*0.67+(4.8*$B$47*8)*0.33)</f>
        <v>62.864000000000004</v>
      </c>
      <c r="C21" s="352"/>
      <c r="D21" s="349">
        <f>((7*6)*0.67+(4.8*$B$47*6)*0.33)</f>
        <v>47.147999999999996</v>
      </c>
      <c r="E21" s="349"/>
      <c r="F21" s="373">
        <f>((7*8)*0.67+(4.8*$B$47*8)*0.33)</f>
        <v>62.864000000000004</v>
      </c>
      <c r="G21" s="374"/>
      <c r="H21" s="349">
        <f>((7*5)*0.67+(4.8*$B$47*5)*0.33)</f>
        <v>39.290000000000006</v>
      </c>
      <c r="I21" s="349"/>
      <c r="J21" s="373">
        <f>((7*4)*0.67+(4.8*$B$47*4)*0.33)</f>
        <v>31.432000000000002</v>
      </c>
      <c r="K21" s="352"/>
      <c r="L21" s="354"/>
      <c r="M21" s="352"/>
      <c r="N21" s="349"/>
      <c r="O21" s="349"/>
      <c r="P21" s="349"/>
      <c r="Q21" s="349"/>
      <c r="R21" s="349"/>
      <c r="S21" s="349"/>
      <c r="T21" s="349"/>
      <c r="U21" s="349"/>
      <c r="V21" s="373"/>
      <c r="W21" s="374"/>
      <c r="X21" s="352"/>
      <c r="Y21" s="375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54">
        <v>18.989999999999998</v>
      </c>
      <c r="C22" s="352"/>
      <c r="D22" s="349">
        <v>33.93</v>
      </c>
      <c r="E22" s="349"/>
      <c r="F22" s="349">
        <v>14.1</v>
      </c>
      <c r="G22" s="349"/>
      <c r="H22" s="349">
        <v>12.52</v>
      </c>
      <c r="I22" s="349"/>
      <c r="J22" s="349">
        <v>14.64</v>
      </c>
      <c r="K22" s="349"/>
      <c r="L22" s="354">
        <v>18.989999999999998</v>
      </c>
      <c r="M22" s="352"/>
      <c r="N22" s="349">
        <v>33.93</v>
      </c>
      <c r="O22" s="349"/>
      <c r="P22" s="349">
        <v>14.1</v>
      </c>
      <c r="Q22" s="349"/>
      <c r="R22" s="349">
        <v>12.52</v>
      </c>
      <c r="S22" s="349"/>
      <c r="T22" s="349">
        <v>14.64</v>
      </c>
      <c r="U22" s="349"/>
      <c r="V22" s="349">
        <v>17.54</v>
      </c>
      <c r="W22" s="349"/>
      <c r="X22" s="352">
        <v>10.07</v>
      </c>
      <c r="Y22" s="375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54">
        <v>10</v>
      </c>
      <c r="C23" s="352"/>
      <c r="D23" s="349">
        <v>18</v>
      </c>
      <c r="E23" s="349"/>
      <c r="F23" s="349">
        <v>15</v>
      </c>
      <c r="G23" s="349"/>
      <c r="H23" s="349">
        <v>10</v>
      </c>
      <c r="I23" s="349"/>
      <c r="J23" s="352">
        <v>18.5</v>
      </c>
      <c r="K23" s="352"/>
      <c r="L23" s="354">
        <v>18</v>
      </c>
      <c r="M23" s="352"/>
      <c r="N23" s="349">
        <v>25</v>
      </c>
      <c r="O23" s="349"/>
      <c r="P23" s="349">
        <v>22</v>
      </c>
      <c r="Q23" s="349"/>
      <c r="R23" s="349">
        <v>16</v>
      </c>
      <c r="S23" s="349"/>
      <c r="T23" s="349">
        <v>16.5</v>
      </c>
      <c r="U23" s="349"/>
      <c r="V23" s="349">
        <v>12</v>
      </c>
      <c r="W23" s="349"/>
      <c r="X23" s="352">
        <v>14</v>
      </c>
      <c r="Y23" s="375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54"/>
      <c r="C24" s="352"/>
      <c r="D24" s="349"/>
      <c r="E24" s="349"/>
      <c r="F24" s="349"/>
      <c r="G24" s="349"/>
      <c r="H24" s="349"/>
      <c r="I24" s="349"/>
      <c r="J24" s="352"/>
      <c r="K24" s="352"/>
      <c r="L24" s="354"/>
      <c r="M24" s="352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52"/>
      <c r="Y24" s="375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54"/>
      <c r="C25" s="352"/>
      <c r="D25" s="349"/>
      <c r="E25" s="349"/>
      <c r="F25" s="349"/>
      <c r="G25" s="349"/>
      <c r="H25" s="349"/>
      <c r="I25" s="349"/>
      <c r="J25" s="352"/>
      <c r="K25" s="352"/>
      <c r="L25" s="354"/>
      <c r="M25" s="352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52"/>
      <c r="Y25" s="375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67">
        <f>(SUM(B11:B25))*0.5*0.055</f>
        <v>13.0971495</v>
      </c>
      <c r="C26" s="340"/>
      <c r="D26" s="339">
        <f>(SUM(D11:D25))*0.5*0.055</f>
        <v>16.300844999999999</v>
      </c>
      <c r="E26" s="339"/>
      <c r="F26" s="339">
        <f>(SUM(F11:F25))*0.5*0.055</f>
        <v>14.350710000000001</v>
      </c>
      <c r="G26" s="339"/>
      <c r="H26" s="339">
        <f>(SUM(H11:H25))*0.5*0.055</f>
        <v>7.5839433999999999</v>
      </c>
      <c r="I26" s="339"/>
      <c r="J26" s="340">
        <f>(SUM(J11:J25))*0.5*0.055</f>
        <v>7.8136299999999999</v>
      </c>
      <c r="K26" s="340"/>
      <c r="L26" s="367">
        <f>(SUM(L11:L25))*0.5*0.055</f>
        <v>10.536442500000001</v>
      </c>
      <c r="M26" s="340"/>
      <c r="N26" s="339">
        <f>(SUM(N11:N25))*0.5*0.055</f>
        <v>14.359125000000002</v>
      </c>
      <c r="O26" s="339"/>
      <c r="P26" s="339">
        <f>(SUM(P11:P25))*0.5*0.055</f>
        <v>7.7193037625000001</v>
      </c>
      <c r="Q26" s="339"/>
      <c r="R26" s="339">
        <f>(SUM(R11:R25))*0.5*0.055</f>
        <v>5.9714852999999994</v>
      </c>
      <c r="S26" s="339"/>
      <c r="T26" s="339">
        <f>(SUM(T11:T25))*0.5*0.055</f>
        <v>5.2910475749999994</v>
      </c>
      <c r="U26" s="339"/>
      <c r="V26" s="339">
        <f>(SUM(V11:V25))*0.5*0.055</f>
        <v>7.4211761249999997</v>
      </c>
      <c r="W26" s="339"/>
      <c r="X26" s="340">
        <f>(SUM(X11:X25))*0.5*0.055</f>
        <v>4.9571471125000004</v>
      </c>
      <c r="Y26" s="386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67">
        <f>B7*0.0395</f>
        <v>47.4</v>
      </c>
      <c r="C27" s="340"/>
      <c r="D27" s="339"/>
      <c r="E27" s="339"/>
      <c r="F27" s="339"/>
      <c r="G27" s="339"/>
      <c r="H27" s="339"/>
      <c r="I27" s="339"/>
      <c r="J27" s="340"/>
      <c r="K27" s="340"/>
      <c r="L27" s="367">
        <f>0.0395*L7</f>
        <v>29.625</v>
      </c>
      <c r="M27" s="340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40"/>
      <c r="Y27" s="386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67"/>
      <c r="C28" s="340"/>
      <c r="D28" s="339">
        <f>D7/2000*0.33*20+D7/2000*0.67*30</f>
        <v>62.745000000000005</v>
      </c>
      <c r="E28" s="339"/>
      <c r="F28" s="339">
        <f>F7*1.0975*0.28</f>
        <v>61.46</v>
      </c>
      <c r="G28" s="339"/>
      <c r="H28" s="339"/>
      <c r="I28" s="339"/>
      <c r="J28" s="340">
        <f>J7*1.0975*0.28</f>
        <v>30.73</v>
      </c>
      <c r="K28" s="340"/>
      <c r="L28" s="367"/>
      <c r="M28" s="340"/>
      <c r="N28" s="339">
        <f>N7/2000*0.33*20+N7/2000*0.67*30</f>
        <v>45.39</v>
      </c>
      <c r="O28" s="339"/>
      <c r="P28" s="339">
        <f>P7*1.0975*0.28</f>
        <v>26.1205</v>
      </c>
      <c r="Q28" s="339"/>
      <c r="R28" s="339"/>
      <c r="S28" s="339"/>
      <c r="T28" s="339">
        <f>T7*1.0975*0.28</f>
        <v>19.974499999999999</v>
      </c>
      <c r="U28" s="339"/>
      <c r="V28" s="339">
        <f>V7*1.03*0.095</f>
        <v>7.3387500000000001</v>
      </c>
      <c r="W28" s="339"/>
      <c r="X28" s="340">
        <f>X7*1.03*0.095</f>
        <v>5.3817500000000003</v>
      </c>
      <c r="Y28" s="386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61"/>
      <c r="C29" s="362"/>
      <c r="D29" s="351">
        <f>D7/2000*3+D7/2000*355*0.01</f>
        <v>15.3925</v>
      </c>
      <c r="E29" s="351"/>
      <c r="F29" s="351"/>
      <c r="G29" s="351"/>
      <c r="H29" s="351"/>
      <c r="I29" s="351"/>
      <c r="J29" s="362"/>
      <c r="K29" s="362"/>
      <c r="L29" s="361"/>
      <c r="M29" s="362"/>
      <c r="N29" s="351">
        <f>N7/2000*3+N7/2000*355*0.01</f>
        <v>11.135</v>
      </c>
      <c r="O29" s="351"/>
      <c r="P29" s="351"/>
      <c r="Q29" s="351"/>
      <c r="R29" s="351"/>
      <c r="S29" s="351"/>
      <c r="T29" s="351"/>
      <c r="U29" s="351"/>
      <c r="V29" s="351"/>
      <c r="W29" s="351"/>
      <c r="X29" s="362"/>
      <c r="Y29" s="389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8">
        <f t="shared" ref="B30:X30" si="0">SUM(B11:B29)</f>
        <v>536.75713131818179</v>
      </c>
      <c r="C30" s="350"/>
      <c r="D30" s="337">
        <f t="shared" si="0"/>
        <v>687.19634499999995</v>
      </c>
      <c r="E30" s="337"/>
      <c r="F30" s="337">
        <f t="shared" si="0"/>
        <v>597.65471000000014</v>
      </c>
      <c r="G30" s="337"/>
      <c r="H30" s="337">
        <f t="shared" si="0"/>
        <v>283.36370340000002</v>
      </c>
      <c r="I30" s="337"/>
      <c r="J30" s="350">
        <f t="shared" si="0"/>
        <v>322.67563000000001</v>
      </c>
      <c r="K30" s="350"/>
      <c r="L30" s="368">
        <f>SUM(L11:L29)</f>
        <v>423.30480613636371</v>
      </c>
      <c r="M30" s="350"/>
      <c r="N30" s="337">
        <f t="shared" si="0"/>
        <v>593.03412500000002</v>
      </c>
      <c r="O30" s="337"/>
      <c r="P30" s="337">
        <f t="shared" si="0"/>
        <v>314.54175876249997</v>
      </c>
      <c r="Q30" s="337"/>
      <c r="R30" s="337">
        <f t="shared" si="0"/>
        <v>223.1164053</v>
      </c>
      <c r="S30" s="337"/>
      <c r="T30" s="337">
        <f t="shared" si="0"/>
        <v>217.66727757499999</v>
      </c>
      <c r="U30" s="337"/>
      <c r="V30" s="337">
        <f>SUM(V11:V29)</f>
        <v>284.620876125</v>
      </c>
      <c r="W30" s="337"/>
      <c r="X30" s="350">
        <f t="shared" si="0"/>
        <v>190.59879211250001</v>
      </c>
      <c r="Y30" s="387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71">
        <f t="shared" ref="B31:X31" si="1">B9-B30</f>
        <v>363.24286868181821</v>
      </c>
      <c r="C31" s="372"/>
      <c r="D31" s="356">
        <f t="shared" si="1"/>
        <v>370.30365500000005</v>
      </c>
      <c r="E31" s="356"/>
      <c r="F31" s="356">
        <f t="shared" si="1"/>
        <v>372.34528999999975</v>
      </c>
      <c r="G31" s="356"/>
      <c r="H31" s="356">
        <f t="shared" si="1"/>
        <v>361.63629659999998</v>
      </c>
      <c r="I31" s="356"/>
      <c r="J31" s="372">
        <f t="shared" si="1"/>
        <v>127.32436999999999</v>
      </c>
      <c r="K31" s="372"/>
      <c r="L31" s="371">
        <f t="shared" si="1"/>
        <v>139.19519386363629</v>
      </c>
      <c r="M31" s="372"/>
      <c r="N31" s="356">
        <f t="shared" si="1"/>
        <v>171.96587499999998</v>
      </c>
      <c r="O31" s="356"/>
      <c r="P31" s="356">
        <f t="shared" si="1"/>
        <v>97.708241237499976</v>
      </c>
      <c r="Q31" s="356"/>
      <c r="R31" s="356">
        <f t="shared" si="1"/>
        <v>99.383594700000003</v>
      </c>
      <c r="S31" s="356"/>
      <c r="T31" s="356">
        <f t="shared" si="1"/>
        <v>74.832722425000014</v>
      </c>
      <c r="U31" s="356"/>
      <c r="V31" s="356">
        <f>V9-V30</f>
        <v>135.379123875</v>
      </c>
      <c r="W31" s="356"/>
      <c r="X31" s="372">
        <f t="shared" si="1"/>
        <v>117.40120788749999</v>
      </c>
      <c r="Y31" s="388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0.44729760943181818</v>
      </c>
      <c r="C32" s="263" t="s">
        <v>159</v>
      </c>
      <c r="D32" s="264">
        <f>D30/D7*2000</f>
        <v>292.42397659574465</v>
      </c>
      <c r="E32" s="265" t="s">
        <v>160</v>
      </c>
      <c r="F32" s="266">
        <f>F30/F7</f>
        <v>2.9882735500000006</v>
      </c>
      <c r="G32" s="265" t="s">
        <v>162</v>
      </c>
      <c r="H32" s="266">
        <f>H30/H7</f>
        <v>4.7227283900000003</v>
      </c>
      <c r="I32" s="265" t="s">
        <v>162</v>
      </c>
      <c r="J32" s="267">
        <f>J30/J7</f>
        <v>3.2267562999999999</v>
      </c>
      <c r="K32" s="263" t="s">
        <v>162</v>
      </c>
      <c r="L32" s="262">
        <f>L30/L7</f>
        <v>0.56440640818181831</v>
      </c>
      <c r="M32" s="263" t="s">
        <v>159</v>
      </c>
      <c r="N32" s="264">
        <f>N30/N7*2000</f>
        <v>348.84360294117653</v>
      </c>
      <c r="O32" s="265" t="s">
        <v>160</v>
      </c>
      <c r="P32" s="266">
        <f>P30/P7</f>
        <v>3.7004912795588232</v>
      </c>
      <c r="Q32" s="265" t="s">
        <v>162</v>
      </c>
      <c r="R32" s="266">
        <f>R30/R7</f>
        <v>7.4372135100000003</v>
      </c>
      <c r="S32" s="265" t="s">
        <v>162</v>
      </c>
      <c r="T32" s="266">
        <f>T30/T7</f>
        <v>3.3487273473076922</v>
      </c>
      <c r="U32" s="265" t="s">
        <v>162</v>
      </c>
      <c r="V32" s="266">
        <f>V30/V7</f>
        <v>3.7949450150000001</v>
      </c>
      <c r="W32" s="265" t="s">
        <v>162</v>
      </c>
      <c r="X32" s="267">
        <f>X30/X7</f>
        <v>3.4654325838636364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3">
        <f>B30/B8</f>
        <v>715.67617509090906</v>
      </c>
      <c r="C33" s="324" t="s">
        <v>158</v>
      </c>
      <c r="D33" s="325">
        <f>D30/D8*2000</f>
        <v>3054.2059777777777</v>
      </c>
      <c r="E33" s="326" t="s">
        <v>158</v>
      </c>
      <c r="F33" s="325">
        <f>F30/F8</f>
        <v>123.22777525773199</v>
      </c>
      <c r="G33" s="326" t="s">
        <v>161</v>
      </c>
      <c r="H33" s="325">
        <f>H30/H8</f>
        <v>26.359414269767445</v>
      </c>
      <c r="I33" s="326" t="s">
        <v>161</v>
      </c>
      <c r="J33" s="327">
        <f>J30/J8</f>
        <v>71.705695555555565</v>
      </c>
      <c r="K33" s="324" t="s">
        <v>161</v>
      </c>
      <c r="L33" s="323">
        <f>L30/L8</f>
        <v>564.40640818181828</v>
      </c>
      <c r="M33" s="324" t="s">
        <v>158</v>
      </c>
      <c r="N33" s="325">
        <f>N30/N8*2000</f>
        <v>2635.7072222222223</v>
      </c>
      <c r="O33" s="326" t="s">
        <v>158</v>
      </c>
      <c r="P33" s="325">
        <f>P30/P8</f>
        <v>64.853970878865979</v>
      </c>
      <c r="Q33" s="326" t="s">
        <v>161</v>
      </c>
      <c r="R33" s="325">
        <f>R30/R8</f>
        <v>20.755014446511627</v>
      </c>
      <c r="S33" s="326" t="s">
        <v>161</v>
      </c>
      <c r="T33" s="325">
        <f>T30/T8</f>
        <v>48.370506127777773</v>
      </c>
      <c r="U33" s="326" t="s">
        <v>161</v>
      </c>
      <c r="V33" s="325">
        <f>V30/V8</f>
        <v>50.825156450892862</v>
      </c>
      <c r="W33" s="326" t="s">
        <v>161</v>
      </c>
      <c r="X33" s="325">
        <f>X30/X8</f>
        <v>34.035498591517857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67"/>
      <c r="C34" s="340"/>
      <c r="D34" s="339"/>
      <c r="E34" s="339"/>
      <c r="F34" s="339"/>
      <c r="G34" s="339"/>
      <c r="H34" s="339"/>
      <c r="I34" s="339"/>
      <c r="J34" s="340"/>
      <c r="K34" s="340"/>
      <c r="L34" s="367"/>
      <c r="M34" s="340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40"/>
      <c r="Y34" s="386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54">
        <f>(45.09+93.25+45.09+130.14)/2</f>
        <v>156.785</v>
      </c>
      <c r="C35" s="352"/>
      <c r="D35" s="349">
        <f>64.14+97.79</f>
        <v>161.93</v>
      </c>
      <c r="E35" s="349"/>
      <c r="F35" s="349">
        <f>36.46+44.86</f>
        <v>81.319999999999993</v>
      </c>
      <c r="G35" s="349"/>
      <c r="H35" s="349">
        <f>32.82+40.95</f>
        <v>73.77000000000001</v>
      </c>
      <c r="I35" s="349"/>
      <c r="J35" s="373">
        <f>37.8+41.2</f>
        <v>79</v>
      </c>
      <c r="K35" s="374"/>
      <c r="L35" s="354">
        <f>(45.09+93.25+45.09+130.14)/2</f>
        <v>156.785</v>
      </c>
      <c r="M35" s="352"/>
      <c r="N35" s="349">
        <f>64.14+97.79</f>
        <v>161.93</v>
      </c>
      <c r="O35" s="349"/>
      <c r="P35" s="349">
        <f>36.46+44.86</f>
        <v>81.319999999999993</v>
      </c>
      <c r="Q35" s="349"/>
      <c r="R35" s="349">
        <f>31.76+37.47</f>
        <v>69.23</v>
      </c>
      <c r="S35" s="349"/>
      <c r="T35" s="373">
        <f>37.8+41.2</f>
        <v>79</v>
      </c>
      <c r="U35" s="374"/>
      <c r="V35" s="349">
        <f>52.44+28.78</f>
        <v>81.22</v>
      </c>
      <c r="W35" s="349"/>
      <c r="X35" s="352">
        <f>24.79+28.78</f>
        <v>53.57</v>
      </c>
      <c r="Y35" s="375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54">
        <v>130</v>
      </c>
      <c r="C36" s="352"/>
      <c r="D36" s="349">
        <v>130</v>
      </c>
      <c r="E36" s="349"/>
      <c r="F36" s="349">
        <v>130</v>
      </c>
      <c r="G36" s="349"/>
      <c r="H36" s="349">
        <v>130</v>
      </c>
      <c r="I36" s="349"/>
      <c r="J36" s="352">
        <v>130</v>
      </c>
      <c r="K36" s="352"/>
      <c r="L36" s="354"/>
      <c r="M36" s="352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52"/>
      <c r="Y36" s="375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54"/>
      <c r="C37" s="352"/>
      <c r="D37" s="349"/>
      <c r="E37" s="349"/>
      <c r="F37" s="349"/>
      <c r="G37" s="349"/>
      <c r="H37" s="349"/>
      <c r="I37" s="349"/>
      <c r="J37" s="352"/>
      <c r="K37" s="352"/>
      <c r="L37" s="354"/>
      <c r="M37" s="352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52"/>
      <c r="Y37" s="375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61">
        <f>0.05*B30</f>
        <v>26.837856565909092</v>
      </c>
      <c r="C38" s="362"/>
      <c r="D38" s="351">
        <f>0.05*D30</f>
        <v>34.359817249999999</v>
      </c>
      <c r="E38" s="351"/>
      <c r="F38" s="351">
        <f>0.05*F30</f>
        <v>29.88273550000001</v>
      </c>
      <c r="G38" s="351"/>
      <c r="H38" s="351">
        <f>0.05*H30</f>
        <v>14.168185170000001</v>
      </c>
      <c r="I38" s="351"/>
      <c r="J38" s="362">
        <f>0.05*J30</f>
        <v>16.133781500000001</v>
      </c>
      <c r="K38" s="362"/>
      <c r="L38" s="361">
        <f>0.05*L30</f>
        <v>21.165240306818188</v>
      </c>
      <c r="M38" s="362"/>
      <c r="N38" s="351">
        <f>0.05*N30</f>
        <v>29.651706250000004</v>
      </c>
      <c r="O38" s="351"/>
      <c r="P38" s="351">
        <f>0.05*P30</f>
        <v>15.727087938124999</v>
      </c>
      <c r="Q38" s="351"/>
      <c r="R38" s="351">
        <f>0.05*R30</f>
        <v>11.155820265000001</v>
      </c>
      <c r="S38" s="351"/>
      <c r="T38" s="351">
        <f>0.05*T30</f>
        <v>10.88336387875</v>
      </c>
      <c r="U38" s="351"/>
      <c r="V38" s="351">
        <f>0.05*V30</f>
        <v>14.23104380625</v>
      </c>
      <c r="W38" s="351"/>
      <c r="X38" s="362">
        <f>0.05*X30</f>
        <v>9.5299396056250014</v>
      </c>
      <c r="Y38" s="389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401">
        <f>SUM(B35:B38)</f>
        <v>313.62285656590905</v>
      </c>
      <c r="C39" s="400"/>
      <c r="D39" s="355">
        <f>SUM(D35:D38)</f>
        <v>326.28981725</v>
      </c>
      <c r="E39" s="355"/>
      <c r="F39" s="355">
        <f>SUM(F35:F38)</f>
        <v>241.20273550000002</v>
      </c>
      <c r="G39" s="355"/>
      <c r="H39" s="355">
        <f>SUM(H35:H38)</f>
        <v>217.93818517</v>
      </c>
      <c r="I39" s="355"/>
      <c r="J39" s="400">
        <f>SUM(J35:J38)</f>
        <v>225.1337815</v>
      </c>
      <c r="K39" s="400"/>
      <c r="L39" s="401">
        <f>SUM(L35:L38)</f>
        <v>177.95024030681819</v>
      </c>
      <c r="M39" s="400"/>
      <c r="N39" s="355">
        <f>SUM(N35:N38)</f>
        <v>191.58170625000002</v>
      </c>
      <c r="O39" s="355"/>
      <c r="P39" s="355">
        <f>SUM(P35:P38)</f>
        <v>97.047087938124989</v>
      </c>
      <c r="Q39" s="355"/>
      <c r="R39" s="355">
        <f>SUM(R35:R38)</f>
        <v>80.385820265000007</v>
      </c>
      <c r="S39" s="355"/>
      <c r="T39" s="355">
        <f>SUM(T35:T38)</f>
        <v>89.883363878750004</v>
      </c>
      <c r="U39" s="355"/>
      <c r="V39" s="355">
        <f>SUM(V35:V38)</f>
        <v>95.451043806249999</v>
      </c>
      <c r="W39" s="355"/>
      <c r="X39" s="400">
        <f>SUM(X35:X38)</f>
        <v>63.099939605625003</v>
      </c>
      <c r="Y39" s="403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92"/>
      <c r="E40" s="392"/>
      <c r="F40" s="392"/>
      <c r="G40" s="392"/>
      <c r="H40" s="392"/>
      <c r="I40" s="392"/>
      <c r="J40" s="398"/>
      <c r="K40" s="398"/>
      <c r="L40" s="399"/>
      <c r="M40" s="398"/>
      <c r="N40" s="392"/>
      <c r="O40" s="392"/>
      <c r="P40" s="392"/>
      <c r="Q40" s="392"/>
      <c r="R40" s="392"/>
      <c r="S40" s="392"/>
      <c r="T40" s="392"/>
      <c r="U40" s="392"/>
      <c r="V40" s="303"/>
      <c r="W40" s="304"/>
      <c r="X40" s="398"/>
      <c r="Y40" s="402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8">
        <f>B39+B30</f>
        <v>850.37998788409084</v>
      </c>
      <c r="C41" s="350"/>
      <c r="D41" s="337">
        <f>D39+D30</f>
        <v>1013.48616225</v>
      </c>
      <c r="E41" s="337"/>
      <c r="F41" s="337">
        <f>F39+F30</f>
        <v>838.85744550000015</v>
      </c>
      <c r="G41" s="337"/>
      <c r="H41" s="337">
        <f>H39+H30</f>
        <v>501.30188857000002</v>
      </c>
      <c r="I41" s="337"/>
      <c r="J41" s="350">
        <f>J39+J30</f>
        <v>547.80941150000001</v>
      </c>
      <c r="K41" s="350"/>
      <c r="L41" s="368">
        <f>L39+L30</f>
        <v>601.25504644318187</v>
      </c>
      <c r="M41" s="350"/>
      <c r="N41" s="337">
        <f>N39+N30</f>
        <v>784.61583125000004</v>
      </c>
      <c r="O41" s="337"/>
      <c r="P41" s="337">
        <f>P39+P30</f>
        <v>411.58884670062497</v>
      </c>
      <c r="Q41" s="337"/>
      <c r="R41" s="337">
        <f>R39+R30</f>
        <v>303.502225565</v>
      </c>
      <c r="S41" s="337"/>
      <c r="T41" s="337">
        <f>T39+T30</f>
        <v>307.55064145375002</v>
      </c>
      <c r="U41" s="337"/>
      <c r="V41" s="337">
        <f>V39+V30</f>
        <v>380.07191993125002</v>
      </c>
      <c r="W41" s="337"/>
      <c r="X41" s="350">
        <f>X39+X30</f>
        <v>253.698731718125</v>
      </c>
      <c r="Y41" s="387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405">
        <f>B9-B41</f>
        <v>49.620012115909162</v>
      </c>
      <c r="C42" s="391"/>
      <c r="D42" s="390">
        <f>D9-D41</f>
        <v>44.013837749999993</v>
      </c>
      <c r="E42" s="390"/>
      <c r="F42" s="390">
        <f>F9-F41</f>
        <v>131.14255449999973</v>
      </c>
      <c r="G42" s="390"/>
      <c r="H42" s="390">
        <f>H9-H41</f>
        <v>143.69811142999998</v>
      </c>
      <c r="I42" s="390"/>
      <c r="J42" s="391">
        <f>J9-J41</f>
        <v>-97.80941150000001</v>
      </c>
      <c r="K42" s="391"/>
      <c r="L42" s="405">
        <f>L9-L41</f>
        <v>-38.755046443181868</v>
      </c>
      <c r="M42" s="391"/>
      <c r="N42" s="390">
        <f>N9-N41</f>
        <v>-19.615831250000042</v>
      </c>
      <c r="O42" s="390"/>
      <c r="P42" s="390">
        <f>P9-P41</f>
        <v>0.66115329937497336</v>
      </c>
      <c r="Q42" s="390"/>
      <c r="R42" s="390">
        <f>R9-R41</f>
        <v>18.997774434999997</v>
      </c>
      <c r="S42" s="390"/>
      <c r="T42" s="390">
        <f>T9-T41</f>
        <v>-15.050641453750018</v>
      </c>
      <c r="U42" s="390"/>
      <c r="V42" s="390">
        <f>V9-V41</f>
        <v>39.928080068749978</v>
      </c>
      <c r="W42" s="390"/>
      <c r="X42" s="391">
        <f>X9-X41</f>
        <v>54.301268281874997</v>
      </c>
      <c r="Y42" s="395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38"/>
      <c r="E43" s="338"/>
      <c r="F43" s="396"/>
      <c r="G43" s="397"/>
      <c r="H43" s="396"/>
      <c r="I43" s="397"/>
      <c r="J43" s="142"/>
      <c r="K43" s="142"/>
      <c r="L43" s="404"/>
      <c r="M43" s="393"/>
      <c r="N43" s="338"/>
      <c r="O43" s="338"/>
      <c r="P43" s="338"/>
      <c r="Q43" s="338"/>
      <c r="R43" s="338"/>
      <c r="S43" s="338"/>
      <c r="T43" s="338"/>
      <c r="U43" s="338"/>
      <c r="V43" s="396"/>
      <c r="W43" s="397"/>
      <c r="X43" s="393"/>
      <c r="Y43" s="394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0.70864998990340899</v>
      </c>
      <c r="C44" s="146" t="s">
        <v>159</v>
      </c>
      <c r="D44" s="242">
        <f>D41/D7*2000</f>
        <v>431.27070734042553</v>
      </c>
      <c r="E44" s="244" t="s">
        <v>160</v>
      </c>
      <c r="F44" s="243">
        <f>F41/F7</f>
        <v>4.1942872275000012</v>
      </c>
      <c r="G44" s="244" t="s">
        <v>162</v>
      </c>
      <c r="H44" s="243">
        <f>H41/H7</f>
        <v>8.3550314761666673</v>
      </c>
      <c r="I44" s="244" t="s">
        <v>162</v>
      </c>
      <c r="J44" s="243">
        <f>J41/J7</f>
        <v>5.4780941150000002</v>
      </c>
      <c r="K44" s="129" t="s">
        <v>162</v>
      </c>
      <c r="L44" s="145">
        <f>L41/L7</f>
        <v>0.80167339525757586</v>
      </c>
      <c r="M44" s="146" t="s">
        <v>159</v>
      </c>
      <c r="N44" s="239">
        <f>N41/N7*2000</f>
        <v>461.53872426470588</v>
      </c>
      <c r="O44" s="238" t="s">
        <v>160</v>
      </c>
      <c r="P44" s="240">
        <f>P41/P7</f>
        <v>4.8422217258897051</v>
      </c>
      <c r="Q44" s="238" t="s">
        <v>162</v>
      </c>
      <c r="R44" s="240">
        <f>R41/R7</f>
        <v>10.116740852166666</v>
      </c>
      <c r="S44" s="238" t="s">
        <v>162</v>
      </c>
      <c r="T44" s="240">
        <f>T41/T7</f>
        <v>4.7315483300576924</v>
      </c>
      <c r="U44" s="238" t="s">
        <v>162</v>
      </c>
      <c r="V44" s="240">
        <f>V41/V7</f>
        <v>5.0676255990833337</v>
      </c>
      <c r="W44" s="238" t="s">
        <v>162</v>
      </c>
      <c r="X44" s="147">
        <f>X41/X7</f>
        <v>4.6127042130568183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1133.8399838454545</v>
      </c>
      <c r="C45" s="150" t="s">
        <v>158</v>
      </c>
      <c r="D45" s="245">
        <f>D41/D8*2000</f>
        <v>4504.382943333334</v>
      </c>
      <c r="E45" s="241" t="s">
        <v>158</v>
      </c>
      <c r="F45" s="246">
        <f>F41/F8</f>
        <v>172.96029804123717</v>
      </c>
      <c r="G45" s="238" t="s">
        <v>161</v>
      </c>
      <c r="H45" s="246">
        <f>H41/H8</f>
        <v>46.63273382046512</v>
      </c>
      <c r="I45" s="238" t="s">
        <v>161</v>
      </c>
      <c r="J45" s="246">
        <f>J41/J8</f>
        <v>121.73542477777778</v>
      </c>
      <c r="K45" s="305" t="s">
        <v>161</v>
      </c>
      <c r="L45" s="312">
        <f>L41/L8</f>
        <v>801.67339525757586</v>
      </c>
      <c r="M45" s="150" t="s">
        <v>158</v>
      </c>
      <c r="N45" s="245">
        <f>N41/N8*2000</f>
        <v>3487.1814722222225</v>
      </c>
      <c r="O45" s="241" t="s">
        <v>158</v>
      </c>
      <c r="P45" s="246">
        <f>P41/P8</f>
        <v>84.863679732087633</v>
      </c>
      <c r="Q45" s="238" t="s">
        <v>161</v>
      </c>
      <c r="R45" s="246">
        <f>R41/R8</f>
        <v>28.232765168837208</v>
      </c>
      <c r="S45" s="238" t="s">
        <v>161</v>
      </c>
      <c r="T45" s="246">
        <f>T41/T8</f>
        <v>68.344586989722231</v>
      </c>
      <c r="U45" s="238" t="s">
        <v>161</v>
      </c>
      <c r="V45" s="246">
        <f>V41/V8</f>
        <v>67.869985702008933</v>
      </c>
      <c r="W45" s="238" t="s">
        <v>161</v>
      </c>
      <c r="X45" s="151">
        <f>X41/X8</f>
        <v>45.303344949665181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v>0.45</v>
      </c>
      <c r="E46" s="170" t="s">
        <v>65</v>
      </c>
      <c r="F46" s="169">
        <v>0.38</v>
      </c>
      <c r="G46" s="170" t="s">
        <v>66</v>
      </c>
      <c r="H46" s="234">
        <v>0.3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2</v>
      </c>
      <c r="C47" s="353" t="s">
        <v>67</v>
      </c>
      <c r="D47" s="353"/>
      <c r="E47" s="3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53" t="s">
        <v>193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5"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10" t="s">
        <v>85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536.75713131818179</v>
      </c>
      <c r="C3" s="4">
        <f>Conventional!$D$30</f>
        <v>687.19634499999995</v>
      </c>
      <c r="D3" s="4">
        <f>Conventional!$F$30</f>
        <v>597.65471000000014</v>
      </c>
      <c r="E3" s="4">
        <f>Conventional!$H$30</f>
        <v>283.36370340000002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06" t="s">
        <v>74</v>
      </c>
      <c r="C5" s="406"/>
      <c r="D5" s="406"/>
      <c r="E5" s="406"/>
      <c r="F5" s="29"/>
      <c r="G5" s="407" t="s">
        <v>75</v>
      </c>
      <c r="H5" s="407"/>
      <c r="I5" s="407"/>
      <c r="J5" s="407"/>
      <c r="K5" s="29"/>
      <c r="L5" s="408" t="s">
        <v>76</v>
      </c>
      <c r="M5" s="408"/>
      <c r="N5" s="408"/>
      <c r="O5" s="408"/>
      <c r="P5" s="29"/>
      <c r="Q5" s="409" t="s">
        <v>77</v>
      </c>
      <c r="R5" s="409"/>
      <c r="S5" s="409"/>
      <c r="T5" s="409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0.57499999999999984</v>
      </c>
      <c r="C7" s="19">
        <f t="shared" ref="C7:C21" si="1">(((B7*$B$4)-$B$3+$C$3)/$C$4)*2000</f>
        <v>357.63370794970979</v>
      </c>
      <c r="D7" s="18">
        <f t="shared" ref="D7:D21" si="2">(((B7*$B$4)-$B$3+$D$3)/$D$4)</f>
        <v>3.7544878934090904</v>
      </c>
      <c r="E7" s="18">
        <f>(((B7*$B$4)-$B$3+$E$3)/$E$4)</f>
        <v>7.2767762013636332</v>
      </c>
      <c r="G7" s="20">
        <f>(((H7*$C$4/2000)-$C$3+$B$3)/$B$4)</f>
        <v>0.61880065526515149</v>
      </c>
      <c r="H7" s="21">
        <f t="shared" ref="H7:H12" si="3">H8-10</f>
        <v>380</v>
      </c>
      <c r="I7" s="20">
        <f>(((H7*$C$4/2000)-$C$3+$D$3)/$D$4)</f>
        <v>4.0172918250000009</v>
      </c>
      <c r="J7" s="20">
        <f>(((H7*$C$4/2000)-$C$3+$E$3)/$E$4)</f>
        <v>8.1527893066666675</v>
      </c>
      <c r="L7" s="13">
        <f>(((N7*$D$4)-$D$3+$B$3)/$B$4)</f>
        <v>0.58258535109848442</v>
      </c>
      <c r="M7" s="14">
        <f>(((N7*$D$4)-$D$3+$C$3)/$C$4)*2000</f>
        <v>361.50707872340405</v>
      </c>
      <c r="N7" s="13">
        <f t="shared" ref="N7:N12" si="4">N8-0.15</f>
        <v>3.799999999999998</v>
      </c>
      <c r="O7" s="13">
        <f>(((N7*$D$4)-$D$3+$E$3)/$E$4)</f>
        <v>7.428483223333326</v>
      </c>
      <c r="Q7" s="9">
        <f>(((T7*$E$4)-$E$3+$B$3)/$B$4)</f>
        <v>0.62616118993181824</v>
      </c>
      <c r="R7" s="10">
        <f>(((T7*$E$4)-$E$3+$C$3)/$C$4)*2000</f>
        <v>383.7585708936171</v>
      </c>
      <c r="S7" s="9">
        <f>(((T7*$E$4)-$E$3+$D$3)/$D$4)</f>
        <v>4.0614550330000014</v>
      </c>
      <c r="T7" s="9">
        <f t="shared" ref="T7:T12" si="5">T8-0.35</f>
        <v>8.3000000000000025</v>
      </c>
    </row>
    <row r="8" spans="1:20" x14ac:dyDescent="0.15">
      <c r="B8" s="18">
        <f t="shared" si="0"/>
        <v>0.59999999999999987</v>
      </c>
      <c r="C8" s="19">
        <f t="shared" si="1"/>
        <v>370.39966539651829</v>
      </c>
      <c r="D8" s="18">
        <f t="shared" si="2"/>
        <v>3.9044878934090912</v>
      </c>
      <c r="E8" s="18">
        <f>(((B8*$B$4)-$B$3+$E$3)/$E$4)</f>
        <v>7.776776201363635</v>
      </c>
      <c r="G8" s="20">
        <f t="shared" ref="G8:G21" si="6">(((H8*$C$4/2000)-$C$3+$B$3)/$B$4)</f>
        <v>0.63838398859848489</v>
      </c>
      <c r="H8" s="21">
        <f t="shared" si="3"/>
        <v>390</v>
      </c>
      <c r="I8" s="20">
        <f t="shared" ref="I8:I21" si="7">(((H8*$C$4/2000)-$C$3+$D$3)/$D$4)</f>
        <v>4.1347918250000006</v>
      </c>
      <c r="J8" s="20">
        <f t="shared" ref="J8:J21" si="8">(((H8*$C$4/2000)-$C$3+$E$3)/$E$4)</f>
        <v>8.5444559733333332</v>
      </c>
      <c r="L8" s="13">
        <f t="shared" ref="L8:L21" si="9">(((N8*$D$4)-$D$3+$B$3)/$B$4)</f>
        <v>0.60758535109848433</v>
      </c>
      <c r="M8" s="14">
        <f t="shared" ref="M8:M21" si="10">(((N8*$D$4)-$D$3+$C$3)/$C$4)*2000</f>
        <v>374.27303617021249</v>
      </c>
      <c r="N8" s="13">
        <f t="shared" si="4"/>
        <v>3.949999999999998</v>
      </c>
      <c r="O8" s="13">
        <f t="shared" ref="O8:O21" si="11">(((N8*$D$4)-$D$3+$E$3)/$E$4)</f>
        <v>7.9284832233333242</v>
      </c>
      <c r="Q8" s="9">
        <f t="shared" ref="Q8:Q21" si="12">(((T8*$E$4)-$E$3+$B$3)/$B$4)</f>
        <v>0.64366118993181831</v>
      </c>
      <c r="R8" s="10">
        <f t="shared" ref="R8:R21" si="13">(((T8*$E$4)-$E$3+$C$3)/$C$4)*2000</f>
        <v>392.69474110638299</v>
      </c>
      <c r="S8" s="9">
        <f t="shared" ref="S8:S21" si="14">(((T8*$E$4)-$E$3+$D$3)/$D$4)</f>
        <v>4.166455033000001</v>
      </c>
      <c r="T8" s="9">
        <f t="shared" si="5"/>
        <v>8.6500000000000021</v>
      </c>
    </row>
    <row r="9" spans="1:20" x14ac:dyDescent="0.15">
      <c r="B9" s="18">
        <f t="shared" si="0"/>
        <v>0.62499999999999989</v>
      </c>
      <c r="C9" s="19">
        <f t="shared" si="1"/>
        <v>383.16562284332684</v>
      </c>
      <c r="D9" s="18">
        <f t="shared" si="2"/>
        <v>4.0544878934090915</v>
      </c>
      <c r="E9" s="18">
        <f t="shared" ref="E9:E21" si="15">(((B9*$B$4)-$B$3+$E$3)/$E$4)</f>
        <v>8.276776201363635</v>
      </c>
      <c r="G9" s="20">
        <f t="shared" si="6"/>
        <v>0.65796732193181817</v>
      </c>
      <c r="H9" s="21">
        <f t="shared" si="3"/>
        <v>400</v>
      </c>
      <c r="I9" s="20">
        <f t="shared" si="7"/>
        <v>4.2522918250000012</v>
      </c>
      <c r="J9" s="20">
        <f t="shared" si="8"/>
        <v>8.9361226400000007</v>
      </c>
      <c r="L9" s="13">
        <f t="shared" si="9"/>
        <v>0.63258535109848435</v>
      </c>
      <c r="M9" s="14">
        <f t="shared" si="10"/>
        <v>387.03899361702099</v>
      </c>
      <c r="N9" s="13">
        <f t="shared" si="4"/>
        <v>4.0999999999999979</v>
      </c>
      <c r="O9" s="13">
        <f t="shared" si="11"/>
        <v>8.4284832233333233</v>
      </c>
      <c r="Q9" s="9">
        <f t="shared" si="12"/>
        <v>0.66116118993181827</v>
      </c>
      <c r="R9" s="10">
        <f t="shared" si="13"/>
        <v>401.63091131914894</v>
      </c>
      <c r="S9" s="9">
        <f t="shared" si="14"/>
        <v>4.2714550330000005</v>
      </c>
      <c r="T9" s="9">
        <f t="shared" si="5"/>
        <v>9.0000000000000018</v>
      </c>
    </row>
    <row r="10" spans="1:20" x14ac:dyDescent="0.15">
      <c r="B10" s="18">
        <f t="shared" si="0"/>
        <v>0.64999999999999991</v>
      </c>
      <c r="C10" s="19">
        <f t="shared" si="1"/>
        <v>395.93158029013534</v>
      </c>
      <c r="D10" s="18">
        <f t="shared" si="2"/>
        <v>4.204487893409091</v>
      </c>
      <c r="E10" s="18">
        <f t="shared" si="15"/>
        <v>8.776776201363635</v>
      </c>
      <c r="G10" s="20">
        <f t="shared" si="6"/>
        <v>0.67755065526515157</v>
      </c>
      <c r="H10" s="21">
        <f t="shared" si="3"/>
        <v>410</v>
      </c>
      <c r="I10" s="20">
        <f t="shared" si="7"/>
        <v>4.369791825000001</v>
      </c>
      <c r="J10" s="20">
        <f t="shared" si="8"/>
        <v>9.3277893066666664</v>
      </c>
      <c r="L10" s="13">
        <f t="shared" si="9"/>
        <v>0.65758535109848448</v>
      </c>
      <c r="M10" s="14">
        <f t="shared" si="10"/>
        <v>399.80495106382955</v>
      </c>
      <c r="N10" s="13">
        <f t="shared" si="4"/>
        <v>4.2499999999999982</v>
      </c>
      <c r="O10" s="13">
        <f t="shared" si="11"/>
        <v>8.9284832233333269</v>
      </c>
      <c r="Q10" s="9">
        <f t="shared" si="12"/>
        <v>0.67866118993181823</v>
      </c>
      <c r="R10" s="10">
        <f t="shared" si="13"/>
        <v>410.56708153191488</v>
      </c>
      <c r="S10" s="9">
        <f t="shared" si="14"/>
        <v>4.3764550330000009</v>
      </c>
      <c r="T10" s="9">
        <f t="shared" si="5"/>
        <v>9.3500000000000014</v>
      </c>
    </row>
    <row r="11" spans="1:20" x14ac:dyDescent="0.15">
      <c r="B11" s="18">
        <f t="shared" si="0"/>
        <v>0.67499999999999993</v>
      </c>
      <c r="C11" s="19">
        <f t="shared" si="1"/>
        <v>408.69753773694384</v>
      </c>
      <c r="D11" s="18">
        <f t="shared" si="2"/>
        <v>4.3544878934090914</v>
      </c>
      <c r="E11" s="18">
        <f t="shared" si="15"/>
        <v>9.276776201363635</v>
      </c>
      <c r="G11" s="20">
        <f t="shared" si="6"/>
        <v>0.69713398859848486</v>
      </c>
      <c r="H11" s="21">
        <f t="shared" si="3"/>
        <v>420</v>
      </c>
      <c r="I11" s="20">
        <f t="shared" si="7"/>
        <v>4.4872918250000007</v>
      </c>
      <c r="J11" s="20">
        <f t="shared" si="8"/>
        <v>9.7194559733333339</v>
      </c>
      <c r="L11" s="13">
        <f t="shared" si="9"/>
        <v>0.68258535109848451</v>
      </c>
      <c r="M11" s="14">
        <f t="shared" si="10"/>
        <v>412.57090851063811</v>
      </c>
      <c r="N11" s="13">
        <f t="shared" si="4"/>
        <v>4.3999999999999986</v>
      </c>
      <c r="O11" s="13">
        <f t="shared" si="11"/>
        <v>9.4284832233333269</v>
      </c>
      <c r="Q11" s="9">
        <f t="shared" si="12"/>
        <v>0.6961611899318183</v>
      </c>
      <c r="R11" s="10">
        <f t="shared" si="13"/>
        <v>419.50325174468082</v>
      </c>
      <c r="S11" s="9">
        <f t="shared" si="14"/>
        <v>4.4814550330000005</v>
      </c>
      <c r="T11" s="9">
        <f t="shared" si="5"/>
        <v>9.7000000000000011</v>
      </c>
    </row>
    <row r="12" spans="1:20" x14ac:dyDescent="0.15">
      <c r="B12" s="18">
        <f t="shared" si="0"/>
        <v>0.7</v>
      </c>
      <c r="C12" s="19">
        <f t="shared" si="1"/>
        <v>421.4634951837524</v>
      </c>
      <c r="D12" s="18">
        <f t="shared" si="2"/>
        <v>4.5044878934090917</v>
      </c>
      <c r="E12" s="18">
        <f t="shared" si="15"/>
        <v>9.7767762013636386</v>
      </c>
      <c r="G12" s="20">
        <f t="shared" si="6"/>
        <v>0.71671732193181825</v>
      </c>
      <c r="H12" s="21">
        <f t="shared" si="3"/>
        <v>430</v>
      </c>
      <c r="I12" s="20">
        <f t="shared" si="7"/>
        <v>4.6047918250000013</v>
      </c>
      <c r="J12" s="20">
        <f t="shared" si="8"/>
        <v>10.11112264</v>
      </c>
      <c r="L12" s="13">
        <f t="shared" si="9"/>
        <v>0.70758535109848453</v>
      </c>
      <c r="M12" s="14">
        <f t="shared" si="10"/>
        <v>425.33686595744661</v>
      </c>
      <c r="N12" s="13">
        <f t="shared" si="4"/>
        <v>4.5499999999999989</v>
      </c>
      <c r="O12" s="13">
        <f t="shared" si="11"/>
        <v>9.9284832233333269</v>
      </c>
      <c r="Q12" s="9">
        <f t="shared" si="12"/>
        <v>0.71366118993181804</v>
      </c>
      <c r="R12" s="10">
        <f t="shared" si="13"/>
        <v>428.43942195744683</v>
      </c>
      <c r="S12" s="9">
        <f t="shared" si="14"/>
        <v>4.5864550330000009</v>
      </c>
      <c r="T12" s="9">
        <f t="shared" si="5"/>
        <v>10.050000000000001</v>
      </c>
    </row>
    <row r="13" spans="1:20" ht="14" thickBot="1" x14ac:dyDescent="0.2">
      <c r="B13" s="18">
        <f>B14-0.025</f>
        <v>0.72499999999999998</v>
      </c>
      <c r="C13" s="19">
        <f t="shared" si="1"/>
        <v>434.2294526305609</v>
      </c>
      <c r="D13" s="18">
        <f t="shared" si="2"/>
        <v>4.6544878934090921</v>
      </c>
      <c r="E13" s="18">
        <f t="shared" si="15"/>
        <v>10.276776201363639</v>
      </c>
      <c r="G13" s="20">
        <f t="shared" si="6"/>
        <v>0.73630065526515154</v>
      </c>
      <c r="H13" s="21">
        <f>H14-10</f>
        <v>440</v>
      </c>
      <c r="I13" s="20">
        <f t="shared" si="7"/>
        <v>4.722291825000001</v>
      </c>
      <c r="J13" s="20">
        <f t="shared" si="8"/>
        <v>10.502789306666667</v>
      </c>
      <c r="L13" s="13">
        <f t="shared" si="9"/>
        <v>0.73258535109848466</v>
      </c>
      <c r="M13" s="14">
        <f t="shared" si="10"/>
        <v>438.10282340425516</v>
      </c>
      <c r="N13" s="13">
        <f>N14-0.15</f>
        <v>4.6999999999999993</v>
      </c>
      <c r="O13" s="13">
        <f t="shared" si="11"/>
        <v>10.42848322333333</v>
      </c>
      <c r="Q13" s="9">
        <f t="shared" si="12"/>
        <v>0.73116118993181811</v>
      </c>
      <c r="R13" s="10">
        <f t="shared" si="13"/>
        <v>437.37559217021277</v>
      </c>
      <c r="S13" s="9">
        <f t="shared" si="14"/>
        <v>4.6914550330000004</v>
      </c>
      <c r="T13" s="9">
        <f>T14-0.35</f>
        <v>10.4</v>
      </c>
    </row>
    <row r="14" spans="1:20" ht="14" thickBot="1" x14ac:dyDescent="0.2">
      <c r="B14" s="24">
        <f>Conventional!$B$8</f>
        <v>0.75</v>
      </c>
      <c r="C14" s="19">
        <f>(((B14*$B$4)-$B$3+$C$3)/$C$4)*2000</f>
        <v>446.99541007736946</v>
      </c>
      <c r="D14" s="18">
        <f t="shared" si="2"/>
        <v>4.8044878934090915</v>
      </c>
      <c r="E14" s="18">
        <f t="shared" si="15"/>
        <v>10.776776201363639</v>
      </c>
      <c r="G14" s="20">
        <f t="shared" si="6"/>
        <v>0.75588398859848482</v>
      </c>
      <c r="H14" s="22">
        <f>Conventional!$D$8</f>
        <v>450</v>
      </c>
      <c r="I14" s="20">
        <f t="shared" si="7"/>
        <v>4.8397918250000007</v>
      </c>
      <c r="J14" s="20">
        <f t="shared" si="8"/>
        <v>10.894455973333333</v>
      </c>
      <c r="L14" s="13">
        <f t="shared" si="9"/>
        <v>0.75758535109848457</v>
      </c>
      <c r="M14" s="14">
        <f t="shared" si="10"/>
        <v>450.86878085106366</v>
      </c>
      <c r="N14" s="15">
        <f>Conventional!$F$8</f>
        <v>4.8499999999999996</v>
      </c>
      <c r="O14" s="13">
        <f t="shared" si="11"/>
        <v>10.92848322333333</v>
      </c>
      <c r="Q14" s="9">
        <f t="shared" si="12"/>
        <v>0.74866118993181807</v>
      </c>
      <c r="R14" s="10">
        <f t="shared" si="13"/>
        <v>446.31176238297871</v>
      </c>
      <c r="S14" s="9">
        <f t="shared" si="14"/>
        <v>4.7964550330000009</v>
      </c>
      <c r="T14" s="11">
        <f>Conventional!$H$8</f>
        <v>10.75</v>
      </c>
    </row>
    <row r="15" spans="1:20" x14ac:dyDescent="0.15">
      <c r="B15" s="18">
        <f>B14+0.025</f>
        <v>0.77500000000000002</v>
      </c>
      <c r="C15" s="19">
        <f t="shared" si="1"/>
        <v>459.76136752417801</v>
      </c>
      <c r="D15" s="18">
        <f t="shared" si="2"/>
        <v>4.9544878934090919</v>
      </c>
      <c r="E15" s="18">
        <f t="shared" si="15"/>
        <v>11.276776201363639</v>
      </c>
      <c r="G15" s="20">
        <f t="shared" si="6"/>
        <v>0.77546732193181822</v>
      </c>
      <c r="H15" s="21">
        <f>H14+10</f>
        <v>460</v>
      </c>
      <c r="I15" s="20">
        <f t="shared" si="7"/>
        <v>4.9572918250000013</v>
      </c>
      <c r="J15" s="20">
        <f t="shared" si="8"/>
        <v>11.28612264</v>
      </c>
      <c r="L15" s="13">
        <f t="shared" si="9"/>
        <v>0.78258535109848471</v>
      </c>
      <c r="M15" s="14">
        <f t="shared" si="10"/>
        <v>463.63473829787227</v>
      </c>
      <c r="N15" s="13">
        <f>N14+0.15</f>
        <v>5</v>
      </c>
      <c r="O15" s="13">
        <f t="shared" si="11"/>
        <v>11.42848322333333</v>
      </c>
      <c r="Q15" s="9">
        <f t="shared" si="12"/>
        <v>0.76616118993181814</v>
      </c>
      <c r="R15" s="10">
        <f t="shared" si="13"/>
        <v>455.24793259574471</v>
      </c>
      <c r="S15" s="9">
        <f t="shared" si="14"/>
        <v>4.9014550330000013</v>
      </c>
      <c r="T15" s="9">
        <f>T14+0.35</f>
        <v>11.1</v>
      </c>
    </row>
    <row r="16" spans="1:20" x14ac:dyDescent="0.15">
      <c r="B16" s="18">
        <f t="shared" ref="B16:B21" si="16">B15+0.025</f>
        <v>0.8</v>
      </c>
      <c r="C16" s="19">
        <f t="shared" si="1"/>
        <v>472.52732497098646</v>
      </c>
      <c r="D16" s="18">
        <f t="shared" si="2"/>
        <v>5.1044878934090914</v>
      </c>
      <c r="E16" s="18">
        <f t="shared" si="15"/>
        <v>11.776776201363639</v>
      </c>
      <c r="G16" s="20">
        <f t="shared" si="6"/>
        <v>0.79505065526515151</v>
      </c>
      <c r="H16" s="21">
        <f t="shared" ref="H16:H21" si="17">H15+10</f>
        <v>470</v>
      </c>
      <c r="I16" s="20">
        <f t="shared" si="7"/>
        <v>5.074791825000001</v>
      </c>
      <c r="J16" s="20">
        <f t="shared" si="8"/>
        <v>11.677789306666666</v>
      </c>
      <c r="L16" s="13">
        <f t="shared" si="9"/>
        <v>0.80758535109848473</v>
      </c>
      <c r="M16" s="14">
        <f t="shared" si="10"/>
        <v>476.40069574468077</v>
      </c>
      <c r="N16" s="13">
        <f t="shared" ref="N16:N21" si="18">N15+0.15</f>
        <v>5.15</v>
      </c>
      <c r="O16" s="13">
        <f t="shared" si="11"/>
        <v>11.92848322333333</v>
      </c>
      <c r="Q16" s="9">
        <f t="shared" si="12"/>
        <v>0.7836611899318181</v>
      </c>
      <c r="R16" s="10">
        <f t="shared" si="13"/>
        <v>464.18410280851066</v>
      </c>
      <c r="S16" s="9">
        <f t="shared" si="14"/>
        <v>5.0064550330000008</v>
      </c>
      <c r="T16" s="9">
        <f t="shared" ref="T16:T21" si="19">T15+0.35</f>
        <v>11.45</v>
      </c>
    </row>
    <row r="17" spans="1:20" x14ac:dyDescent="0.15">
      <c r="B17" s="18">
        <f t="shared" si="16"/>
        <v>0.82500000000000007</v>
      </c>
      <c r="C17" s="19">
        <f t="shared" si="1"/>
        <v>485.29328241779501</v>
      </c>
      <c r="D17" s="18">
        <f t="shared" si="2"/>
        <v>5.2544878934090926</v>
      </c>
      <c r="E17" s="18">
        <f t="shared" si="15"/>
        <v>12.276776201363639</v>
      </c>
      <c r="G17" s="20">
        <f t="shared" si="6"/>
        <v>0.8146339885984849</v>
      </c>
      <c r="H17" s="21">
        <f t="shared" si="17"/>
        <v>480</v>
      </c>
      <c r="I17" s="20">
        <f t="shared" si="7"/>
        <v>5.1922918250000007</v>
      </c>
      <c r="J17" s="20">
        <f t="shared" si="8"/>
        <v>12.069455973333334</v>
      </c>
      <c r="L17" s="13">
        <f t="shared" si="9"/>
        <v>0.83258535109848486</v>
      </c>
      <c r="M17" s="14">
        <f t="shared" si="10"/>
        <v>489.16665319148939</v>
      </c>
      <c r="N17" s="13">
        <f t="shared" si="18"/>
        <v>5.3000000000000007</v>
      </c>
      <c r="O17" s="13">
        <f t="shared" si="11"/>
        <v>12.428483223333334</v>
      </c>
      <c r="Q17" s="9">
        <f t="shared" si="12"/>
        <v>0.80116118993181806</v>
      </c>
      <c r="R17" s="10">
        <f t="shared" si="13"/>
        <v>473.12027302127649</v>
      </c>
      <c r="S17" s="9">
        <f t="shared" si="14"/>
        <v>5.1114550329999995</v>
      </c>
      <c r="T17" s="9">
        <f t="shared" si="19"/>
        <v>11.799999999999999</v>
      </c>
    </row>
    <row r="18" spans="1:20" x14ac:dyDescent="0.15">
      <c r="B18" s="18">
        <f t="shared" si="16"/>
        <v>0.85000000000000009</v>
      </c>
      <c r="C18" s="19">
        <f t="shared" si="1"/>
        <v>498.05923986460357</v>
      </c>
      <c r="D18" s="18">
        <f t="shared" si="2"/>
        <v>5.4044878934090921</v>
      </c>
      <c r="E18" s="18">
        <f t="shared" si="15"/>
        <v>12.776776201363639</v>
      </c>
      <c r="G18" s="20">
        <f t="shared" si="6"/>
        <v>0.83421732193181819</v>
      </c>
      <c r="H18" s="21">
        <f t="shared" si="17"/>
        <v>490</v>
      </c>
      <c r="I18" s="20">
        <f t="shared" si="7"/>
        <v>5.3097918250000014</v>
      </c>
      <c r="J18" s="20">
        <f t="shared" si="8"/>
        <v>12.461122640000001</v>
      </c>
      <c r="L18" s="13">
        <f t="shared" si="9"/>
        <v>0.85758535109848477</v>
      </c>
      <c r="M18" s="14">
        <f t="shared" si="10"/>
        <v>501.93261063829789</v>
      </c>
      <c r="N18" s="13">
        <f t="shared" si="18"/>
        <v>5.4500000000000011</v>
      </c>
      <c r="O18" s="13">
        <f t="shared" si="11"/>
        <v>12.928483223333334</v>
      </c>
      <c r="Q18" s="9">
        <f t="shared" si="12"/>
        <v>0.81866118993181813</v>
      </c>
      <c r="R18" s="10">
        <f t="shared" si="13"/>
        <v>482.05644323404243</v>
      </c>
      <c r="S18" s="9">
        <f t="shared" si="14"/>
        <v>5.2164550329999999</v>
      </c>
      <c r="T18" s="9">
        <f t="shared" si="19"/>
        <v>12.149999999999999</v>
      </c>
    </row>
    <row r="19" spans="1:20" x14ac:dyDescent="0.15">
      <c r="B19" s="18">
        <f t="shared" si="16"/>
        <v>0.87500000000000011</v>
      </c>
      <c r="C19" s="19">
        <f t="shared" si="1"/>
        <v>510.82519731141207</v>
      </c>
      <c r="D19" s="18">
        <f t="shared" si="2"/>
        <v>5.5544878934090933</v>
      </c>
      <c r="E19" s="18">
        <f t="shared" si="15"/>
        <v>13.276776201363642</v>
      </c>
      <c r="G19" s="20">
        <f t="shared" si="6"/>
        <v>0.85380065526515148</v>
      </c>
      <c r="H19" s="21">
        <f t="shared" si="17"/>
        <v>500</v>
      </c>
      <c r="I19" s="20">
        <f t="shared" si="7"/>
        <v>5.4272918250000011</v>
      </c>
      <c r="J19" s="20">
        <f t="shared" si="8"/>
        <v>12.852789306666667</v>
      </c>
      <c r="L19" s="13">
        <f t="shared" si="9"/>
        <v>0.88258535109848479</v>
      </c>
      <c r="M19" s="14">
        <f t="shared" si="10"/>
        <v>514.69856808510644</v>
      </c>
      <c r="N19" s="13">
        <f t="shared" si="18"/>
        <v>5.6000000000000014</v>
      </c>
      <c r="O19" s="13">
        <f t="shared" si="11"/>
        <v>13.428483223333334</v>
      </c>
      <c r="Q19" s="9">
        <f t="shared" si="12"/>
        <v>0.83616118993181809</v>
      </c>
      <c r="R19" s="10">
        <f t="shared" si="13"/>
        <v>490.99261344680838</v>
      </c>
      <c r="S19" s="9">
        <f t="shared" si="14"/>
        <v>5.3214550329999994</v>
      </c>
      <c r="T19" s="9">
        <f t="shared" si="19"/>
        <v>12.499999999999998</v>
      </c>
    </row>
    <row r="20" spans="1:20" x14ac:dyDescent="0.15">
      <c r="B20" s="18">
        <f t="shared" si="16"/>
        <v>0.90000000000000013</v>
      </c>
      <c r="C20" s="19">
        <f t="shared" si="1"/>
        <v>523.59115475822045</v>
      </c>
      <c r="D20" s="18">
        <f t="shared" si="2"/>
        <v>5.7044878934090937</v>
      </c>
      <c r="E20" s="18">
        <f t="shared" si="15"/>
        <v>13.776776201363642</v>
      </c>
      <c r="G20" s="20">
        <f t="shared" si="6"/>
        <v>0.87338398859848476</v>
      </c>
      <c r="H20" s="21">
        <f t="shared" si="17"/>
        <v>510</v>
      </c>
      <c r="I20" s="20">
        <f t="shared" si="7"/>
        <v>5.5447918250000008</v>
      </c>
      <c r="J20" s="20">
        <f t="shared" si="8"/>
        <v>13.244455973333334</v>
      </c>
      <c r="L20" s="13">
        <f t="shared" si="9"/>
        <v>0.90758535109848515</v>
      </c>
      <c r="M20" s="14">
        <f t="shared" si="10"/>
        <v>527.464525531915</v>
      </c>
      <c r="N20" s="13">
        <f t="shared" si="18"/>
        <v>5.7500000000000018</v>
      </c>
      <c r="O20" s="13">
        <f t="shared" si="11"/>
        <v>13.928483223333338</v>
      </c>
      <c r="Q20" s="9">
        <f t="shared" si="12"/>
        <v>0.85366118993181805</v>
      </c>
      <c r="R20" s="10">
        <f t="shared" si="13"/>
        <v>499.92878365957438</v>
      </c>
      <c r="S20" s="9">
        <f t="shared" si="14"/>
        <v>5.4264550329999999</v>
      </c>
      <c r="T20" s="9">
        <f t="shared" si="19"/>
        <v>12.849999999999998</v>
      </c>
    </row>
    <row r="21" spans="1:20" x14ac:dyDescent="0.15">
      <c r="B21" s="18">
        <f t="shared" si="16"/>
        <v>0.92500000000000016</v>
      </c>
      <c r="C21" s="19">
        <f t="shared" si="1"/>
        <v>536.35711220502901</v>
      </c>
      <c r="D21" s="18">
        <f t="shared" si="2"/>
        <v>5.8544878934090931</v>
      </c>
      <c r="E21" s="18">
        <f t="shared" si="15"/>
        <v>14.276776201363642</v>
      </c>
      <c r="G21" s="20">
        <f t="shared" si="6"/>
        <v>0.89296732193181816</v>
      </c>
      <c r="H21" s="21">
        <f t="shared" si="17"/>
        <v>520</v>
      </c>
      <c r="I21" s="20">
        <f t="shared" si="7"/>
        <v>5.6622918250000005</v>
      </c>
      <c r="J21" s="20">
        <f t="shared" si="8"/>
        <v>13.63612264</v>
      </c>
      <c r="L21" s="13">
        <f t="shared" si="9"/>
        <v>0.93258535109848517</v>
      </c>
      <c r="M21" s="14">
        <f t="shared" si="10"/>
        <v>540.23048297872356</v>
      </c>
      <c r="N21" s="13">
        <f t="shared" si="18"/>
        <v>5.9000000000000021</v>
      </c>
      <c r="O21" s="13">
        <f t="shared" si="11"/>
        <v>14.428483223333338</v>
      </c>
      <c r="Q21" s="9">
        <f t="shared" si="12"/>
        <v>0.87116118993181813</v>
      </c>
      <c r="R21" s="10">
        <f t="shared" si="13"/>
        <v>508.86495387234032</v>
      </c>
      <c r="S21" s="9">
        <f t="shared" si="14"/>
        <v>5.5314550329999994</v>
      </c>
      <c r="T21" s="9">
        <f t="shared" si="19"/>
        <v>13.199999999999998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423.30480613636371</v>
      </c>
      <c r="C24" s="57">
        <f>Conventional!$N$30</f>
        <v>593.03412500000002</v>
      </c>
      <c r="D24" s="57">
        <f>Conventional!$P$30</f>
        <v>314.54175876249997</v>
      </c>
      <c r="E24" s="57">
        <f>Conventional!$R$30</f>
        <v>223.1164053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06" t="s">
        <v>74</v>
      </c>
      <c r="C26" s="406"/>
      <c r="D26" s="406"/>
      <c r="E26" s="406"/>
      <c r="F26" s="29"/>
      <c r="G26" s="407" t="s">
        <v>75</v>
      </c>
      <c r="H26" s="407"/>
      <c r="I26" s="407"/>
      <c r="J26" s="407"/>
      <c r="K26" s="29"/>
      <c r="L26" s="408" t="s">
        <v>76</v>
      </c>
      <c r="M26" s="408"/>
      <c r="N26" s="408"/>
      <c r="O26" s="408"/>
      <c r="P26" s="29"/>
      <c r="Q26" s="409" t="s">
        <v>77</v>
      </c>
      <c r="R26" s="409"/>
      <c r="S26" s="409"/>
      <c r="T26" s="409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0.57499999999999984</v>
      </c>
      <c r="C28" s="19">
        <f t="shared" ref="C28:C42" si="21">(((B28*$B$25)-$B$24+$C$24)/$C$25)*2000</f>
        <v>353.51724639037423</v>
      </c>
      <c r="D28" s="18">
        <f t="shared" ref="D28:D42" si="22">(((B28*$B$25)-$B$24+$D$24)/$D$25)</f>
        <v>3.793964148542778</v>
      </c>
      <c r="E28" s="18">
        <f t="shared" ref="E28:E42" si="23">(((B28*$B$25)-$B$24+$E$24)/$E$25)</f>
        <v>7.7020533054545393</v>
      </c>
      <c r="G28" s="20">
        <f>(((H28*$C$25/2000)-$C$24+$B$24)/$B$25)</f>
        <v>0.63502757484848493</v>
      </c>
      <c r="H28" s="21">
        <f t="shared" ref="H28:H33" si="24">H29-10</f>
        <v>380</v>
      </c>
      <c r="I28" s="20">
        <f>(((H28*$C$25/2000)-$C$24+$D$24)/$D$25)</f>
        <v>4.3236192207352939</v>
      </c>
      <c r="J28" s="20">
        <f>(((H28*$C$25/2000)-$C$24+$E$24)/$E$25)</f>
        <v>9.2027426766666665</v>
      </c>
      <c r="L28" s="17">
        <f>(((N28*$D$25)-$D$24+$B$24)/$B$25)</f>
        <v>0.57568406316515142</v>
      </c>
      <c r="M28" s="14">
        <f>(((N28*$D$25)-$D$24+$C$24)/$C$25)*2000</f>
        <v>353.81903896323524</v>
      </c>
      <c r="N28" s="13">
        <f t="shared" ref="N28:N33" si="25">N29-0.15</f>
        <v>3.799999999999998</v>
      </c>
      <c r="O28" s="13">
        <f>(((N28*$D$25)-$D$24+$E$24)/$E$25)</f>
        <v>7.7191548845833289</v>
      </c>
      <c r="Q28" s="9">
        <f>(((T28*$E$25)-$E$24+$B$24)/$B$25)</f>
        <v>0.59891786778181844</v>
      </c>
      <c r="R28" s="10">
        <f>(((T28*$E$25)-$E$24+$C$24)/$C$25)*2000</f>
        <v>364.06924688235301</v>
      </c>
      <c r="S28" s="9">
        <f>(((T28*$E$25)-$E$24+$D$24)/$D$25)</f>
        <v>4.0050041583823539</v>
      </c>
      <c r="T28" s="9">
        <f t="shared" ref="T28:T33" si="26">T29-0.35</f>
        <v>8.3000000000000025</v>
      </c>
    </row>
    <row r="29" spans="1:20" x14ac:dyDescent="0.15">
      <c r="B29" s="18">
        <f t="shared" si="20"/>
        <v>0.59999999999999987</v>
      </c>
      <c r="C29" s="19">
        <f t="shared" si="21"/>
        <v>364.54665815508014</v>
      </c>
      <c r="D29" s="18">
        <f t="shared" si="22"/>
        <v>4.0145523838368957</v>
      </c>
      <c r="E29" s="18">
        <f t="shared" si="23"/>
        <v>8.3270533054545393</v>
      </c>
      <c r="G29" s="20">
        <f t="shared" ref="G29:G42" si="27">(((H29*$C$25/2000)-$C$24+$B$24)/$B$25)</f>
        <v>0.65769424151515155</v>
      </c>
      <c r="H29" s="21">
        <f t="shared" si="24"/>
        <v>390</v>
      </c>
      <c r="I29" s="20">
        <f t="shared" ref="I29:I42" si="28">(((H29*$C$25/2000)-$C$24+$D$24)/$D$25)</f>
        <v>4.5236192207352932</v>
      </c>
      <c r="J29" s="20">
        <f t="shared" ref="J29:J42" si="29">(((H29*$C$25/2000)-$C$24+$E$24)/$E$25)</f>
        <v>9.7694093433333329</v>
      </c>
      <c r="L29" s="17">
        <f t="shared" ref="L29:L42" si="30">(((N29*$D$25)-$D$24+$B$24)/$B$25)</f>
        <v>0.59268406316515143</v>
      </c>
      <c r="M29" s="14">
        <f t="shared" ref="M29:M42" si="31">(((N29*$D$25)-$D$24+$C$24)/$C$25)*2000</f>
        <v>361.31903896323524</v>
      </c>
      <c r="N29" s="13">
        <f t="shared" si="25"/>
        <v>3.949999999999998</v>
      </c>
      <c r="O29" s="13">
        <f t="shared" ref="O29:O42" si="32">(((N29*$D$25)-$D$24+$E$24)/$E$25)</f>
        <v>8.1441548845833278</v>
      </c>
      <c r="Q29" s="9">
        <f t="shared" ref="Q29:Q42" si="33">(((T29*$E$25)-$E$24+$B$24)/$B$25)</f>
        <v>0.61291786778181834</v>
      </c>
      <c r="R29" s="10">
        <f t="shared" ref="R29:R42" si="34">(((T29*$E$25)-$E$24+$C$24)/$C$25)*2000</f>
        <v>370.24571747058832</v>
      </c>
      <c r="S29" s="9">
        <f t="shared" ref="S29:S42" si="35">(((T29*$E$25)-$E$24+$D$24)/$D$25)</f>
        <v>4.1285335701470594</v>
      </c>
      <c r="T29" s="9">
        <f t="shared" si="26"/>
        <v>8.6500000000000021</v>
      </c>
    </row>
    <row r="30" spans="1:20" x14ac:dyDescent="0.15">
      <c r="B30" s="18">
        <f t="shared" si="20"/>
        <v>0.62499999999999989</v>
      </c>
      <c r="C30" s="19">
        <f t="shared" si="21"/>
        <v>375.57606991978605</v>
      </c>
      <c r="D30" s="18">
        <f t="shared" si="22"/>
        <v>4.2351406191310144</v>
      </c>
      <c r="E30" s="18">
        <f t="shared" si="23"/>
        <v>8.952053305454541</v>
      </c>
      <c r="G30" s="20">
        <f t="shared" si="27"/>
        <v>0.68036090818181827</v>
      </c>
      <c r="H30" s="21">
        <f t="shared" si="24"/>
        <v>400</v>
      </c>
      <c r="I30" s="20">
        <f t="shared" si="28"/>
        <v>4.7236192207352934</v>
      </c>
      <c r="J30" s="20">
        <f t="shared" si="29"/>
        <v>10.336076009999999</v>
      </c>
      <c r="L30" s="17">
        <f t="shared" si="30"/>
        <v>0.60968406316515145</v>
      </c>
      <c r="M30" s="14">
        <f t="shared" si="31"/>
        <v>368.81903896323524</v>
      </c>
      <c r="N30" s="13">
        <f t="shared" si="25"/>
        <v>4.0999999999999979</v>
      </c>
      <c r="O30" s="13">
        <f t="shared" si="32"/>
        <v>8.5691548845833285</v>
      </c>
      <c r="Q30" s="9">
        <f t="shared" si="33"/>
        <v>0.62691786778181835</v>
      </c>
      <c r="R30" s="10">
        <f t="shared" si="34"/>
        <v>376.42218805882362</v>
      </c>
      <c r="S30" s="9">
        <f t="shared" si="35"/>
        <v>4.2520629819117648</v>
      </c>
      <c r="T30" s="9">
        <f t="shared" si="26"/>
        <v>9.0000000000000018</v>
      </c>
    </row>
    <row r="31" spans="1:20" x14ac:dyDescent="0.15">
      <c r="B31" s="18">
        <f t="shared" si="20"/>
        <v>0.64999999999999991</v>
      </c>
      <c r="C31" s="19">
        <f t="shared" si="21"/>
        <v>386.60548168449196</v>
      </c>
      <c r="D31" s="18">
        <f t="shared" si="22"/>
        <v>4.4557288544251321</v>
      </c>
      <c r="E31" s="18">
        <f t="shared" si="23"/>
        <v>9.577053305454541</v>
      </c>
      <c r="G31" s="20">
        <f t="shared" si="27"/>
        <v>0.70302757484848488</v>
      </c>
      <c r="H31" s="21">
        <f t="shared" si="24"/>
        <v>410</v>
      </c>
      <c r="I31" s="20">
        <f t="shared" si="28"/>
        <v>4.9236192207352936</v>
      </c>
      <c r="J31" s="20">
        <f t="shared" si="29"/>
        <v>10.902742676666666</v>
      </c>
      <c r="L31" s="17">
        <f t="shared" si="30"/>
        <v>0.62668406316515146</v>
      </c>
      <c r="M31" s="14">
        <f t="shared" si="31"/>
        <v>376.31903896323524</v>
      </c>
      <c r="N31" s="13">
        <f t="shared" si="25"/>
        <v>4.2499999999999982</v>
      </c>
      <c r="O31" s="13">
        <f t="shared" si="32"/>
        <v>8.9941548845833292</v>
      </c>
      <c r="Q31" s="9">
        <f t="shared" si="33"/>
        <v>0.64091786778181836</v>
      </c>
      <c r="R31" s="10">
        <f t="shared" si="34"/>
        <v>382.59865864705887</v>
      </c>
      <c r="S31" s="9">
        <f t="shared" si="35"/>
        <v>4.3755923936764711</v>
      </c>
      <c r="T31" s="9">
        <f t="shared" si="26"/>
        <v>9.3500000000000014</v>
      </c>
    </row>
    <row r="32" spans="1:20" x14ac:dyDescent="0.15">
      <c r="B32" s="18">
        <f t="shared" si="20"/>
        <v>0.67499999999999993</v>
      </c>
      <c r="C32" s="19">
        <f t="shared" si="21"/>
        <v>397.63489344919782</v>
      </c>
      <c r="D32" s="18">
        <f t="shared" si="22"/>
        <v>4.6763170897192499</v>
      </c>
      <c r="E32" s="18">
        <f t="shared" si="23"/>
        <v>10.202053305454541</v>
      </c>
      <c r="G32" s="20">
        <f t="shared" si="27"/>
        <v>0.72569424151515161</v>
      </c>
      <c r="H32" s="21">
        <f t="shared" si="24"/>
        <v>420</v>
      </c>
      <c r="I32" s="20">
        <f t="shared" si="28"/>
        <v>5.1236192207352937</v>
      </c>
      <c r="J32" s="20">
        <f t="shared" si="29"/>
        <v>11.469409343333332</v>
      </c>
      <c r="L32" s="17">
        <f t="shared" si="30"/>
        <v>0.64368406316515148</v>
      </c>
      <c r="M32" s="14">
        <f t="shared" si="31"/>
        <v>383.81903896323524</v>
      </c>
      <c r="N32" s="13">
        <f t="shared" si="25"/>
        <v>4.3999999999999986</v>
      </c>
      <c r="O32" s="13">
        <f t="shared" si="32"/>
        <v>9.4191548845833299</v>
      </c>
      <c r="Q32" s="9">
        <f t="shared" si="33"/>
        <v>0.65491786778181837</v>
      </c>
      <c r="R32" s="10">
        <f t="shared" si="34"/>
        <v>388.77512923529417</v>
      </c>
      <c r="S32" s="9">
        <f t="shared" si="35"/>
        <v>4.4991218054411766</v>
      </c>
      <c r="T32" s="9">
        <f t="shared" si="26"/>
        <v>9.7000000000000011</v>
      </c>
    </row>
    <row r="33" spans="1:20" x14ac:dyDescent="0.15">
      <c r="B33" s="18">
        <f t="shared" si="20"/>
        <v>0.7</v>
      </c>
      <c r="C33" s="19">
        <f t="shared" si="21"/>
        <v>408.66430521390373</v>
      </c>
      <c r="D33" s="18">
        <f t="shared" si="22"/>
        <v>4.8969053250133676</v>
      </c>
      <c r="E33" s="18">
        <f t="shared" si="23"/>
        <v>10.827053305454543</v>
      </c>
      <c r="G33" s="20">
        <f t="shared" si="27"/>
        <v>0.74836090818181822</v>
      </c>
      <c r="H33" s="21">
        <f t="shared" si="24"/>
        <v>430</v>
      </c>
      <c r="I33" s="20">
        <f t="shared" si="28"/>
        <v>5.3236192207352939</v>
      </c>
      <c r="J33" s="20">
        <f t="shared" si="29"/>
        <v>12.036076009999999</v>
      </c>
      <c r="L33" s="17">
        <f t="shared" si="30"/>
        <v>0.66068406316515149</v>
      </c>
      <c r="M33" s="14">
        <f t="shared" si="31"/>
        <v>391.3190389632353</v>
      </c>
      <c r="N33" s="13">
        <f t="shared" si="25"/>
        <v>4.5499999999999989</v>
      </c>
      <c r="O33" s="13">
        <f t="shared" si="32"/>
        <v>9.8441548845833307</v>
      </c>
      <c r="Q33" s="9">
        <f t="shared" si="33"/>
        <v>0.66891786778181828</v>
      </c>
      <c r="R33" s="10">
        <f t="shared" si="34"/>
        <v>394.95159982352942</v>
      </c>
      <c r="S33" s="9">
        <f t="shared" si="35"/>
        <v>4.622651217205882</v>
      </c>
      <c r="T33" s="9">
        <f t="shared" si="26"/>
        <v>10.050000000000001</v>
      </c>
    </row>
    <row r="34" spans="1:20" ht="14" thickBot="1" x14ac:dyDescent="0.2">
      <c r="B34" s="18">
        <f>B35-0.025</f>
        <v>0.72499999999999998</v>
      </c>
      <c r="C34" s="19">
        <f t="shared" si="21"/>
        <v>419.69371697860959</v>
      </c>
      <c r="D34" s="18">
        <f t="shared" si="22"/>
        <v>5.1174935603074854</v>
      </c>
      <c r="E34" s="18">
        <f t="shared" si="23"/>
        <v>11.452053305454543</v>
      </c>
      <c r="G34" s="20">
        <f t="shared" si="27"/>
        <v>0.77102757484848494</v>
      </c>
      <c r="H34" s="21">
        <f>H35-10</f>
        <v>440</v>
      </c>
      <c r="I34" s="20">
        <f t="shared" si="28"/>
        <v>5.5236192207352932</v>
      </c>
      <c r="J34" s="20">
        <f t="shared" si="29"/>
        <v>12.602742676666667</v>
      </c>
      <c r="L34" s="17">
        <f t="shared" si="30"/>
        <v>0.67768406316515162</v>
      </c>
      <c r="M34" s="14">
        <f t="shared" si="31"/>
        <v>398.8190389632353</v>
      </c>
      <c r="N34" s="13">
        <f>N35-0.15</f>
        <v>4.6999999999999993</v>
      </c>
      <c r="O34" s="13">
        <f t="shared" si="32"/>
        <v>10.269154884583333</v>
      </c>
      <c r="Q34" s="9">
        <f t="shared" si="33"/>
        <v>0.68291786778181829</v>
      </c>
      <c r="R34" s="10">
        <f t="shared" si="34"/>
        <v>401.12807041176472</v>
      </c>
      <c r="S34" s="9">
        <f t="shared" si="35"/>
        <v>4.7461806289705875</v>
      </c>
      <c r="T34" s="9">
        <f>T35-0.35</f>
        <v>10.4</v>
      </c>
    </row>
    <row r="35" spans="1:20" ht="14" thickBot="1" x14ac:dyDescent="0.2">
      <c r="B35" s="24">
        <f>Conventional!$B$8</f>
        <v>0.75</v>
      </c>
      <c r="C35" s="19">
        <f t="shared" si="21"/>
        <v>430.7231287433155</v>
      </c>
      <c r="D35" s="18">
        <f t="shared" si="22"/>
        <v>5.3380817956016031</v>
      </c>
      <c r="E35" s="18">
        <f t="shared" si="23"/>
        <v>12.077053305454543</v>
      </c>
      <c r="G35" s="20">
        <f t="shared" si="27"/>
        <v>0.79369424151515156</v>
      </c>
      <c r="H35" s="22">
        <f>Conventional!$D$8</f>
        <v>450</v>
      </c>
      <c r="I35" s="20">
        <f t="shared" si="28"/>
        <v>5.7236192207352934</v>
      </c>
      <c r="J35" s="20">
        <f t="shared" si="29"/>
        <v>13.169409343333333</v>
      </c>
      <c r="L35" s="17">
        <f t="shared" si="30"/>
        <v>0.69468406316515152</v>
      </c>
      <c r="M35" s="14">
        <f t="shared" si="31"/>
        <v>406.31903896323524</v>
      </c>
      <c r="N35" s="15">
        <f>Conventional!$F$8</f>
        <v>4.8499999999999996</v>
      </c>
      <c r="O35" s="13">
        <f t="shared" si="32"/>
        <v>10.694154884583332</v>
      </c>
      <c r="Q35" s="9">
        <f t="shared" si="33"/>
        <v>0.6969178677818183</v>
      </c>
      <c r="R35" s="10">
        <f t="shared" si="34"/>
        <v>407.30454100000003</v>
      </c>
      <c r="S35" s="9">
        <f t="shared" si="35"/>
        <v>4.8697100407352938</v>
      </c>
      <c r="T35" s="11">
        <f>Conventional!$H$8</f>
        <v>10.75</v>
      </c>
    </row>
    <row r="36" spans="1:20" x14ac:dyDescent="0.15">
      <c r="B36" s="18">
        <f>B35+0.025</f>
        <v>0.77500000000000002</v>
      </c>
      <c r="C36" s="19">
        <f t="shared" si="21"/>
        <v>441.75254050802135</v>
      </c>
      <c r="D36" s="18">
        <f t="shared" si="22"/>
        <v>5.5586700308957209</v>
      </c>
      <c r="E36" s="18">
        <f t="shared" si="23"/>
        <v>12.702053305454543</v>
      </c>
      <c r="G36" s="20">
        <f t="shared" si="27"/>
        <v>0.81636090818181828</v>
      </c>
      <c r="H36" s="21">
        <f>H35+10</f>
        <v>460</v>
      </c>
      <c r="I36" s="20">
        <f t="shared" si="28"/>
        <v>5.9236192207352936</v>
      </c>
      <c r="J36" s="20">
        <f t="shared" si="29"/>
        <v>13.73607601</v>
      </c>
      <c r="L36" s="17">
        <f t="shared" si="30"/>
        <v>0.71168406316515165</v>
      </c>
      <c r="M36" s="14">
        <f t="shared" si="31"/>
        <v>413.8190389632353</v>
      </c>
      <c r="N36" s="13">
        <f>N35+0.15</f>
        <v>5</v>
      </c>
      <c r="O36" s="13">
        <f t="shared" si="32"/>
        <v>11.119154884583335</v>
      </c>
      <c r="Q36" s="9">
        <f t="shared" si="33"/>
        <v>0.71091786778181831</v>
      </c>
      <c r="R36" s="10">
        <f t="shared" si="34"/>
        <v>413.48101158823528</v>
      </c>
      <c r="S36" s="9">
        <f t="shared" si="35"/>
        <v>4.9932394524999992</v>
      </c>
      <c r="T36" s="9">
        <f>T35+0.35</f>
        <v>11.1</v>
      </c>
    </row>
    <row r="37" spans="1:20" x14ac:dyDescent="0.15">
      <c r="B37" s="18">
        <f t="shared" ref="B37:B42" si="36">B36+0.025</f>
        <v>0.8</v>
      </c>
      <c r="C37" s="19">
        <f t="shared" si="21"/>
        <v>452.78195227272721</v>
      </c>
      <c r="D37" s="18">
        <f t="shared" si="22"/>
        <v>5.7792582661898386</v>
      </c>
      <c r="E37" s="18">
        <f t="shared" si="23"/>
        <v>13.327053305454543</v>
      </c>
      <c r="G37" s="20">
        <f t="shared" si="27"/>
        <v>0.83902757484848489</v>
      </c>
      <c r="H37" s="21">
        <f t="shared" ref="H37:H42" si="37">H36+10</f>
        <v>470</v>
      </c>
      <c r="I37" s="20">
        <f t="shared" si="28"/>
        <v>6.1236192207352937</v>
      </c>
      <c r="J37" s="20">
        <f t="shared" si="29"/>
        <v>14.302742676666666</v>
      </c>
      <c r="L37" s="17">
        <f t="shared" si="30"/>
        <v>0.72868406316515177</v>
      </c>
      <c r="M37" s="14">
        <f t="shared" si="31"/>
        <v>421.31903896323541</v>
      </c>
      <c r="N37" s="13">
        <f t="shared" ref="N37:N42" si="38">N36+0.15</f>
        <v>5.15</v>
      </c>
      <c r="O37" s="13">
        <f t="shared" si="32"/>
        <v>11.544154884583337</v>
      </c>
      <c r="Q37" s="9">
        <f t="shared" si="33"/>
        <v>0.72491786778181833</v>
      </c>
      <c r="R37" s="10">
        <f t="shared" si="34"/>
        <v>419.65748217647058</v>
      </c>
      <c r="S37" s="9">
        <f t="shared" si="35"/>
        <v>5.1167688642647056</v>
      </c>
      <c r="T37" s="9">
        <f t="shared" ref="T37:T42" si="39">T36+0.35</f>
        <v>11.45</v>
      </c>
    </row>
    <row r="38" spans="1:20" x14ac:dyDescent="0.15">
      <c r="B38" s="18">
        <f t="shared" si="36"/>
        <v>0.82500000000000007</v>
      </c>
      <c r="C38" s="19">
        <f t="shared" si="21"/>
        <v>463.81136403743312</v>
      </c>
      <c r="D38" s="18">
        <f t="shared" si="22"/>
        <v>5.9998465014839564</v>
      </c>
      <c r="E38" s="18">
        <f t="shared" si="23"/>
        <v>13.952053305454543</v>
      </c>
      <c r="G38" s="20">
        <f t="shared" si="27"/>
        <v>0.86169424151515162</v>
      </c>
      <c r="H38" s="21">
        <f t="shared" si="37"/>
        <v>480</v>
      </c>
      <c r="I38" s="20">
        <f t="shared" si="28"/>
        <v>6.3236192207352939</v>
      </c>
      <c r="J38" s="20">
        <f t="shared" si="29"/>
        <v>14.869409343333333</v>
      </c>
      <c r="L38" s="17">
        <f t="shared" si="30"/>
        <v>0.74568406316515179</v>
      </c>
      <c r="M38" s="14">
        <f t="shared" si="31"/>
        <v>428.81903896323536</v>
      </c>
      <c r="N38" s="13">
        <f t="shared" si="38"/>
        <v>5.3000000000000007</v>
      </c>
      <c r="O38" s="13">
        <f t="shared" si="32"/>
        <v>11.969154884583336</v>
      </c>
      <c r="Q38" s="9">
        <f t="shared" si="33"/>
        <v>0.73891786778181812</v>
      </c>
      <c r="R38" s="10">
        <f t="shared" si="34"/>
        <v>425.83395276470583</v>
      </c>
      <c r="S38" s="9">
        <f t="shared" si="35"/>
        <v>5.240298276029411</v>
      </c>
      <c r="T38" s="9">
        <f t="shared" si="39"/>
        <v>11.799999999999999</v>
      </c>
    </row>
    <row r="39" spans="1:20" x14ac:dyDescent="0.15">
      <c r="B39" s="18">
        <f t="shared" si="36"/>
        <v>0.85000000000000009</v>
      </c>
      <c r="C39" s="19">
        <f t="shared" si="21"/>
        <v>474.84077580213909</v>
      </c>
      <c r="D39" s="18">
        <f t="shared" si="22"/>
        <v>6.220434736778075</v>
      </c>
      <c r="E39" s="18">
        <f t="shared" si="23"/>
        <v>14.577053305454546</v>
      </c>
      <c r="G39" s="20">
        <f t="shared" si="27"/>
        <v>0.88436090818181823</v>
      </c>
      <c r="H39" s="21">
        <f t="shared" si="37"/>
        <v>490</v>
      </c>
      <c r="I39" s="20">
        <f t="shared" si="28"/>
        <v>6.5236192207352932</v>
      </c>
      <c r="J39" s="20">
        <f t="shared" si="29"/>
        <v>15.436076009999999</v>
      </c>
      <c r="L39" s="17">
        <f t="shared" si="30"/>
        <v>0.7626840631651518</v>
      </c>
      <c r="M39" s="14">
        <f t="shared" si="31"/>
        <v>436.31903896323536</v>
      </c>
      <c r="N39" s="13">
        <f t="shared" si="38"/>
        <v>5.4500000000000011</v>
      </c>
      <c r="O39" s="13">
        <f t="shared" si="32"/>
        <v>12.394154884583338</v>
      </c>
      <c r="Q39" s="9">
        <f t="shared" si="33"/>
        <v>0.75291786778181813</v>
      </c>
      <c r="R39" s="10">
        <f t="shared" si="34"/>
        <v>432.01042335294107</v>
      </c>
      <c r="S39" s="9">
        <f t="shared" si="35"/>
        <v>5.3638276877941164</v>
      </c>
      <c r="T39" s="9">
        <f t="shared" si="39"/>
        <v>12.149999999999999</v>
      </c>
    </row>
    <row r="40" spans="1:20" x14ac:dyDescent="0.15">
      <c r="B40" s="18">
        <f t="shared" si="36"/>
        <v>0.87500000000000011</v>
      </c>
      <c r="C40" s="19">
        <f t="shared" si="21"/>
        <v>485.87018756684495</v>
      </c>
      <c r="D40" s="18">
        <f t="shared" si="22"/>
        <v>6.4410229720721928</v>
      </c>
      <c r="E40" s="18">
        <f t="shared" si="23"/>
        <v>15.202053305454546</v>
      </c>
      <c r="G40" s="20">
        <f t="shared" si="27"/>
        <v>0.90702757484848495</v>
      </c>
      <c r="H40" s="21">
        <f t="shared" si="37"/>
        <v>500</v>
      </c>
      <c r="I40" s="20">
        <f t="shared" si="28"/>
        <v>6.7236192207352934</v>
      </c>
      <c r="J40" s="20">
        <f t="shared" si="29"/>
        <v>16.002742676666667</v>
      </c>
      <c r="L40" s="17">
        <f t="shared" si="30"/>
        <v>0.77968406316515182</v>
      </c>
      <c r="M40" s="14">
        <f t="shared" si="31"/>
        <v>443.81903896323536</v>
      </c>
      <c r="N40" s="13">
        <f t="shared" si="38"/>
        <v>5.6000000000000014</v>
      </c>
      <c r="O40" s="13">
        <f t="shared" si="32"/>
        <v>12.819154884583337</v>
      </c>
      <c r="Q40" s="9">
        <f t="shared" si="33"/>
        <v>0.76691786778181814</v>
      </c>
      <c r="R40" s="10">
        <f t="shared" si="34"/>
        <v>438.18689394117644</v>
      </c>
      <c r="S40" s="9">
        <f t="shared" si="35"/>
        <v>5.4873570995588228</v>
      </c>
      <c r="T40" s="9">
        <f t="shared" si="39"/>
        <v>12.499999999999998</v>
      </c>
    </row>
    <row r="41" spans="1:20" x14ac:dyDescent="0.15">
      <c r="A41" s="2"/>
      <c r="B41" s="37">
        <f t="shared" si="36"/>
        <v>0.90000000000000013</v>
      </c>
      <c r="C41" s="38">
        <f t="shared" si="21"/>
        <v>496.8995993315508</v>
      </c>
      <c r="D41" s="37">
        <f t="shared" si="22"/>
        <v>6.6616112073663105</v>
      </c>
      <c r="E41" s="37">
        <f t="shared" si="23"/>
        <v>15.827053305454546</v>
      </c>
      <c r="G41" s="39">
        <f t="shared" si="27"/>
        <v>0.92969424151515156</v>
      </c>
      <c r="H41" s="40">
        <f t="shared" si="37"/>
        <v>510</v>
      </c>
      <c r="I41" s="39">
        <f t="shared" si="28"/>
        <v>6.9236192207352936</v>
      </c>
      <c r="J41" s="39">
        <f t="shared" si="29"/>
        <v>16.569409343333334</v>
      </c>
      <c r="L41" s="41">
        <f t="shared" si="30"/>
        <v>0.79668406316515183</v>
      </c>
      <c r="M41" s="42">
        <f t="shared" si="31"/>
        <v>451.31903896323541</v>
      </c>
      <c r="N41" s="43">
        <f t="shared" si="38"/>
        <v>5.7500000000000018</v>
      </c>
      <c r="O41" s="43">
        <f t="shared" si="32"/>
        <v>13.24415488458334</v>
      </c>
      <c r="Q41" s="44">
        <f t="shared" si="33"/>
        <v>0.78091786778181815</v>
      </c>
      <c r="R41" s="45">
        <f t="shared" si="34"/>
        <v>444.36336452941174</v>
      </c>
      <c r="S41" s="44">
        <f t="shared" si="35"/>
        <v>5.6108865113235282</v>
      </c>
      <c r="T41" s="44">
        <f t="shared" si="39"/>
        <v>12.849999999999998</v>
      </c>
    </row>
    <row r="42" spans="1:20" x14ac:dyDescent="0.15">
      <c r="A42" s="46"/>
      <c r="B42" s="47">
        <f t="shared" si="36"/>
        <v>0.92500000000000016</v>
      </c>
      <c r="C42" s="48">
        <f t="shared" si="21"/>
        <v>507.92901109625677</v>
      </c>
      <c r="D42" s="47">
        <f t="shared" si="22"/>
        <v>6.8821994426604283</v>
      </c>
      <c r="E42" s="47">
        <f t="shared" si="23"/>
        <v>16.452053305454548</v>
      </c>
      <c r="F42" s="46"/>
      <c r="G42" s="49">
        <f t="shared" si="27"/>
        <v>0.95236090818181829</v>
      </c>
      <c r="H42" s="50">
        <f t="shared" si="37"/>
        <v>520</v>
      </c>
      <c r="I42" s="49">
        <f t="shared" si="28"/>
        <v>7.1236192207352937</v>
      </c>
      <c r="J42" s="49">
        <f t="shared" si="29"/>
        <v>17.13607601</v>
      </c>
      <c r="K42" s="46"/>
      <c r="L42" s="51">
        <f t="shared" si="30"/>
        <v>0.81368406316515185</v>
      </c>
      <c r="M42" s="52">
        <f t="shared" si="31"/>
        <v>458.81903896323541</v>
      </c>
      <c r="N42" s="53">
        <f t="shared" si="38"/>
        <v>5.9000000000000021</v>
      </c>
      <c r="O42" s="53">
        <f t="shared" si="32"/>
        <v>13.669154884583341</v>
      </c>
      <c r="P42" s="46"/>
      <c r="Q42" s="54">
        <f t="shared" si="33"/>
        <v>0.79491786778181817</v>
      </c>
      <c r="R42" s="55">
        <f t="shared" si="34"/>
        <v>450.53983511764699</v>
      </c>
      <c r="S42" s="54">
        <f t="shared" si="35"/>
        <v>5.7344159230882346</v>
      </c>
      <c r="T42" s="54">
        <f t="shared" si="39"/>
        <v>13.199999999999998</v>
      </c>
    </row>
    <row r="43" spans="1:20" x14ac:dyDescent="0.15">
      <c r="A43" s="410" t="s">
        <v>84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552.68543631818193</v>
      </c>
      <c r="C45" s="4">
        <f>'Strip-Till'!D$31</f>
        <v>666.46344999999997</v>
      </c>
      <c r="D45" s="4">
        <f>'Strip-Till'!F$31</f>
        <v>588.39899000000003</v>
      </c>
      <c r="E45" s="4">
        <f>'Strip-Till'!H$31</f>
        <v>274.00523339999995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06" t="s">
        <v>74</v>
      </c>
      <c r="C47" s="406"/>
      <c r="D47" s="406"/>
      <c r="E47" s="406"/>
      <c r="F47" s="29"/>
      <c r="G47" s="407" t="s">
        <v>75</v>
      </c>
      <c r="H47" s="407"/>
      <c r="I47" s="407"/>
      <c r="J47" s="407"/>
      <c r="K47" s="29"/>
      <c r="L47" s="408" t="s">
        <v>76</v>
      </c>
      <c r="M47" s="408"/>
      <c r="N47" s="408"/>
      <c r="O47" s="408"/>
      <c r="P47" s="29"/>
      <c r="Q47" s="409" t="s">
        <v>77</v>
      </c>
      <c r="R47" s="409"/>
      <c r="S47" s="409"/>
      <c r="T47" s="409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0.57499999999999984</v>
      </c>
      <c r="C49" s="19">
        <f>(((B49*$B$46)-$B$45+$C$45)/$C$46)*2000</f>
        <v>342.03319731141187</v>
      </c>
      <c r="D49" s="18">
        <f>(((B49*$B$46)-$B$45+$D$45)/$D$46)</f>
        <v>3.6285677684090896</v>
      </c>
      <c r="E49" s="18">
        <f>(((B49*$B$46)-$B$45+$E$45)/$E$46)</f>
        <v>6.8553299513636299</v>
      </c>
      <c r="G49" s="20">
        <f>(((H49*$C$46/2000)-$C$45+$B$45)/$B$46)</f>
        <v>0.64935165526515159</v>
      </c>
      <c r="H49" s="21">
        <f t="shared" ref="H49:H54" si="41">H50-10</f>
        <v>380</v>
      </c>
      <c r="I49" s="20">
        <f>(((H49*$C$46/2000)-$C$45+$D$45)/$D$46)</f>
        <v>4.0746777000000005</v>
      </c>
      <c r="J49" s="20">
        <f>(((H49*$C$46/2000)-$C$45+$E$45)/$E$46)</f>
        <v>8.3423630566666667</v>
      </c>
      <c r="L49" s="17">
        <f>(((N49*$D$46)-$D$45+$B$45)/$B$46)</f>
        <v>0.60357203859848463</v>
      </c>
      <c r="M49" s="14">
        <f>(((N49*$D$46)-$D$45+$C$45)/$C$46)*2000</f>
        <v>356.62317446808493</v>
      </c>
      <c r="N49" s="13">
        <f t="shared" ref="N49:N54" si="42">N50-0.15</f>
        <v>3.799999999999998</v>
      </c>
      <c r="O49" s="13">
        <f>(((N49*$D$46)-$D$45+$E$45)/$E$46)</f>
        <v>7.426770723333326</v>
      </c>
      <c r="Q49" s="36">
        <f>(((T49*$E$46)-$E$45+$B$45)/$B$46)</f>
        <v>0.64723350243181854</v>
      </c>
      <c r="R49" s="10">
        <f>(((T49*$E$46)-$E$45+$C$45)/$C$46)*2000</f>
        <v>378.91839004255331</v>
      </c>
      <c r="S49" s="9">
        <f>(((T49*$E$46)-$E$45+$D$45)/$D$46)</f>
        <v>4.0619687830000011</v>
      </c>
      <c r="T49" s="9">
        <f t="shared" ref="T49:T54" si="43">T50-0.35</f>
        <v>8.3000000000000025</v>
      </c>
    </row>
    <row r="50" spans="2:20" x14ac:dyDescent="0.15">
      <c r="B50" s="18">
        <f t="shared" si="40"/>
        <v>0.59999999999999987</v>
      </c>
      <c r="C50" s="19">
        <f t="shared" ref="C50:C63" si="44">(((B50*$B$46)-$B$45+$C$45)/$C$46)*2000</f>
        <v>354.79915475822037</v>
      </c>
      <c r="D50" s="18">
        <f t="shared" ref="D50:D63" si="45">(((B50*$B$46)-$B$45+$D$45)/$D$46)</f>
        <v>3.7785677684090899</v>
      </c>
      <c r="E50" s="18">
        <f t="shared" ref="E50:E63" si="46">(((B50*$B$46)-$B$45+$E$45)/$E$46)</f>
        <v>7.3553299513636317</v>
      </c>
      <c r="G50" s="20">
        <f t="shared" ref="G50:G63" si="47">(((H50*$C$46/2000)-$C$45+$B$45)/$B$46)</f>
        <v>0.66893498859848499</v>
      </c>
      <c r="H50" s="21">
        <f t="shared" si="41"/>
        <v>390</v>
      </c>
      <c r="I50" s="20">
        <f t="shared" ref="I50:I63" si="48">(((H50*$C$46/2000)-$C$45+$D$45)/$D$46)</f>
        <v>4.1921777000000002</v>
      </c>
      <c r="J50" s="20">
        <f t="shared" ref="J50:J63" si="49">(((H50*$C$46/2000)-$C$45+$E$45)/$E$46)</f>
        <v>8.7340297233333324</v>
      </c>
      <c r="L50" s="17">
        <f t="shared" ref="L50:L63" si="50">(((N50*$D$46)-$D$45+$B$45)/$B$46)</f>
        <v>0.62857203859848454</v>
      </c>
      <c r="M50" s="14">
        <f t="shared" ref="M50:M63" si="51">(((N50*$D$46)-$D$45+$C$45)/$C$46)*2000</f>
        <v>369.38913191489343</v>
      </c>
      <c r="N50" s="13">
        <f t="shared" si="42"/>
        <v>3.949999999999998</v>
      </c>
      <c r="O50" s="13">
        <f t="shared" ref="O50:O63" si="52">(((N50*$D$46)-$D$45+$E$45)/$E$46)</f>
        <v>7.9267707233333242</v>
      </c>
      <c r="Q50" s="36">
        <f t="shared" ref="Q50:Q63" si="53">(((T50*$E$46)-$E$45+$B$45)/$B$46)</f>
        <v>0.66473350243181839</v>
      </c>
      <c r="R50" s="10">
        <f t="shared" ref="R50:R63" si="54">(((T50*$E$46)-$E$45+$C$45)/$C$46)*2000</f>
        <v>387.8545602553192</v>
      </c>
      <c r="S50" s="9">
        <f t="shared" ref="S50:S63" si="55">(((T50*$E$46)-$E$45+$D$45)/$D$46)</f>
        <v>4.1669687830000006</v>
      </c>
      <c r="T50" s="9">
        <f t="shared" si="43"/>
        <v>8.6500000000000021</v>
      </c>
    </row>
    <row r="51" spans="2:20" x14ac:dyDescent="0.15">
      <c r="B51" s="18">
        <f t="shared" si="40"/>
        <v>0.62499999999999989</v>
      </c>
      <c r="C51" s="19">
        <f t="shared" si="44"/>
        <v>367.56511220502892</v>
      </c>
      <c r="D51" s="18">
        <f t="shared" si="45"/>
        <v>3.9285677684090898</v>
      </c>
      <c r="E51" s="18">
        <f t="shared" si="46"/>
        <v>7.8553299513636317</v>
      </c>
      <c r="G51" s="20">
        <f t="shared" si="47"/>
        <v>0.68851832193181828</v>
      </c>
      <c r="H51" s="21">
        <f t="shared" si="41"/>
        <v>400</v>
      </c>
      <c r="I51" s="20">
        <f t="shared" si="48"/>
        <v>4.3096776999999999</v>
      </c>
      <c r="J51" s="20">
        <f t="shared" si="49"/>
        <v>9.1256963899999999</v>
      </c>
      <c r="L51" s="17">
        <f t="shared" si="50"/>
        <v>0.65357203859848456</v>
      </c>
      <c r="M51" s="14">
        <f t="shared" si="51"/>
        <v>382.15508936170187</v>
      </c>
      <c r="N51" s="13">
        <f t="shared" si="42"/>
        <v>4.0999999999999979</v>
      </c>
      <c r="O51" s="13">
        <f t="shared" si="52"/>
        <v>8.4267707233333251</v>
      </c>
      <c r="Q51" s="36">
        <f t="shared" si="53"/>
        <v>0.68223350243181846</v>
      </c>
      <c r="R51" s="10">
        <f t="shared" si="54"/>
        <v>396.79073046808514</v>
      </c>
      <c r="S51" s="9">
        <f t="shared" si="55"/>
        <v>4.271968783000001</v>
      </c>
      <c r="T51" s="9">
        <f t="shared" si="43"/>
        <v>9.0000000000000018</v>
      </c>
    </row>
    <row r="52" spans="2:20" x14ac:dyDescent="0.15">
      <c r="B52" s="18">
        <f t="shared" si="40"/>
        <v>0.64999999999999991</v>
      </c>
      <c r="C52" s="19">
        <f t="shared" si="44"/>
        <v>380.33106965183742</v>
      </c>
      <c r="D52" s="18">
        <f t="shared" si="45"/>
        <v>4.0785677684090897</v>
      </c>
      <c r="E52" s="18">
        <f t="shared" si="46"/>
        <v>8.3553299513636325</v>
      </c>
      <c r="G52" s="20">
        <f t="shared" si="47"/>
        <v>0.70810165526515167</v>
      </c>
      <c r="H52" s="21">
        <f t="shared" si="41"/>
        <v>410</v>
      </c>
      <c r="I52" s="20">
        <f t="shared" si="48"/>
        <v>4.4271777000000005</v>
      </c>
      <c r="J52" s="20">
        <f t="shared" si="49"/>
        <v>9.5173630566666656</v>
      </c>
      <c r="L52" s="17">
        <f t="shared" si="50"/>
        <v>0.67857203859848458</v>
      </c>
      <c r="M52" s="14">
        <f t="shared" si="51"/>
        <v>394.92104680851048</v>
      </c>
      <c r="N52" s="13">
        <f t="shared" si="42"/>
        <v>4.2499999999999982</v>
      </c>
      <c r="O52" s="13">
        <f t="shared" si="52"/>
        <v>8.9267707233333269</v>
      </c>
      <c r="Q52" s="36">
        <f t="shared" si="53"/>
        <v>0.69973350243181842</v>
      </c>
      <c r="R52" s="10">
        <f t="shared" si="54"/>
        <v>405.72690068085109</v>
      </c>
      <c r="S52" s="9">
        <f t="shared" si="55"/>
        <v>4.3769687830000006</v>
      </c>
      <c r="T52" s="9">
        <f t="shared" si="43"/>
        <v>9.3500000000000014</v>
      </c>
    </row>
    <row r="53" spans="2:20" x14ac:dyDescent="0.15">
      <c r="B53" s="18">
        <f t="shared" si="40"/>
        <v>0.67499999999999993</v>
      </c>
      <c r="C53" s="19">
        <f t="shared" si="44"/>
        <v>393.09702709864592</v>
      </c>
      <c r="D53" s="18">
        <f t="shared" si="45"/>
        <v>4.2285677684090901</v>
      </c>
      <c r="E53" s="18">
        <f t="shared" si="46"/>
        <v>8.8553299513636325</v>
      </c>
      <c r="G53" s="20">
        <f t="shared" si="47"/>
        <v>0.72768498859848496</v>
      </c>
      <c r="H53" s="21">
        <f t="shared" si="41"/>
        <v>420</v>
      </c>
      <c r="I53" s="20">
        <f t="shared" si="48"/>
        <v>4.5446777000000003</v>
      </c>
      <c r="J53" s="20">
        <f t="shared" si="49"/>
        <v>9.9090297233333331</v>
      </c>
      <c r="L53" s="17">
        <f t="shared" si="50"/>
        <v>0.70357203859848472</v>
      </c>
      <c r="M53" s="14">
        <f t="shared" si="51"/>
        <v>407.68700425531898</v>
      </c>
      <c r="N53" s="13">
        <f t="shared" si="42"/>
        <v>4.3999999999999986</v>
      </c>
      <c r="O53" s="13">
        <f t="shared" si="52"/>
        <v>9.4267707233333287</v>
      </c>
      <c r="Q53" s="36">
        <f t="shared" si="53"/>
        <v>0.71723350243181838</v>
      </c>
      <c r="R53" s="10">
        <f t="shared" si="54"/>
        <v>414.66307089361709</v>
      </c>
      <c r="S53" s="9">
        <f t="shared" si="55"/>
        <v>4.481968783000001</v>
      </c>
      <c r="T53" s="9">
        <f t="shared" si="43"/>
        <v>9.7000000000000011</v>
      </c>
    </row>
    <row r="54" spans="2:20" x14ac:dyDescent="0.15">
      <c r="B54" s="18">
        <f t="shared" si="40"/>
        <v>0.7</v>
      </c>
      <c r="C54" s="19">
        <f t="shared" si="44"/>
        <v>405.86298454545448</v>
      </c>
      <c r="D54" s="18">
        <f t="shared" si="45"/>
        <v>4.3785677684090905</v>
      </c>
      <c r="E54" s="18">
        <f t="shared" si="46"/>
        <v>9.3553299513636343</v>
      </c>
      <c r="G54" s="20">
        <f t="shared" si="47"/>
        <v>0.74726832193181825</v>
      </c>
      <c r="H54" s="21">
        <f t="shared" si="41"/>
        <v>430</v>
      </c>
      <c r="I54" s="20">
        <f t="shared" si="48"/>
        <v>4.6621777</v>
      </c>
      <c r="J54" s="20">
        <f t="shared" si="49"/>
        <v>10.300696390000001</v>
      </c>
      <c r="L54" s="17">
        <f t="shared" si="50"/>
        <v>0.72857203859848474</v>
      </c>
      <c r="M54" s="14">
        <f t="shared" si="51"/>
        <v>420.45296170212754</v>
      </c>
      <c r="N54" s="13">
        <f t="shared" si="42"/>
        <v>4.5499999999999989</v>
      </c>
      <c r="O54" s="13">
        <f t="shared" si="52"/>
        <v>9.9267707233333287</v>
      </c>
      <c r="Q54" s="36">
        <f t="shared" si="53"/>
        <v>0.73473350243181834</v>
      </c>
      <c r="R54" s="10">
        <f t="shared" si="54"/>
        <v>423.59924110638298</v>
      </c>
      <c r="S54" s="9">
        <f t="shared" si="55"/>
        <v>4.5869687830000005</v>
      </c>
      <c r="T54" s="9">
        <f t="shared" si="43"/>
        <v>10.050000000000001</v>
      </c>
    </row>
    <row r="55" spans="2:20" ht="14" thickBot="1" x14ac:dyDescent="0.2">
      <c r="B55" s="18">
        <f>B56-0.025</f>
        <v>0.72499999999999998</v>
      </c>
      <c r="C55" s="19">
        <f t="shared" si="44"/>
        <v>418.62894199226298</v>
      </c>
      <c r="D55" s="18">
        <f t="shared" si="45"/>
        <v>4.5285677684090908</v>
      </c>
      <c r="E55" s="18">
        <f t="shared" si="46"/>
        <v>9.8553299513636343</v>
      </c>
      <c r="G55" s="20">
        <f t="shared" si="47"/>
        <v>0.76685165526515164</v>
      </c>
      <c r="H55" s="21">
        <f>H56-10</f>
        <v>440</v>
      </c>
      <c r="I55" s="20">
        <f t="shared" si="48"/>
        <v>4.7796777000000006</v>
      </c>
      <c r="J55" s="20">
        <f t="shared" si="49"/>
        <v>10.692363056666666</v>
      </c>
      <c r="L55" s="17">
        <f t="shared" si="50"/>
        <v>0.75357203859848487</v>
      </c>
      <c r="M55" s="14">
        <f t="shared" si="51"/>
        <v>433.2189191489361</v>
      </c>
      <c r="N55" s="13">
        <f>N56-0.15</f>
        <v>4.6999999999999993</v>
      </c>
      <c r="O55" s="13">
        <f t="shared" si="52"/>
        <v>10.42677072333333</v>
      </c>
      <c r="Q55" s="36">
        <f t="shared" si="53"/>
        <v>0.7522335024318183</v>
      </c>
      <c r="R55" s="10">
        <f t="shared" si="54"/>
        <v>432.53541131914898</v>
      </c>
      <c r="S55" s="9">
        <f t="shared" si="55"/>
        <v>4.6919687830000001</v>
      </c>
      <c r="T55" s="9">
        <f>T56-0.35</f>
        <v>10.4</v>
      </c>
    </row>
    <row r="56" spans="2:20" ht="14" thickBot="1" x14ac:dyDescent="0.2">
      <c r="B56" s="24">
        <f>Conventional!$B$8</f>
        <v>0.75</v>
      </c>
      <c r="C56" s="19">
        <f t="shared" si="44"/>
        <v>431.39489943907148</v>
      </c>
      <c r="D56" s="18">
        <f t="shared" si="45"/>
        <v>4.6785677684090903</v>
      </c>
      <c r="E56" s="18">
        <f t="shared" si="46"/>
        <v>10.355329951363634</v>
      </c>
      <c r="G56" s="20">
        <f t="shared" si="47"/>
        <v>0.78643498859848493</v>
      </c>
      <c r="H56" s="22">
        <f>Conventional!$D$8</f>
        <v>450</v>
      </c>
      <c r="I56" s="20">
        <f t="shared" si="48"/>
        <v>4.8971777000000003</v>
      </c>
      <c r="J56" s="20">
        <f t="shared" si="49"/>
        <v>11.084029723333334</v>
      </c>
      <c r="L56" s="17">
        <f t="shared" si="50"/>
        <v>0.77857203859848478</v>
      </c>
      <c r="M56" s="14">
        <f t="shared" si="51"/>
        <v>445.98487659574459</v>
      </c>
      <c r="N56" s="15">
        <f>Conventional!$F$8</f>
        <v>4.8499999999999996</v>
      </c>
      <c r="O56" s="13">
        <f t="shared" si="52"/>
        <v>10.92677072333333</v>
      </c>
      <c r="Q56" s="36">
        <f t="shared" si="53"/>
        <v>0.76973350243181826</v>
      </c>
      <c r="R56" s="10">
        <f t="shared" si="54"/>
        <v>441.47158153191492</v>
      </c>
      <c r="S56" s="9">
        <f t="shared" si="55"/>
        <v>4.7969687830000005</v>
      </c>
      <c r="T56" s="11">
        <f>Conventional!$H$8</f>
        <v>10.75</v>
      </c>
    </row>
    <row r="57" spans="2:20" x14ac:dyDescent="0.15">
      <c r="B57" s="18">
        <f>B56+0.025</f>
        <v>0.77500000000000002</v>
      </c>
      <c r="C57" s="19">
        <f t="shared" si="44"/>
        <v>444.16085688588004</v>
      </c>
      <c r="D57" s="18">
        <f t="shared" si="45"/>
        <v>4.8285677684090906</v>
      </c>
      <c r="E57" s="18">
        <f t="shared" si="46"/>
        <v>10.855329951363634</v>
      </c>
      <c r="G57" s="20">
        <f t="shared" si="47"/>
        <v>0.80601832193181833</v>
      </c>
      <c r="H57" s="21">
        <f>H56+10</f>
        <v>460</v>
      </c>
      <c r="I57" s="20">
        <f t="shared" si="48"/>
        <v>5.0146777</v>
      </c>
      <c r="J57" s="20">
        <f t="shared" si="49"/>
        <v>11.47569639</v>
      </c>
      <c r="L57" s="17">
        <f t="shared" si="50"/>
        <v>0.80357203859848492</v>
      </c>
      <c r="M57" s="14">
        <f t="shared" si="51"/>
        <v>458.75083404255321</v>
      </c>
      <c r="N57" s="13">
        <f>N56+0.15</f>
        <v>5</v>
      </c>
      <c r="O57" s="13">
        <f t="shared" si="52"/>
        <v>11.426770723333332</v>
      </c>
      <c r="Q57" s="36">
        <f t="shared" si="53"/>
        <v>0.78723350243181833</v>
      </c>
      <c r="R57" s="10">
        <f t="shared" si="54"/>
        <v>450.40775174468087</v>
      </c>
      <c r="S57" s="9">
        <f t="shared" si="55"/>
        <v>4.9019687830000001</v>
      </c>
      <c r="T57" s="9">
        <f>T56+0.35</f>
        <v>11.1</v>
      </c>
    </row>
    <row r="58" spans="2:20" x14ac:dyDescent="0.15">
      <c r="B58" s="18">
        <f t="shared" ref="B58:B63" si="56">B57+0.025</f>
        <v>0.8</v>
      </c>
      <c r="C58" s="19">
        <f t="shared" si="44"/>
        <v>456.92681433268848</v>
      </c>
      <c r="D58" s="18">
        <f t="shared" si="45"/>
        <v>4.9785677684090901</v>
      </c>
      <c r="E58" s="18">
        <f t="shared" si="46"/>
        <v>11.355329951363634</v>
      </c>
      <c r="G58" s="20">
        <f t="shared" si="47"/>
        <v>0.82560165526515161</v>
      </c>
      <c r="H58" s="21">
        <f t="shared" ref="H58:H63" si="57">H57+10</f>
        <v>470</v>
      </c>
      <c r="I58" s="20">
        <f t="shared" si="48"/>
        <v>5.1321776999999997</v>
      </c>
      <c r="J58" s="20">
        <f t="shared" si="49"/>
        <v>11.867363056666667</v>
      </c>
      <c r="L58" s="17">
        <f t="shared" si="50"/>
        <v>0.82857203859848494</v>
      </c>
      <c r="M58" s="14">
        <f t="shared" si="51"/>
        <v>471.51679148936171</v>
      </c>
      <c r="N58" s="13">
        <f t="shared" ref="N58:N63" si="58">N57+0.15</f>
        <v>5.15</v>
      </c>
      <c r="O58" s="13">
        <f t="shared" si="52"/>
        <v>11.926770723333332</v>
      </c>
      <c r="Q58" s="36">
        <f t="shared" si="53"/>
        <v>0.80473350243181829</v>
      </c>
      <c r="R58" s="10">
        <f t="shared" si="54"/>
        <v>459.34392195744681</v>
      </c>
      <c r="S58" s="9">
        <f t="shared" si="55"/>
        <v>5.0069687830000005</v>
      </c>
      <c r="T58" s="9">
        <f t="shared" ref="T58:T63" si="59">T57+0.35</f>
        <v>11.45</v>
      </c>
    </row>
    <row r="59" spans="2:20" x14ac:dyDescent="0.15">
      <c r="B59" s="18">
        <f t="shared" si="56"/>
        <v>0.82500000000000007</v>
      </c>
      <c r="C59" s="19">
        <f t="shared" si="44"/>
        <v>469.69277177949715</v>
      </c>
      <c r="D59" s="18">
        <f t="shared" si="45"/>
        <v>5.1285677684090913</v>
      </c>
      <c r="E59" s="18">
        <f t="shared" si="46"/>
        <v>11.855329951363636</v>
      </c>
      <c r="G59" s="20">
        <f t="shared" si="47"/>
        <v>0.84518498859848501</v>
      </c>
      <c r="H59" s="21">
        <f t="shared" si="57"/>
        <v>480</v>
      </c>
      <c r="I59" s="20">
        <f t="shared" si="48"/>
        <v>5.2496776999999994</v>
      </c>
      <c r="J59" s="20">
        <f t="shared" si="49"/>
        <v>12.259029723333333</v>
      </c>
      <c r="L59" s="17">
        <f t="shared" si="50"/>
        <v>0.85357203859848518</v>
      </c>
      <c r="M59" s="14">
        <f t="shared" si="51"/>
        <v>484.28274893617026</v>
      </c>
      <c r="N59" s="13">
        <f t="shared" si="58"/>
        <v>5.3000000000000007</v>
      </c>
      <c r="O59" s="13">
        <f t="shared" si="52"/>
        <v>12.426770723333336</v>
      </c>
      <c r="Q59" s="36">
        <f t="shared" si="53"/>
        <v>0.82223350243181825</v>
      </c>
      <c r="R59" s="10">
        <f t="shared" si="54"/>
        <v>468.28009217021275</v>
      </c>
      <c r="S59" s="9">
        <f t="shared" si="55"/>
        <v>5.111968783</v>
      </c>
      <c r="T59" s="9">
        <f t="shared" si="59"/>
        <v>11.799999999999999</v>
      </c>
    </row>
    <row r="60" spans="2:20" x14ac:dyDescent="0.15">
      <c r="B60" s="18">
        <f t="shared" si="56"/>
        <v>0.85000000000000009</v>
      </c>
      <c r="C60" s="19">
        <f t="shared" si="44"/>
        <v>482.45872922630565</v>
      </c>
      <c r="D60" s="18">
        <f t="shared" si="45"/>
        <v>5.2785677684090908</v>
      </c>
      <c r="E60" s="18">
        <f t="shared" si="46"/>
        <v>12.355329951363636</v>
      </c>
      <c r="G60" s="20">
        <f t="shared" si="47"/>
        <v>0.8647683219318183</v>
      </c>
      <c r="H60" s="21">
        <f t="shared" si="57"/>
        <v>490</v>
      </c>
      <c r="I60" s="20">
        <f t="shared" si="48"/>
        <v>5.3671777000000001</v>
      </c>
      <c r="J60" s="20">
        <f t="shared" si="49"/>
        <v>12.65069639</v>
      </c>
      <c r="L60" s="17">
        <f t="shared" si="50"/>
        <v>0.87857203859848521</v>
      </c>
      <c r="M60" s="14">
        <f t="shared" si="51"/>
        <v>497.04870638297876</v>
      </c>
      <c r="N60" s="13">
        <f t="shared" si="58"/>
        <v>5.4500000000000011</v>
      </c>
      <c r="O60" s="13">
        <f t="shared" si="52"/>
        <v>12.926770723333336</v>
      </c>
      <c r="Q60" s="36">
        <f t="shared" si="53"/>
        <v>0.83973350243181821</v>
      </c>
      <c r="R60" s="10">
        <f t="shared" si="54"/>
        <v>477.2162623829787</v>
      </c>
      <c r="S60" s="9">
        <f t="shared" si="55"/>
        <v>5.2169687829999996</v>
      </c>
      <c r="T60" s="9">
        <f t="shared" si="59"/>
        <v>12.149999999999999</v>
      </c>
    </row>
    <row r="61" spans="2:20" x14ac:dyDescent="0.15">
      <c r="B61" s="18">
        <f t="shared" si="56"/>
        <v>0.87500000000000011</v>
      </c>
      <c r="C61" s="19">
        <f t="shared" si="44"/>
        <v>495.22468667311415</v>
      </c>
      <c r="D61" s="18">
        <f t="shared" si="45"/>
        <v>5.4285677684090912</v>
      </c>
      <c r="E61" s="18">
        <f t="shared" si="46"/>
        <v>12.855329951363638</v>
      </c>
      <c r="G61" s="20">
        <f t="shared" si="47"/>
        <v>0.88435165526515158</v>
      </c>
      <c r="H61" s="21">
        <f t="shared" si="57"/>
        <v>500</v>
      </c>
      <c r="I61" s="20">
        <f t="shared" si="48"/>
        <v>5.4846776999999998</v>
      </c>
      <c r="J61" s="20">
        <f t="shared" si="49"/>
        <v>13.042363056666666</v>
      </c>
      <c r="L61" s="17">
        <f t="shared" si="50"/>
        <v>0.90357203859848523</v>
      </c>
      <c r="M61" s="14">
        <f t="shared" si="51"/>
        <v>509.81466382978726</v>
      </c>
      <c r="N61" s="13">
        <f t="shared" si="58"/>
        <v>5.6000000000000014</v>
      </c>
      <c r="O61" s="13">
        <f t="shared" si="52"/>
        <v>13.426770723333336</v>
      </c>
      <c r="Q61" s="36">
        <f t="shared" si="53"/>
        <v>0.85723350243181817</v>
      </c>
      <c r="R61" s="10">
        <f t="shared" si="54"/>
        <v>486.1524325957447</v>
      </c>
      <c r="S61" s="9">
        <f t="shared" si="55"/>
        <v>5.321968783</v>
      </c>
      <c r="T61" s="9">
        <f t="shared" si="59"/>
        <v>12.499999999999998</v>
      </c>
    </row>
    <row r="62" spans="2:20" x14ac:dyDescent="0.15">
      <c r="B62" s="18">
        <f t="shared" si="56"/>
        <v>0.90000000000000013</v>
      </c>
      <c r="C62" s="19">
        <f t="shared" si="44"/>
        <v>507.99064411992265</v>
      </c>
      <c r="D62" s="18">
        <f t="shared" si="45"/>
        <v>5.5785677684090906</v>
      </c>
      <c r="E62" s="18">
        <f t="shared" si="46"/>
        <v>13.355329951363638</v>
      </c>
      <c r="G62" s="20">
        <f t="shared" si="47"/>
        <v>0.90393498859848498</v>
      </c>
      <c r="H62" s="21">
        <f t="shared" si="57"/>
        <v>510</v>
      </c>
      <c r="I62" s="20">
        <f t="shared" si="48"/>
        <v>5.6021776999999995</v>
      </c>
      <c r="J62" s="20">
        <f t="shared" si="49"/>
        <v>13.434029723333333</v>
      </c>
      <c r="L62" s="17">
        <f t="shared" si="50"/>
        <v>0.92857203859848525</v>
      </c>
      <c r="M62" s="14">
        <f t="shared" si="51"/>
        <v>522.58062127659605</v>
      </c>
      <c r="N62" s="13">
        <f t="shared" si="58"/>
        <v>5.7500000000000018</v>
      </c>
      <c r="O62" s="13">
        <f t="shared" si="52"/>
        <v>13.926770723333339</v>
      </c>
      <c r="Q62" s="36">
        <f t="shared" si="53"/>
        <v>0.87473350243181813</v>
      </c>
      <c r="R62" s="10">
        <f t="shared" si="54"/>
        <v>495.08860280851064</v>
      </c>
      <c r="S62" s="9">
        <f t="shared" si="55"/>
        <v>5.4269687829999995</v>
      </c>
      <c r="T62" s="9">
        <f t="shared" si="59"/>
        <v>12.849999999999998</v>
      </c>
    </row>
    <row r="63" spans="2:20" x14ac:dyDescent="0.15">
      <c r="B63" s="18">
        <f t="shared" si="56"/>
        <v>0.92500000000000016</v>
      </c>
      <c r="C63" s="19">
        <f t="shared" si="44"/>
        <v>520.75660156673121</v>
      </c>
      <c r="D63" s="18">
        <f t="shared" si="45"/>
        <v>5.728567768409091</v>
      </c>
      <c r="E63" s="18">
        <f t="shared" si="46"/>
        <v>13.855329951363638</v>
      </c>
      <c r="G63" s="20">
        <f t="shared" si="47"/>
        <v>0.92351832193181826</v>
      </c>
      <c r="H63" s="21">
        <f t="shared" si="57"/>
        <v>520</v>
      </c>
      <c r="I63" s="20">
        <f t="shared" si="48"/>
        <v>5.7196777000000001</v>
      </c>
      <c r="J63" s="20">
        <f t="shared" si="49"/>
        <v>13.825696389999999</v>
      </c>
      <c r="L63" s="17">
        <f t="shared" si="50"/>
        <v>0.95357203859848516</v>
      </c>
      <c r="M63" s="14">
        <f t="shared" si="51"/>
        <v>535.34657872340449</v>
      </c>
      <c r="N63" s="13">
        <f t="shared" si="58"/>
        <v>5.9000000000000021</v>
      </c>
      <c r="O63" s="13">
        <f t="shared" si="52"/>
        <v>14.426770723333339</v>
      </c>
      <c r="Q63" s="36">
        <f t="shared" si="53"/>
        <v>0.89223350243181809</v>
      </c>
      <c r="R63" s="10">
        <f t="shared" si="54"/>
        <v>504.02477302127659</v>
      </c>
      <c r="S63" s="9">
        <f t="shared" si="55"/>
        <v>5.5319687829999999</v>
      </c>
      <c r="T63" s="9">
        <f t="shared" si="59"/>
        <v>13.199999999999998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442.69886863636367</v>
      </c>
      <c r="C66" s="57">
        <f>'Strip-Till'!N$31</f>
        <v>580.37532499999998</v>
      </c>
      <c r="D66" s="57">
        <f>'Strip-Till'!P$31</f>
        <v>308.83913376250001</v>
      </c>
      <c r="E66" s="57">
        <f>'Strip-Till'!R$31</f>
        <v>216.90003029999997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06" t="s">
        <v>74</v>
      </c>
      <c r="C68" s="406"/>
      <c r="D68" s="406"/>
      <c r="E68" s="406"/>
      <c r="F68" s="29"/>
      <c r="G68" s="407" t="s">
        <v>75</v>
      </c>
      <c r="H68" s="407"/>
      <c r="I68" s="407"/>
      <c r="J68" s="407"/>
      <c r="K68" s="29"/>
      <c r="L68" s="408" t="s">
        <v>76</v>
      </c>
      <c r="M68" s="408"/>
      <c r="N68" s="408"/>
      <c r="O68" s="408"/>
      <c r="P68" s="29"/>
      <c r="Q68" s="409" t="s">
        <v>77</v>
      </c>
      <c r="R68" s="409"/>
      <c r="S68" s="409"/>
      <c r="T68" s="409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0.57499999999999984</v>
      </c>
      <c r="C70" s="19">
        <f>(((B70*$B$67)-$B$66+$C$66)/$C$67)*2000</f>
        <v>334.66262139037417</v>
      </c>
      <c r="D70" s="18">
        <f>(((B70*$B$67)-$B$66+$D$66)/$D$67)</f>
        <v>3.4987090014839555</v>
      </c>
      <c r="E70" s="18">
        <f>(((B70*$B$67)-$B$66+$E$66)/$E$67)</f>
        <v>6.8483720554545391</v>
      </c>
      <c r="G70" s="20">
        <f>(((H70*$C$67/2000)-$C$66+$B$66)/$B$67)</f>
        <v>0.67776472484848493</v>
      </c>
      <c r="H70" s="21">
        <f t="shared" ref="H70:H75" si="61">H71-10</f>
        <v>380</v>
      </c>
      <c r="I70" s="20">
        <f>(((H70*$C$67/2000)-$C$66+$D$66)/$D$67)</f>
        <v>4.4054565736764708</v>
      </c>
      <c r="J70" s="20">
        <f>(((H70*$C$67/2000)-$C$66+$E$66)/$E$67)</f>
        <v>9.4174901766666661</v>
      </c>
      <c r="L70" s="17">
        <f>(((N70*$D$67)-$D$66+$B$66)/$B$67)</f>
        <v>0.60914631316515133</v>
      </c>
      <c r="M70" s="14">
        <f>(((N70*$D$67)-$D$66+$C$66)/$C$67)*2000</f>
        <v>349.72717131617634</v>
      </c>
      <c r="N70" s="13">
        <f t="shared" ref="N70:N75" si="62">N71-0.15</f>
        <v>3.799999999999998</v>
      </c>
      <c r="O70" s="13">
        <f>(((N70*$D$67)-$D$66+$E$66)/$E$67)</f>
        <v>7.7020298845833262</v>
      </c>
      <c r="Q70" s="9">
        <f>(((T70*$E$67)-$E$66+$B$66)/$B$67)</f>
        <v>0.6330651177818184</v>
      </c>
      <c r="R70" s="10">
        <f>(((T70*$E$67)-$E$66+$C$66)/$C$67)*2000</f>
        <v>360.27958511764706</v>
      </c>
      <c r="S70" s="9">
        <f>(((T70*$E$67)-$E$66+$D$66)/$D$67)</f>
        <v>4.0110482760294133</v>
      </c>
      <c r="T70" s="9">
        <f t="shared" ref="T70:T75" si="63">T71-0.35</f>
        <v>8.3000000000000025</v>
      </c>
    </row>
    <row r="71" spans="1:20" x14ac:dyDescent="0.15">
      <c r="B71" s="18">
        <f t="shared" si="60"/>
        <v>0.59999999999999987</v>
      </c>
      <c r="C71" s="19">
        <f t="shared" ref="C71:C84" si="64">(((B71*$B$67)-$B$66+$C$66)/$C$67)*2000</f>
        <v>345.69203315508008</v>
      </c>
      <c r="D71" s="18">
        <f t="shared" ref="D71:D84" si="65">(((B71*$B$67)-$B$66+$D$66)/$D$67)</f>
        <v>3.7192972367780732</v>
      </c>
      <c r="E71" s="18">
        <f t="shared" ref="E71:E84" si="66">(((B71*$B$67)-$B$66+$E$66)/$E$67)</f>
        <v>7.4733720554545391</v>
      </c>
      <c r="G71" s="20">
        <f t="shared" ref="G71:G84" si="67">(((H71*$C$67/2000)-$C$66+$B$66)/$B$67)</f>
        <v>0.70043139151515155</v>
      </c>
      <c r="H71" s="21">
        <f t="shared" si="61"/>
        <v>390</v>
      </c>
      <c r="I71" s="20">
        <f t="shared" ref="I71:I84" si="68">(((H71*$C$67/2000)-$C$66+$D$66)/$D$67)</f>
        <v>4.605456573676471</v>
      </c>
      <c r="J71" s="20">
        <f t="shared" ref="J71:J84" si="69">(((H71*$C$67/2000)-$C$66+$E$66)/$E$67)</f>
        <v>9.9841568433333325</v>
      </c>
      <c r="L71" s="17">
        <f t="shared" ref="L71:L84" si="70">(((N71*$D$67)-$D$66+$B$66)/$B$67)</f>
        <v>0.62614631316515135</v>
      </c>
      <c r="M71" s="14">
        <f t="shared" ref="M71:M84" si="71">(((N71*$D$67)-$D$66+$C$66)/$C$67)*2000</f>
        <v>357.2271713161764</v>
      </c>
      <c r="N71" s="13">
        <f t="shared" si="62"/>
        <v>3.949999999999998</v>
      </c>
      <c r="O71" s="13">
        <f t="shared" ref="O71:O84" si="72">(((N71*$D$67)-$D$66+$E$66)/$E$67)</f>
        <v>8.127029884583326</v>
      </c>
      <c r="Q71" s="9">
        <f t="shared" ref="Q71:Q84" si="73">(((T71*$E$67)-$E$66+$B$66)/$B$67)</f>
        <v>0.6470651177818183</v>
      </c>
      <c r="R71" s="10">
        <f t="shared" ref="R71:R84" si="74">(((T71*$E$67)-$E$66+$C$66)/$C$67)*2000</f>
        <v>366.45605570588242</v>
      </c>
      <c r="S71" s="9">
        <f t="shared" ref="S71:S84" si="75">(((T71*$E$67)-$E$66+$D$66)/$D$67)</f>
        <v>4.1345776877941187</v>
      </c>
      <c r="T71" s="9">
        <f t="shared" si="63"/>
        <v>8.6500000000000021</v>
      </c>
    </row>
    <row r="72" spans="1:20" x14ac:dyDescent="0.15">
      <c r="B72" s="18">
        <f t="shared" si="60"/>
        <v>0.62499999999999989</v>
      </c>
      <c r="C72" s="19">
        <f t="shared" si="64"/>
        <v>356.72144491978605</v>
      </c>
      <c r="D72" s="18">
        <f t="shared" si="65"/>
        <v>3.9398854720721914</v>
      </c>
      <c r="E72" s="18">
        <f t="shared" si="66"/>
        <v>8.0983720554545418</v>
      </c>
      <c r="G72" s="20">
        <f t="shared" si="67"/>
        <v>0.72309805818181816</v>
      </c>
      <c r="H72" s="21">
        <f t="shared" si="61"/>
        <v>400</v>
      </c>
      <c r="I72" s="20">
        <f t="shared" si="68"/>
        <v>4.8054565736764712</v>
      </c>
      <c r="J72" s="20">
        <f t="shared" si="69"/>
        <v>10.550823509999999</v>
      </c>
      <c r="L72" s="17">
        <f t="shared" si="70"/>
        <v>0.64314631316515136</v>
      </c>
      <c r="M72" s="14">
        <f t="shared" si="71"/>
        <v>364.72717131617634</v>
      </c>
      <c r="N72" s="13">
        <f t="shared" si="62"/>
        <v>4.0999999999999979</v>
      </c>
      <c r="O72" s="13">
        <f t="shared" si="72"/>
        <v>8.5520298845833267</v>
      </c>
      <c r="Q72" s="9">
        <f t="shared" si="73"/>
        <v>0.66106511778181831</v>
      </c>
      <c r="R72" s="10">
        <f t="shared" si="74"/>
        <v>372.63252629411767</v>
      </c>
      <c r="S72" s="9">
        <f t="shared" si="75"/>
        <v>4.258107099558825</v>
      </c>
      <c r="T72" s="9">
        <f t="shared" si="63"/>
        <v>9.0000000000000018</v>
      </c>
    </row>
    <row r="73" spans="1:20" x14ac:dyDescent="0.15">
      <c r="B73" s="18">
        <f t="shared" si="60"/>
        <v>0.64999999999999991</v>
      </c>
      <c r="C73" s="19">
        <f t="shared" si="64"/>
        <v>367.75085668449191</v>
      </c>
      <c r="D73" s="18">
        <f t="shared" si="65"/>
        <v>4.1604737073663092</v>
      </c>
      <c r="E73" s="18">
        <f t="shared" si="66"/>
        <v>8.7233720554545418</v>
      </c>
      <c r="G73" s="20">
        <f t="shared" si="67"/>
        <v>0.74576472484848488</v>
      </c>
      <c r="H73" s="21">
        <f t="shared" si="61"/>
        <v>410</v>
      </c>
      <c r="I73" s="20">
        <f t="shared" si="68"/>
        <v>5.0054565736764713</v>
      </c>
      <c r="J73" s="20">
        <f t="shared" si="69"/>
        <v>11.117490176666667</v>
      </c>
      <c r="L73" s="17">
        <f t="shared" si="70"/>
        <v>0.66014631316515127</v>
      </c>
      <c r="M73" s="14">
        <f t="shared" si="71"/>
        <v>372.22717131617634</v>
      </c>
      <c r="N73" s="13">
        <f t="shared" si="62"/>
        <v>4.2499999999999982</v>
      </c>
      <c r="O73" s="13">
        <f t="shared" si="72"/>
        <v>8.9770298845833256</v>
      </c>
      <c r="Q73" s="9">
        <f t="shared" si="73"/>
        <v>0.67506511778181832</v>
      </c>
      <c r="R73" s="10">
        <f t="shared" si="74"/>
        <v>378.80899688235297</v>
      </c>
      <c r="S73" s="9">
        <f t="shared" si="75"/>
        <v>4.3816365113235305</v>
      </c>
      <c r="T73" s="9">
        <f t="shared" si="63"/>
        <v>9.3500000000000014</v>
      </c>
    </row>
    <row r="74" spans="1:20" x14ac:dyDescent="0.15">
      <c r="B74" s="18">
        <f t="shared" si="60"/>
        <v>0.67499999999999993</v>
      </c>
      <c r="C74" s="19">
        <f t="shared" si="64"/>
        <v>378.78026844919776</v>
      </c>
      <c r="D74" s="18">
        <f t="shared" si="65"/>
        <v>4.3810619426604269</v>
      </c>
      <c r="E74" s="18">
        <f t="shared" si="66"/>
        <v>9.3483720554545418</v>
      </c>
      <c r="G74" s="20">
        <f t="shared" si="67"/>
        <v>0.7684313915151515</v>
      </c>
      <c r="H74" s="21">
        <f t="shared" si="61"/>
        <v>420</v>
      </c>
      <c r="I74" s="20">
        <f t="shared" si="68"/>
        <v>5.2054565736764706</v>
      </c>
      <c r="J74" s="20">
        <f t="shared" si="69"/>
        <v>11.684156843333334</v>
      </c>
      <c r="L74" s="17">
        <f t="shared" si="70"/>
        <v>0.67714631316515139</v>
      </c>
      <c r="M74" s="14">
        <f t="shared" si="71"/>
        <v>379.7271713161764</v>
      </c>
      <c r="N74" s="13">
        <f t="shared" si="62"/>
        <v>4.3999999999999986</v>
      </c>
      <c r="O74" s="13">
        <f t="shared" si="72"/>
        <v>9.4020298845833281</v>
      </c>
      <c r="Q74" s="9">
        <f t="shared" si="73"/>
        <v>0.68906511778181845</v>
      </c>
      <c r="R74" s="10">
        <f t="shared" si="74"/>
        <v>384.98546747058828</v>
      </c>
      <c r="S74" s="9">
        <f t="shared" si="75"/>
        <v>4.5051659230882368</v>
      </c>
      <c r="T74" s="9">
        <f t="shared" si="63"/>
        <v>9.7000000000000011</v>
      </c>
    </row>
    <row r="75" spans="1:20" x14ac:dyDescent="0.15">
      <c r="B75" s="18">
        <f t="shared" si="60"/>
        <v>0.7</v>
      </c>
      <c r="C75" s="19">
        <f t="shared" si="64"/>
        <v>389.80968021390373</v>
      </c>
      <c r="D75" s="18">
        <f t="shared" si="65"/>
        <v>4.6016501779545456</v>
      </c>
      <c r="E75" s="18">
        <f t="shared" si="66"/>
        <v>9.9733720554545435</v>
      </c>
      <c r="G75" s="20">
        <f t="shared" si="67"/>
        <v>0.79109805818181822</v>
      </c>
      <c r="H75" s="21">
        <f t="shared" si="61"/>
        <v>430</v>
      </c>
      <c r="I75" s="20">
        <f t="shared" si="68"/>
        <v>5.4054565736764708</v>
      </c>
      <c r="J75" s="20">
        <f t="shared" si="69"/>
        <v>12.25082351</v>
      </c>
      <c r="L75" s="17">
        <f t="shared" si="70"/>
        <v>0.69414631316515141</v>
      </c>
      <c r="M75" s="14">
        <f t="shared" si="71"/>
        <v>387.2271713161764</v>
      </c>
      <c r="N75" s="13">
        <f t="shared" si="62"/>
        <v>4.5499999999999989</v>
      </c>
      <c r="O75" s="13">
        <f t="shared" si="72"/>
        <v>9.8270298845833288</v>
      </c>
      <c r="Q75" s="9">
        <f t="shared" si="73"/>
        <v>0.70306511778181824</v>
      </c>
      <c r="R75" s="10">
        <f t="shared" si="74"/>
        <v>391.16193805882347</v>
      </c>
      <c r="S75" s="9">
        <f t="shared" si="75"/>
        <v>4.6286953348529414</v>
      </c>
      <c r="T75" s="9">
        <f t="shared" si="63"/>
        <v>10.050000000000001</v>
      </c>
    </row>
    <row r="76" spans="1:20" ht="14" thickBot="1" x14ac:dyDescent="0.2">
      <c r="B76" s="18">
        <f>B77-0.025</f>
        <v>0.72499999999999998</v>
      </c>
      <c r="C76" s="19">
        <f t="shared" si="64"/>
        <v>400.83909197860964</v>
      </c>
      <c r="D76" s="18">
        <f t="shared" si="65"/>
        <v>4.8222384132486624</v>
      </c>
      <c r="E76" s="18">
        <f t="shared" si="66"/>
        <v>10.598372055454544</v>
      </c>
      <c r="G76" s="20">
        <f t="shared" si="67"/>
        <v>0.81376472484848483</v>
      </c>
      <c r="H76" s="21">
        <f>H77-10</f>
        <v>440</v>
      </c>
      <c r="I76" s="20">
        <f t="shared" si="68"/>
        <v>5.605456573676471</v>
      </c>
      <c r="J76" s="20">
        <f t="shared" si="69"/>
        <v>12.817490176666666</v>
      </c>
      <c r="L76" s="17">
        <f t="shared" si="70"/>
        <v>0.71114631316515142</v>
      </c>
      <c r="M76" s="14">
        <f t="shared" si="71"/>
        <v>394.7271713161764</v>
      </c>
      <c r="N76" s="13">
        <f>N77-0.15</f>
        <v>4.6999999999999993</v>
      </c>
      <c r="O76" s="13">
        <f t="shared" si="72"/>
        <v>10.25202988458333</v>
      </c>
      <c r="Q76" s="9">
        <f t="shared" si="73"/>
        <v>0.71706511778181825</v>
      </c>
      <c r="R76" s="10">
        <f t="shared" si="74"/>
        <v>397.33840864705877</v>
      </c>
      <c r="S76" s="9">
        <f t="shared" si="75"/>
        <v>4.7522247466176477</v>
      </c>
      <c r="T76" s="9">
        <f>T77-0.35</f>
        <v>10.4</v>
      </c>
    </row>
    <row r="77" spans="1:20" ht="14" thickBot="1" x14ac:dyDescent="0.2">
      <c r="B77" s="24">
        <f>Conventional!$B$8</f>
        <v>0.75</v>
      </c>
      <c r="C77" s="19">
        <f t="shared" si="64"/>
        <v>411.8685037433155</v>
      </c>
      <c r="D77" s="18">
        <f t="shared" si="65"/>
        <v>5.0428266485427802</v>
      </c>
      <c r="E77" s="18">
        <f t="shared" si="66"/>
        <v>11.223372055454544</v>
      </c>
      <c r="G77" s="20">
        <f t="shared" si="67"/>
        <v>0.83643139151515156</v>
      </c>
      <c r="H77" s="22">
        <f>Conventional!$D$8</f>
        <v>450</v>
      </c>
      <c r="I77" s="20">
        <f t="shared" si="68"/>
        <v>5.8054565736764712</v>
      </c>
      <c r="J77" s="20">
        <f t="shared" si="69"/>
        <v>13.384156843333333</v>
      </c>
      <c r="L77" s="17">
        <f t="shared" si="70"/>
        <v>0.72814631316515144</v>
      </c>
      <c r="M77" s="14">
        <f t="shared" si="71"/>
        <v>402.2271713161764</v>
      </c>
      <c r="N77" s="15">
        <f>Conventional!$F$8</f>
        <v>4.8499999999999996</v>
      </c>
      <c r="O77" s="13">
        <f t="shared" si="72"/>
        <v>10.67702988458333</v>
      </c>
      <c r="Q77" s="9">
        <f t="shared" si="73"/>
        <v>0.73106511778181826</v>
      </c>
      <c r="R77" s="10">
        <f t="shared" si="74"/>
        <v>403.51487923529413</v>
      </c>
      <c r="S77" s="9">
        <f t="shared" si="75"/>
        <v>4.8757541583823532</v>
      </c>
      <c r="T77" s="11">
        <f>Conventional!$H$8</f>
        <v>10.75</v>
      </c>
    </row>
    <row r="78" spans="1:20" x14ac:dyDescent="0.15">
      <c r="B78" s="18">
        <f>B77+0.025</f>
        <v>0.77500000000000002</v>
      </c>
      <c r="C78" s="19">
        <f t="shared" si="64"/>
        <v>422.89791550802141</v>
      </c>
      <c r="D78" s="18">
        <f t="shared" si="65"/>
        <v>5.2634148838368979</v>
      </c>
      <c r="E78" s="18">
        <f t="shared" si="66"/>
        <v>11.848372055454544</v>
      </c>
      <c r="G78" s="20">
        <f t="shared" si="67"/>
        <v>0.85909805818181817</v>
      </c>
      <c r="H78" s="21">
        <f>H77+10</f>
        <v>460</v>
      </c>
      <c r="I78" s="20">
        <f t="shared" si="68"/>
        <v>6.0054565736764713</v>
      </c>
      <c r="J78" s="20">
        <f t="shared" si="69"/>
        <v>13.950823509999999</v>
      </c>
      <c r="L78" s="17">
        <f t="shared" si="70"/>
        <v>0.74514631316515156</v>
      </c>
      <c r="M78" s="14">
        <f t="shared" si="71"/>
        <v>409.7271713161764</v>
      </c>
      <c r="N78" s="13">
        <f>N77+0.15</f>
        <v>5</v>
      </c>
      <c r="O78" s="13">
        <f t="shared" si="72"/>
        <v>11.102029884583333</v>
      </c>
      <c r="Q78" s="9">
        <f t="shared" si="73"/>
        <v>0.74506511778181828</v>
      </c>
      <c r="R78" s="10">
        <f t="shared" si="74"/>
        <v>409.69134982352938</v>
      </c>
      <c r="S78" s="9">
        <f t="shared" si="75"/>
        <v>4.9992835701470595</v>
      </c>
      <c r="T78" s="9">
        <f>T77+0.35</f>
        <v>11.1</v>
      </c>
    </row>
    <row r="79" spans="1:20" x14ac:dyDescent="0.15">
      <c r="B79" s="18">
        <f t="shared" ref="B79:B84" si="76">B78+0.025</f>
        <v>0.8</v>
      </c>
      <c r="C79" s="19">
        <f t="shared" si="64"/>
        <v>433.92732727272727</v>
      </c>
      <c r="D79" s="18">
        <f t="shared" si="65"/>
        <v>5.4840031191310157</v>
      </c>
      <c r="E79" s="18">
        <f t="shared" si="66"/>
        <v>12.473372055454544</v>
      </c>
      <c r="G79" s="20">
        <f t="shared" si="67"/>
        <v>0.88176472484848489</v>
      </c>
      <c r="H79" s="21">
        <f t="shared" ref="H79:H84" si="77">H78+10</f>
        <v>470</v>
      </c>
      <c r="I79" s="20">
        <f t="shared" si="68"/>
        <v>6.2054565736764715</v>
      </c>
      <c r="J79" s="20">
        <f t="shared" si="69"/>
        <v>14.517490176666666</v>
      </c>
      <c r="L79" s="17">
        <f t="shared" si="70"/>
        <v>0.76214631316515169</v>
      </c>
      <c r="M79" s="14">
        <f t="shared" si="71"/>
        <v>417.22717131617651</v>
      </c>
      <c r="N79" s="13">
        <f t="shared" ref="N79:N84" si="78">N78+0.15</f>
        <v>5.15</v>
      </c>
      <c r="O79" s="13">
        <f t="shared" si="72"/>
        <v>11.527029884583333</v>
      </c>
      <c r="Q79" s="9">
        <f t="shared" si="73"/>
        <v>0.75906511778181829</v>
      </c>
      <c r="R79" s="10">
        <f t="shared" si="74"/>
        <v>415.86782041176468</v>
      </c>
      <c r="S79" s="9">
        <f t="shared" si="75"/>
        <v>5.1228129819117649</v>
      </c>
      <c r="T79" s="9">
        <f t="shared" ref="T79:T84" si="79">T78+0.35</f>
        <v>11.45</v>
      </c>
    </row>
    <row r="80" spans="1:20" x14ac:dyDescent="0.15">
      <c r="B80" s="18">
        <f t="shared" si="76"/>
        <v>0.82500000000000007</v>
      </c>
      <c r="C80" s="19">
        <f t="shared" si="64"/>
        <v>444.95673903743318</v>
      </c>
      <c r="D80" s="18">
        <f t="shared" si="65"/>
        <v>5.7045913544251334</v>
      </c>
      <c r="E80" s="18">
        <f t="shared" si="66"/>
        <v>13.098372055454544</v>
      </c>
      <c r="G80" s="20">
        <f t="shared" si="67"/>
        <v>0.90443139151515151</v>
      </c>
      <c r="H80" s="21">
        <f t="shared" si="77"/>
        <v>480</v>
      </c>
      <c r="I80" s="20">
        <f t="shared" si="68"/>
        <v>6.4054565736764717</v>
      </c>
      <c r="J80" s="20">
        <f t="shared" si="69"/>
        <v>15.084156843333334</v>
      </c>
      <c r="L80" s="17">
        <f t="shared" si="70"/>
        <v>0.7791463131651517</v>
      </c>
      <c r="M80" s="14">
        <f t="shared" si="71"/>
        <v>424.72717131617651</v>
      </c>
      <c r="N80" s="13">
        <f t="shared" si="78"/>
        <v>5.3000000000000007</v>
      </c>
      <c r="O80" s="13">
        <f t="shared" si="72"/>
        <v>11.952029884583334</v>
      </c>
      <c r="Q80" s="9">
        <f t="shared" si="73"/>
        <v>0.77306511778181808</v>
      </c>
      <c r="R80" s="10">
        <f t="shared" si="74"/>
        <v>422.04429099999999</v>
      </c>
      <c r="S80" s="9">
        <f t="shared" si="75"/>
        <v>5.2463423936764704</v>
      </c>
      <c r="T80" s="9">
        <f t="shared" si="79"/>
        <v>11.799999999999999</v>
      </c>
    </row>
    <row r="81" spans="1:20" x14ac:dyDescent="0.15">
      <c r="B81" s="18">
        <f t="shared" si="76"/>
        <v>0.85000000000000009</v>
      </c>
      <c r="C81" s="19">
        <f t="shared" si="64"/>
        <v>455.98615080213904</v>
      </c>
      <c r="D81" s="18">
        <f t="shared" si="65"/>
        <v>5.9251795897192521</v>
      </c>
      <c r="E81" s="18">
        <f t="shared" si="66"/>
        <v>13.723372055454547</v>
      </c>
      <c r="G81" s="20">
        <f t="shared" si="67"/>
        <v>0.92709805818181823</v>
      </c>
      <c r="H81" s="21">
        <f t="shared" si="77"/>
        <v>490</v>
      </c>
      <c r="I81" s="20">
        <f t="shared" si="68"/>
        <v>6.6054565736764719</v>
      </c>
      <c r="J81" s="20">
        <f t="shared" si="69"/>
        <v>15.65082351</v>
      </c>
      <c r="L81" s="17">
        <f t="shared" si="70"/>
        <v>0.79614631316515172</v>
      </c>
      <c r="M81" s="14">
        <f t="shared" si="71"/>
        <v>432.22717131617657</v>
      </c>
      <c r="N81" s="13">
        <f t="shared" si="78"/>
        <v>5.4500000000000011</v>
      </c>
      <c r="O81" s="13">
        <f t="shared" si="72"/>
        <v>12.377029884583335</v>
      </c>
      <c r="Q81" s="9">
        <f t="shared" si="73"/>
        <v>0.78706511778181809</v>
      </c>
      <c r="R81" s="10">
        <f t="shared" si="74"/>
        <v>428.22076158823523</v>
      </c>
      <c r="S81" s="9">
        <f t="shared" si="75"/>
        <v>5.3698718054411767</v>
      </c>
      <c r="T81" s="9">
        <f t="shared" si="79"/>
        <v>12.149999999999999</v>
      </c>
    </row>
    <row r="82" spans="1:20" x14ac:dyDescent="0.15">
      <c r="B82" s="18">
        <f t="shared" si="76"/>
        <v>0.87500000000000011</v>
      </c>
      <c r="C82" s="19">
        <f t="shared" si="64"/>
        <v>467.01556256684489</v>
      </c>
      <c r="D82" s="18">
        <f t="shared" si="65"/>
        <v>6.1457678250133698</v>
      </c>
      <c r="E82" s="18">
        <f t="shared" si="66"/>
        <v>14.348372055454547</v>
      </c>
      <c r="G82" s="20">
        <f t="shared" si="67"/>
        <v>0.94976472484848484</v>
      </c>
      <c r="H82" s="21">
        <f t="shared" si="77"/>
        <v>500</v>
      </c>
      <c r="I82" s="20">
        <f t="shared" si="68"/>
        <v>6.8054565736764721</v>
      </c>
      <c r="J82" s="20">
        <f t="shared" si="69"/>
        <v>16.217490176666665</v>
      </c>
      <c r="L82" s="17">
        <f t="shared" si="70"/>
        <v>0.81314631316515174</v>
      </c>
      <c r="M82" s="14">
        <f t="shared" si="71"/>
        <v>439.72717131617657</v>
      </c>
      <c r="N82" s="13">
        <f t="shared" si="78"/>
        <v>5.6000000000000014</v>
      </c>
      <c r="O82" s="13">
        <f t="shared" si="72"/>
        <v>12.802029884583336</v>
      </c>
      <c r="Q82" s="9">
        <f t="shared" si="73"/>
        <v>0.8010651177818181</v>
      </c>
      <c r="R82" s="10">
        <f t="shared" si="74"/>
        <v>434.3972321764706</v>
      </c>
      <c r="S82" s="9">
        <f t="shared" si="75"/>
        <v>5.4934012172058821</v>
      </c>
      <c r="T82" s="9">
        <f t="shared" si="79"/>
        <v>12.499999999999998</v>
      </c>
    </row>
    <row r="83" spans="1:20" x14ac:dyDescent="0.15">
      <c r="B83" s="18">
        <f t="shared" si="76"/>
        <v>0.90000000000000013</v>
      </c>
      <c r="C83" s="19">
        <f t="shared" si="64"/>
        <v>478.0449743315508</v>
      </c>
      <c r="D83" s="18">
        <f t="shared" si="65"/>
        <v>6.3663560603074876</v>
      </c>
      <c r="E83" s="18">
        <f t="shared" si="66"/>
        <v>14.973372055454547</v>
      </c>
      <c r="G83" s="20">
        <f t="shared" si="67"/>
        <v>0.97243139151515157</v>
      </c>
      <c r="H83" s="21">
        <f t="shared" si="77"/>
        <v>510</v>
      </c>
      <c r="I83" s="20">
        <f t="shared" si="68"/>
        <v>7.0054565736764713</v>
      </c>
      <c r="J83" s="20">
        <f t="shared" si="69"/>
        <v>16.784156843333331</v>
      </c>
      <c r="L83" s="17">
        <f t="shared" si="70"/>
        <v>0.83014631316515175</v>
      </c>
      <c r="M83" s="14">
        <f t="shared" si="71"/>
        <v>447.22717131617657</v>
      </c>
      <c r="N83" s="13">
        <f t="shared" si="78"/>
        <v>5.7500000000000018</v>
      </c>
      <c r="O83" s="13">
        <f t="shared" si="72"/>
        <v>13.227029884583338</v>
      </c>
      <c r="Q83" s="9">
        <f t="shared" si="73"/>
        <v>0.81506511778181812</v>
      </c>
      <c r="R83" s="10">
        <f t="shared" si="74"/>
        <v>440.57370276470584</v>
      </c>
      <c r="S83" s="9">
        <f t="shared" si="75"/>
        <v>5.6169306289705885</v>
      </c>
      <c r="T83" s="9">
        <f t="shared" si="79"/>
        <v>12.849999999999998</v>
      </c>
    </row>
    <row r="84" spans="1:20" x14ac:dyDescent="0.15">
      <c r="A84" s="46"/>
      <c r="B84" s="47">
        <f t="shared" si="76"/>
        <v>0.92500000000000016</v>
      </c>
      <c r="C84" s="48">
        <f t="shared" si="64"/>
        <v>489.07438609625672</v>
      </c>
      <c r="D84" s="47">
        <f t="shared" si="65"/>
        <v>6.5869442956016053</v>
      </c>
      <c r="E84" s="47">
        <f t="shared" si="66"/>
        <v>15.598372055454547</v>
      </c>
      <c r="F84" s="46"/>
      <c r="G84" s="49">
        <f t="shared" si="67"/>
        <v>0.99509805818181818</v>
      </c>
      <c r="H84" s="50">
        <f t="shared" si="77"/>
        <v>520</v>
      </c>
      <c r="I84" s="49">
        <f t="shared" si="68"/>
        <v>7.2054565736764715</v>
      </c>
      <c r="J84" s="49">
        <f t="shared" si="69"/>
        <v>17.350823510000001</v>
      </c>
      <c r="K84" s="46"/>
      <c r="L84" s="51">
        <f t="shared" si="70"/>
        <v>0.84714631316515165</v>
      </c>
      <c r="M84" s="52">
        <f t="shared" si="71"/>
        <v>454.72717131617657</v>
      </c>
      <c r="N84" s="53">
        <f t="shared" si="78"/>
        <v>5.9000000000000021</v>
      </c>
      <c r="O84" s="53">
        <f t="shared" si="72"/>
        <v>13.652029884583337</v>
      </c>
      <c r="P84" s="46"/>
      <c r="Q84" s="54">
        <f t="shared" si="73"/>
        <v>0.82906511778181813</v>
      </c>
      <c r="R84" s="55">
        <f t="shared" si="74"/>
        <v>446.75017335294115</v>
      </c>
      <c r="S84" s="54">
        <f t="shared" si="75"/>
        <v>5.7404600407352939</v>
      </c>
      <c r="T84" s="54">
        <f t="shared" si="79"/>
        <v>13.199999999999998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P218"/>
  <sheetViews>
    <sheetView zoomScale="180" zoomScaleNormal="180" zoomScalePageLayoutView="170" workbookViewId="0">
      <pane xSplit="1" ySplit="8" topLeftCell="B25" activePane="bottomRight" state="frozen"/>
      <selection activeCell="A3" sqref="A3"/>
      <selection pane="topRight" activeCell="A3" sqref="A3"/>
      <selection pane="bottomLeft" activeCell="A3" sqref="A3"/>
      <selection pane="bottomRight" activeCell="B11" sqref="B11:C11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2021 Relative Row Crop Costs and Net Returns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 x14ac:dyDescent="0.15">
      <c r="A2" s="316" t="str">
        <f>Conventional!A2</f>
        <v>By A.R. Smith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x14ac:dyDescent="0.2">
      <c r="A3" s="297" t="str">
        <f>Conventional!A3</f>
        <v>January 2021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103"/>
      <c r="L4" s="344" t="s">
        <v>1</v>
      </c>
      <c r="M4" s="344"/>
      <c r="N4" s="344"/>
      <c r="O4" s="344"/>
      <c r="P4" s="344"/>
      <c r="Q4" s="344"/>
      <c r="R4" s="344"/>
      <c r="S4" s="344"/>
      <c r="T4" s="344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47" t="s">
        <v>23</v>
      </c>
      <c r="K5" s="419"/>
      <c r="L5" s="107"/>
      <c r="M5" s="107"/>
      <c r="N5" s="295"/>
      <c r="O5" s="296"/>
      <c r="P5" s="259"/>
      <c r="Q5" s="248"/>
      <c r="R5" s="235"/>
      <c r="S5" s="248"/>
      <c r="T5" s="421" t="s">
        <v>23</v>
      </c>
      <c r="U5" s="422"/>
      <c r="V5" s="100"/>
    </row>
    <row r="6" spans="1:34" x14ac:dyDescent="0.2">
      <c r="A6" s="105"/>
      <c r="B6" s="343" t="s">
        <v>2</v>
      </c>
      <c r="C6" s="344"/>
      <c r="D6" s="416" t="s">
        <v>3</v>
      </c>
      <c r="E6" s="417"/>
      <c r="F6" s="360" t="s">
        <v>4</v>
      </c>
      <c r="G6" s="418"/>
      <c r="H6" s="344" t="s">
        <v>5</v>
      </c>
      <c r="I6" s="418"/>
      <c r="J6" s="344" t="s">
        <v>6</v>
      </c>
      <c r="K6" s="420"/>
      <c r="L6" s="343" t="s">
        <v>2</v>
      </c>
      <c r="M6" s="344"/>
      <c r="N6" s="416" t="s">
        <v>3</v>
      </c>
      <c r="O6" s="417"/>
      <c r="P6" s="360" t="s">
        <v>4</v>
      </c>
      <c r="Q6" s="418"/>
      <c r="R6" s="344" t="s">
        <v>5</v>
      </c>
      <c r="S6" s="418"/>
      <c r="T6" s="344" t="s">
        <v>6</v>
      </c>
      <c r="U6" s="358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0.75</v>
      </c>
      <c r="C8" s="276" t="s">
        <v>159</v>
      </c>
      <c r="D8" s="280">
        <f>'Peanut Price Calculator'!B17</f>
        <v>450</v>
      </c>
      <c r="E8" s="294" t="s">
        <v>160</v>
      </c>
      <c r="F8" s="290">
        <f>Conventional!F8</f>
        <v>4.8499999999999996</v>
      </c>
      <c r="G8" s="270" t="s">
        <v>162</v>
      </c>
      <c r="H8" s="290">
        <f>Conventional!H8</f>
        <v>10.75</v>
      </c>
      <c r="I8" s="270" t="s">
        <v>162</v>
      </c>
      <c r="J8" s="290">
        <f>Conventional!J8</f>
        <v>4.5</v>
      </c>
      <c r="K8" s="275" t="s">
        <v>162</v>
      </c>
      <c r="L8" s="274">
        <f>Conventional!B8</f>
        <v>0.75</v>
      </c>
      <c r="M8" s="276" t="s">
        <v>159</v>
      </c>
      <c r="N8" s="280">
        <f>'Peanut Price Calculator'!B28</f>
        <v>450</v>
      </c>
      <c r="O8" s="294" t="s">
        <v>160</v>
      </c>
      <c r="P8" s="273">
        <f>Conventional!F8</f>
        <v>4.8499999999999996</v>
      </c>
      <c r="Q8" s="270" t="s">
        <v>162</v>
      </c>
      <c r="R8" s="274">
        <f>Conventional!H8</f>
        <v>10.75</v>
      </c>
      <c r="S8" s="270" t="s">
        <v>162</v>
      </c>
      <c r="T8" s="274">
        <f>Conventional!J8</f>
        <v>4.5</v>
      </c>
      <c r="U8" s="272" t="s">
        <v>162</v>
      </c>
      <c r="V8" s="100"/>
    </row>
    <row r="9" spans="1:34" x14ac:dyDescent="0.2">
      <c r="A9" s="110" t="s">
        <v>155</v>
      </c>
      <c r="B9" s="363">
        <f>B7*B8</f>
        <v>900</v>
      </c>
      <c r="C9" s="364"/>
      <c r="D9" s="377">
        <f>D8*(D7/2000)</f>
        <v>1057.5</v>
      </c>
      <c r="E9" s="364"/>
      <c r="F9" s="377">
        <f>F7*F8</f>
        <v>969.99999999999989</v>
      </c>
      <c r="G9" s="412"/>
      <c r="H9" s="364">
        <f>H7*H8</f>
        <v>645</v>
      </c>
      <c r="I9" s="412"/>
      <c r="J9" s="364">
        <f>J7*J8</f>
        <v>450</v>
      </c>
      <c r="K9" s="423"/>
      <c r="L9" s="363">
        <f>L7*L8</f>
        <v>562.5</v>
      </c>
      <c r="M9" s="364"/>
      <c r="N9" s="377">
        <f>N8*(N7/2000)</f>
        <v>765</v>
      </c>
      <c r="O9" s="364"/>
      <c r="P9" s="377">
        <f>P7*P8</f>
        <v>412.24999999999994</v>
      </c>
      <c r="Q9" s="412"/>
      <c r="R9" s="364">
        <f>R7*R8</f>
        <v>322.5</v>
      </c>
      <c r="S9" s="412"/>
      <c r="T9" s="413">
        <f>T7*T8</f>
        <v>292.5</v>
      </c>
      <c r="U9" s="414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65">
        <f>(98+108)/2</f>
        <v>103</v>
      </c>
      <c r="C11" s="366"/>
      <c r="D11" s="379">
        <v>126</v>
      </c>
      <c r="E11" s="366"/>
      <c r="F11" s="379">
        <v>121.28</v>
      </c>
      <c r="G11" s="380"/>
      <c r="H11" s="378">
        <f>(56+61.5*3)/4</f>
        <v>60.125</v>
      </c>
      <c r="I11" s="378"/>
      <c r="J11" s="366">
        <f>24.3</f>
        <v>24.3</v>
      </c>
      <c r="K11" s="415"/>
      <c r="L11" s="365">
        <f>(98+108)/2</f>
        <v>103</v>
      </c>
      <c r="M11" s="366"/>
      <c r="N11" s="379">
        <v>126</v>
      </c>
      <c r="O11" s="366"/>
      <c r="P11" s="379">
        <v>75.8</v>
      </c>
      <c r="Q11" s="380"/>
      <c r="R11" s="378">
        <f>(56+61.5*3)/4</f>
        <v>60.125</v>
      </c>
      <c r="S11" s="378"/>
      <c r="T11" s="366">
        <v>14.85</v>
      </c>
      <c r="U11" s="384"/>
      <c r="V11" s="100"/>
    </row>
    <row r="12" spans="1:34" x14ac:dyDescent="0.2">
      <c r="A12" s="105" t="s">
        <v>30</v>
      </c>
      <c r="B12" s="354"/>
      <c r="C12" s="352"/>
      <c r="D12" s="373"/>
      <c r="E12" s="352"/>
      <c r="F12" s="373"/>
      <c r="G12" s="374"/>
      <c r="H12" s="352"/>
      <c r="I12" s="374"/>
      <c r="J12" s="352"/>
      <c r="K12" s="411"/>
      <c r="L12" s="354"/>
      <c r="M12" s="352"/>
      <c r="N12" s="373"/>
      <c r="O12" s="352"/>
      <c r="P12" s="373"/>
      <c r="Q12" s="374"/>
      <c r="R12" s="352"/>
      <c r="S12" s="374"/>
      <c r="T12" s="352"/>
      <c r="U12" s="375"/>
      <c r="V12" s="100"/>
    </row>
    <row r="13" spans="1:34" x14ac:dyDescent="0.2">
      <c r="A13" s="105" t="s">
        <v>8</v>
      </c>
      <c r="B13" s="354">
        <f>B7/495*0.75</f>
        <v>1.8181818181818183</v>
      </c>
      <c r="C13" s="352"/>
      <c r="D13" s="251"/>
      <c r="E13" s="116"/>
      <c r="F13" s="251"/>
      <c r="G13" s="252"/>
      <c r="H13" s="116"/>
      <c r="I13" s="252"/>
      <c r="J13" s="116"/>
      <c r="K13" s="117"/>
      <c r="L13" s="354">
        <f>L7/495*0.75</f>
        <v>1.1363636363636362</v>
      </c>
      <c r="M13" s="352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54">
        <f>15.84+6+B7*0.075*$D$48+0.0583*B7*$F$48+0.0583*B7*$H$48</f>
        <v>109.9128</v>
      </c>
      <c r="C14" s="374"/>
      <c r="D14" s="349">
        <f>9.25+55+3</f>
        <v>67.25</v>
      </c>
      <c r="E14" s="349"/>
      <c r="F14" s="373">
        <f>24+1.2*F7*$D$48+0.5*F7*$F$48+F7*$H$48</f>
        <v>230</v>
      </c>
      <c r="G14" s="374"/>
      <c r="H14" s="352">
        <f>6.5+15.84+0.6667*H7*$F$48+1.333*H7*$H$48+1.6</f>
        <v>63.13476</v>
      </c>
      <c r="I14" s="374"/>
      <c r="J14" s="352">
        <f>24+1.25*J7*$D$48+0.6*J7*$F$48+0.9*J7*$H$48</f>
        <v>130.05000000000001</v>
      </c>
      <c r="K14" s="411"/>
      <c r="L14" s="354">
        <f>15.84+6+0.08*L7*$D$48+0.0667*L7*$F$48+0.0667*L7*$H$48</f>
        <v>82.856999999999999</v>
      </c>
      <c r="M14" s="352"/>
      <c r="N14" s="349">
        <f>9.25+55+3</f>
        <v>67.25</v>
      </c>
      <c r="O14" s="349"/>
      <c r="P14" s="373">
        <f>12+P7*1.1765*$D$48+0.4706*P7*$F$48+0.7059*P7*$H$48</f>
        <v>90.201955000000012</v>
      </c>
      <c r="Q14" s="374"/>
      <c r="R14" s="352">
        <f>6.5+15.84+1.3333*R7*$F$48+2.6667*R7*$H$48+1.6</f>
        <v>63.139919999999996</v>
      </c>
      <c r="S14" s="374"/>
      <c r="T14" s="352">
        <f>12+1.2308*T7*$D$48+0.6154*T7*$F$48+0.9231*T7*$H$48</f>
        <v>81.201729999999998</v>
      </c>
      <c r="U14" s="375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54">
        <f>(77.21+72.26)/2+20.75+1.33+14.26</f>
        <v>111.075</v>
      </c>
      <c r="C16" s="352"/>
      <c r="D16" s="373">
        <f>52.16+54.2+92.22</f>
        <v>198.57999999999998</v>
      </c>
      <c r="E16" s="352"/>
      <c r="F16" s="373">
        <f>20+9.5+19.45</f>
        <v>48.95</v>
      </c>
      <c r="G16" s="374"/>
      <c r="H16" s="352">
        <f>36.24+4.55+24</f>
        <v>64.789999999999992</v>
      </c>
      <c r="I16" s="374"/>
      <c r="J16" s="352">
        <f>16.7+11.45</f>
        <v>28.15</v>
      </c>
      <c r="K16" s="411"/>
      <c r="L16" s="354">
        <f>(67.21+52.26)/2+20.75+1.33+14.26</f>
        <v>96.075000000000003</v>
      </c>
      <c r="M16" s="352"/>
      <c r="N16" s="373">
        <f>59.9+54.2+54.02</f>
        <v>168.12</v>
      </c>
      <c r="O16" s="352"/>
      <c r="P16" s="373">
        <f>15.6+9.5+19.45</f>
        <v>44.55</v>
      </c>
      <c r="Q16" s="374"/>
      <c r="R16" s="352">
        <f>30.74+4.55</f>
        <v>35.29</v>
      </c>
      <c r="S16" s="374"/>
      <c r="T16" s="352">
        <f>16.7+11.45</f>
        <v>28.15</v>
      </c>
      <c r="U16" s="375"/>
      <c r="V16" s="100"/>
    </row>
    <row r="17" spans="1:42" x14ac:dyDescent="0.2">
      <c r="A17" s="105" t="s">
        <v>172</v>
      </c>
      <c r="B17" s="354"/>
      <c r="C17" s="352"/>
      <c r="D17" s="251"/>
      <c r="E17" s="116"/>
      <c r="F17" s="251"/>
      <c r="G17" s="252"/>
      <c r="H17" s="116"/>
      <c r="I17" s="252"/>
      <c r="J17" s="116"/>
      <c r="K17" s="117"/>
      <c r="L17" s="354"/>
      <c r="M17" s="352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 x14ac:dyDescent="0.2">
      <c r="A18" s="105" t="s">
        <v>174</v>
      </c>
      <c r="B18" s="354">
        <f>Conventional!B17</f>
        <v>15</v>
      </c>
      <c r="C18" s="352"/>
      <c r="D18" s="373">
        <f>Conventional!D17</f>
        <v>15</v>
      </c>
      <c r="E18" s="374"/>
      <c r="F18" s="251"/>
      <c r="G18" s="252"/>
      <c r="H18" s="116"/>
      <c r="I18" s="252"/>
      <c r="J18" s="116"/>
      <c r="K18" s="117"/>
      <c r="L18" s="354">
        <f>Conventional!L17</f>
        <v>15</v>
      </c>
      <c r="M18" s="352"/>
      <c r="N18" s="373">
        <f>Conventional!N17</f>
        <v>15</v>
      </c>
      <c r="O18" s="374"/>
      <c r="P18" s="251"/>
      <c r="Q18" s="252"/>
      <c r="R18" s="116"/>
      <c r="S18" s="252"/>
      <c r="T18" s="116"/>
      <c r="U18" s="118"/>
      <c r="V18" s="100"/>
    </row>
    <row r="19" spans="1:42" x14ac:dyDescent="0.2">
      <c r="A19" s="105" t="s">
        <v>10</v>
      </c>
      <c r="B19" s="354">
        <f>Conventional!B18</f>
        <v>10</v>
      </c>
      <c r="C19" s="352"/>
      <c r="D19" s="373">
        <f>Conventional!D18</f>
        <v>10</v>
      </c>
      <c r="E19" s="374"/>
      <c r="F19" s="251"/>
      <c r="G19" s="252"/>
      <c r="H19" s="116"/>
      <c r="I19" s="252"/>
      <c r="J19" s="116"/>
      <c r="K19" s="117"/>
      <c r="L19" s="354">
        <f>Conventional!L18</f>
        <v>10</v>
      </c>
      <c r="M19" s="352"/>
      <c r="N19" s="373">
        <f>Conventional!N18</f>
        <v>10</v>
      </c>
      <c r="O19" s="374"/>
      <c r="P19" s="251"/>
      <c r="Q19" s="252"/>
      <c r="R19" s="116"/>
      <c r="S19" s="252"/>
      <c r="T19" s="116"/>
      <c r="U19" s="118"/>
      <c r="V19" s="100"/>
    </row>
    <row r="20" spans="1:42" x14ac:dyDescent="0.2">
      <c r="A20" s="105" t="s">
        <v>32</v>
      </c>
      <c r="B20" s="354">
        <f>(4.5+6.4)*$B$50</f>
        <v>21.8</v>
      </c>
      <c r="C20" s="352"/>
      <c r="D20" s="373">
        <f>(5.2+7.9)*$B$50</f>
        <v>26.200000000000003</v>
      </c>
      <c r="E20" s="352"/>
      <c r="F20" s="373">
        <f>6.1*$B$50</f>
        <v>12.2</v>
      </c>
      <c r="G20" s="374"/>
      <c r="H20" s="352">
        <f>5.5*$B$50</f>
        <v>11</v>
      </c>
      <c r="I20" s="374"/>
      <c r="J20" s="352">
        <f>6.3*$B$50</f>
        <v>12.6</v>
      </c>
      <c r="K20" s="411"/>
      <c r="L20" s="354">
        <f>(4.5+6.4)*$B$50</f>
        <v>21.8</v>
      </c>
      <c r="M20" s="352"/>
      <c r="N20" s="373">
        <f>(5.2+7.9)*$B$50</f>
        <v>26.200000000000003</v>
      </c>
      <c r="O20" s="352"/>
      <c r="P20" s="373">
        <f>6.1*$B$50</f>
        <v>12.2</v>
      </c>
      <c r="Q20" s="374"/>
      <c r="R20" s="352">
        <f>5.5*$B$50</f>
        <v>11</v>
      </c>
      <c r="S20" s="374"/>
      <c r="T20" s="352">
        <f>6.3*$B$50</f>
        <v>12.6</v>
      </c>
      <c r="U20" s="375"/>
      <c r="V20" s="100"/>
    </row>
    <row r="21" spans="1:42" x14ac:dyDescent="0.2">
      <c r="A21" s="105" t="s">
        <v>11</v>
      </c>
      <c r="B21" s="354">
        <f>(12.39+23.48+12.39+27.45)/2</f>
        <v>37.855000000000004</v>
      </c>
      <c r="C21" s="352"/>
      <c r="D21" s="373">
        <f>12.71+32.04</f>
        <v>44.75</v>
      </c>
      <c r="E21" s="374"/>
      <c r="F21" s="373">
        <f>9.66+9.08</f>
        <v>18.740000000000002</v>
      </c>
      <c r="G21" s="374"/>
      <c r="H21" s="373">
        <f>7.88+8.22</f>
        <v>16.100000000000001</v>
      </c>
      <c r="I21" s="374"/>
      <c r="J21" s="373">
        <f>10.07+7.83</f>
        <v>17.899999999999999</v>
      </c>
      <c r="K21" s="375"/>
      <c r="L21" s="354">
        <f>(12.39+23.48+12.39+27.45)/2</f>
        <v>37.855000000000004</v>
      </c>
      <c r="M21" s="352"/>
      <c r="N21" s="373">
        <f>12.71+32.04</f>
        <v>44.75</v>
      </c>
      <c r="O21" s="374"/>
      <c r="P21" s="373">
        <f>9.66+9.08</f>
        <v>18.740000000000002</v>
      </c>
      <c r="Q21" s="374"/>
      <c r="R21" s="373">
        <f>7.82+7.63</f>
        <v>15.45</v>
      </c>
      <c r="S21" s="374"/>
      <c r="T21" s="373">
        <f>10.07+7.83</f>
        <v>17.899999999999999</v>
      </c>
      <c r="U21" s="375"/>
      <c r="V21" s="100"/>
      <c r="AJ21" s="100"/>
      <c r="AK21" s="100"/>
      <c r="AL21" s="100"/>
      <c r="AM21" s="100"/>
      <c r="AN21" s="100"/>
      <c r="AO21" s="100"/>
      <c r="AP21" s="100"/>
    </row>
    <row r="22" spans="1:42" x14ac:dyDescent="0.2">
      <c r="A22" s="105" t="s">
        <v>33</v>
      </c>
      <c r="B22" s="354">
        <f>((7*7)*0.67+(4.8*$B$50*7)*0.33)</f>
        <v>55.006000000000007</v>
      </c>
      <c r="C22" s="374"/>
      <c r="D22" s="373">
        <f>((7*5)*0.67+(4.8*$B$50*5)*0.33)</f>
        <v>39.290000000000006</v>
      </c>
      <c r="E22" s="374"/>
      <c r="F22" s="373">
        <f>((7*7)*0.67+(4.8*$B$50*7)*0.33)</f>
        <v>55.006000000000007</v>
      </c>
      <c r="G22" s="374"/>
      <c r="H22" s="373">
        <f>((7*4)*0.67+(4.8*$B$50*4)*0.33)</f>
        <v>31.432000000000002</v>
      </c>
      <c r="I22" s="374"/>
      <c r="J22" s="352">
        <f>((7*3)*0.67+(4.8*$B$50*3)*0.33)</f>
        <v>23.573999999999998</v>
      </c>
      <c r="K22" s="411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 x14ac:dyDescent="0.2">
      <c r="A23" s="105" t="s">
        <v>13</v>
      </c>
      <c r="B23" s="354">
        <f>(14.02+18.57)/2</f>
        <v>16.295000000000002</v>
      </c>
      <c r="C23" s="352"/>
      <c r="D23" s="373">
        <v>27.51</v>
      </c>
      <c r="E23" s="352"/>
      <c r="F23" s="373">
        <v>11.66</v>
      </c>
      <c r="G23" s="374"/>
      <c r="H23" s="352">
        <v>10.09</v>
      </c>
      <c r="I23" s="374"/>
      <c r="J23" s="352">
        <v>12.13</v>
      </c>
      <c r="K23" s="375"/>
      <c r="L23" s="354">
        <f>(14.02+18.57)/2</f>
        <v>16.295000000000002</v>
      </c>
      <c r="M23" s="352"/>
      <c r="N23" s="373">
        <v>27.51</v>
      </c>
      <c r="O23" s="352"/>
      <c r="P23" s="373">
        <v>11.66</v>
      </c>
      <c r="Q23" s="374"/>
      <c r="R23" s="352">
        <v>10.09</v>
      </c>
      <c r="S23" s="374"/>
      <c r="T23" s="352">
        <v>12.13</v>
      </c>
      <c r="U23" s="375"/>
      <c r="V23" s="100"/>
    </row>
    <row r="24" spans="1:42" x14ac:dyDescent="0.2">
      <c r="A24" s="105" t="s">
        <v>14</v>
      </c>
      <c r="B24" s="352">
        <f>Conventional!B23</f>
        <v>10</v>
      </c>
      <c r="C24" s="374"/>
      <c r="D24" s="352">
        <f>Conventional!D23</f>
        <v>18</v>
      </c>
      <c r="E24" s="374"/>
      <c r="F24" s="352">
        <f>Conventional!F23</f>
        <v>15</v>
      </c>
      <c r="G24" s="374"/>
      <c r="H24" s="352">
        <f>Conventional!H23</f>
        <v>10</v>
      </c>
      <c r="I24" s="374"/>
      <c r="J24" s="352">
        <f>Conventional!J23</f>
        <v>18.5</v>
      </c>
      <c r="K24" s="411"/>
      <c r="L24" s="116">
        <f>Conventional!L23</f>
        <v>18</v>
      </c>
      <c r="M24" s="252"/>
      <c r="N24" s="352">
        <f>Conventional!N23</f>
        <v>25</v>
      </c>
      <c r="O24" s="374"/>
      <c r="P24" s="352">
        <f>Conventional!P23</f>
        <v>22</v>
      </c>
      <c r="Q24" s="374"/>
      <c r="R24" s="352">
        <f>Conventional!R23</f>
        <v>16</v>
      </c>
      <c r="S24" s="374"/>
      <c r="T24" s="352">
        <f>Conventional!T23</f>
        <v>16.5</v>
      </c>
      <c r="U24" s="375"/>
      <c r="V24" s="100"/>
    </row>
    <row r="25" spans="1:42" x14ac:dyDescent="0.2">
      <c r="A25" s="105" t="s">
        <v>126</v>
      </c>
      <c r="B25" s="354"/>
      <c r="C25" s="374"/>
      <c r="D25" s="373"/>
      <c r="E25" s="374"/>
      <c r="F25" s="373"/>
      <c r="G25" s="374"/>
      <c r="H25" s="373"/>
      <c r="I25" s="374"/>
      <c r="J25" s="373"/>
      <c r="K25" s="411"/>
      <c r="L25" s="354"/>
      <c r="M25" s="374"/>
      <c r="N25" s="373"/>
      <c r="O25" s="374"/>
      <c r="P25" s="373"/>
      <c r="Q25" s="374"/>
      <c r="R25" s="373"/>
      <c r="S25" s="374"/>
      <c r="T25" s="373"/>
      <c r="U25" s="375"/>
      <c r="V25" s="100"/>
    </row>
    <row r="26" spans="1:42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 x14ac:dyDescent="0.2">
      <c r="A27" s="105" t="s">
        <v>17</v>
      </c>
      <c r="B27" s="367">
        <f>(SUM(B11:B26))*0.5*0.055</f>
        <v>13.523454500000001</v>
      </c>
      <c r="C27" s="340"/>
      <c r="D27" s="437">
        <f>(SUM(D11:D26))*0.5*0.055</f>
        <v>15.745949999999999</v>
      </c>
      <c r="E27" s="340"/>
      <c r="F27" s="437">
        <f>(SUM(F11:F26))*0.5*0.055</f>
        <v>14.10299</v>
      </c>
      <c r="G27" s="438"/>
      <c r="H27" s="340">
        <f>(SUM(H11:H26))*0.5*0.055</f>
        <v>7.333473399999999</v>
      </c>
      <c r="I27" s="438"/>
      <c r="J27" s="340">
        <f>(SUM(J11:J26))*0.5*0.055</f>
        <v>7.3481100000000001</v>
      </c>
      <c r="K27" s="440"/>
      <c r="L27" s="367">
        <f>(SUM(L11:L26))*0.5*0.055</f>
        <v>11.055505000000002</v>
      </c>
      <c r="M27" s="340"/>
      <c r="N27" s="437">
        <f>(SUM(N11:N26))*0.5*0.055</f>
        <v>14.020325</v>
      </c>
      <c r="O27" s="340"/>
      <c r="P27" s="437">
        <f>(SUM(P11:P26))*0.5*0.055</f>
        <v>7.5666787625000014</v>
      </c>
      <c r="Q27" s="438"/>
      <c r="R27" s="340">
        <f>(SUM(R11:R26))*0.5*0.055</f>
        <v>5.8051102999999991</v>
      </c>
      <c r="S27" s="438"/>
      <c r="T27" s="340">
        <f>(SUM(T11:T26))*0.5*0.055</f>
        <v>5.0416225749999999</v>
      </c>
      <c r="U27" s="386"/>
      <c r="V27" s="100"/>
    </row>
    <row r="28" spans="1:42" x14ac:dyDescent="0.2">
      <c r="A28" s="105" t="s">
        <v>171</v>
      </c>
      <c r="B28" s="367">
        <f>0.0395*B7</f>
        <v>47.4</v>
      </c>
      <c r="C28" s="340"/>
      <c r="D28" s="253"/>
      <c r="E28" s="120"/>
      <c r="F28" s="253"/>
      <c r="G28" s="254"/>
      <c r="H28" s="120"/>
      <c r="I28" s="254"/>
      <c r="J28" s="120"/>
      <c r="K28" s="121"/>
      <c r="L28" s="367">
        <f>0.0395*L7</f>
        <v>29.625</v>
      </c>
      <c r="M28" s="340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 x14ac:dyDescent="0.2">
      <c r="A29" s="105" t="s">
        <v>15</v>
      </c>
      <c r="B29" s="123"/>
      <c r="C29" s="120"/>
      <c r="D29" s="437">
        <f>D7/2000*0.33*20+D7/2000*0.67*30</f>
        <v>62.745000000000005</v>
      </c>
      <c r="E29" s="340"/>
      <c r="F29" s="437">
        <f>F7*1.0975*0.28</f>
        <v>61.46</v>
      </c>
      <c r="G29" s="438"/>
      <c r="H29" s="120"/>
      <c r="I29" s="254"/>
      <c r="J29" s="340">
        <f>J7*1.0975*0.28</f>
        <v>30.73</v>
      </c>
      <c r="K29" s="440"/>
      <c r="L29" s="120"/>
      <c r="M29" s="120"/>
      <c r="N29" s="437">
        <f>N7/2000*0.33*20+N7/2000*0.67*30</f>
        <v>45.39</v>
      </c>
      <c r="O29" s="340"/>
      <c r="P29" s="437">
        <f>P7*1.0975*0.28</f>
        <v>26.1205</v>
      </c>
      <c r="Q29" s="438"/>
      <c r="R29" s="120"/>
      <c r="S29" s="254"/>
      <c r="T29" s="340">
        <f>T7*1.0975*0.28</f>
        <v>19.974499999999999</v>
      </c>
      <c r="U29" s="386"/>
      <c r="V29" s="100"/>
    </row>
    <row r="30" spans="1:42" x14ac:dyDescent="0.2">
      <c r="A30" s="105" t="s">
        <v>18</v>
      </c>
      <c r="B30" s="123"/>
      <c r="C30" s="120"/>
      <c r="D30" s="430">
        <f>D7/2000*3+D7/2000*355*0.01</f>
        <v>15.3925</v>
      </c>
      <c r="E30" s="362"/>
      <c r="F30" s="253"/>
      <c r="G30" s="254"/>
      <c r="H30" s="120"/>
      <c r="I30" s="254"/>
      <c r="J30" s="120"/>
      <c r="K30" s="121"/>
      <c r="L30" s="120"/>
      <c r="M30" s="120"/>
      <c r="N30" s="430">
        <f>N7/2000*3+N7/2000*355*0.01</f>
        <v>11.135</v>
      </c>
      <c r="O30" s="362"/>
      <c r="P30" s="253"/>
      <c r="Q30" s="254"/>
      <c r="R30" s="120"/>
      <c r="S30" s="254"/>
      <c r="T30" s="120"/>
      <c r="U30" s="124"/>
      <c r="V30" s="100"/>
    </row>
    <row r="31" spans="1:42" ht="15" thickBot="1" x14ac:dyDescent="0.25">
      <c r="A31" s="125" t="s">
        <v>157</v>
      </c>
      <c r="B31" s="368">
        <f t="shared" ref="B31:T31" si="0">SUM(B11:B30)</f>
        <v>552.68543631818193</v>
      </c>
      <c r="C31" s="350"/>
      <c r="D31" s="426">
        <f t="shared" si="0"/>
        <v>666.46344999999997</v>
      </c>
      <c r="E31" s="350"/>
      <c r="F31" s="426">
        <f t="shared" si="0"/>
        <v>588.39899000000003</v>
      </c>
      <c r="G31" s="424"/>
      <c r="H31" s="350">
        <f t="shared" si="0"/>
        <v>274.00523339999995</v>
      </c>
      <c r="I31" s="424"/>
      <c r="J31" s="350">
        <f t="shared" si="0"/>
        <v>305.28211000000005</v>
      </c>
      <c r="K31" s="435"/>
      <c r="L31" s="368">
        <f t="shared" si="0"/>
        <v>442.69886863636367</v>
      </c>
      <c r="M31" s="350"/>
      <c r="N31" s="426">
        <f t="shared" si="0"/>
        <v>580.37532499999998</v>
      </c>
      <c r="O31" s="350"/>
      <c r="P31" s="426">
        <f t="shared" si="0"/>
        <v>308.83913376250001</v>
      </c>
      <c r="Q31" s="424"/>
      <c r="R31" s="350">
        <f t="shared" si="0"/>
        <v>216.90003029999997</v>
      </c>
      <c r="S31" s="424"/>
      <c r="T31" s="350">
        <f t="shared" si="0"/>
        <v>208.34785257499999</v>
      </c>
      <c r="U31" s="387"/>
      <c r="V31" s="100"/>
    </row>
    <row r="32" spans="1:42" x14ac:dyDescent="0.2">
      <c r="A32" s="126" t="s">
        <v>163</v>
      </c>
      <c r="B32" s="371">
        <f t="shared" ref="B32:T32" si="1">B9-B31</f>
        <v>347.31456368181807</v>
      </c>
      <c r="C32" s="372"/>
      <c r="D32" s="439">
        <f t="shared" si="1"/>
        <v>391.03655000000003</v>
      </c>
      <c r="E32" s="372"/>
      <c r="F32" s="439">
        <f t="shared" si="1"/>
        <v>381.60100999999986</v>
      </c>
      <c r="G32" s="436"/>
      <c r="H32" s="372">
        <f t="shared" si="1"/>
        <v>370.99476660000005</v>
      </c>
      <c r="I32" s="436"/>
      <c r="J32" s="372">
        <f t="shared" si="1"/>
        <v>144.71788999999995</v>
      </c>
      <c r="K32" s="434"/>
      <c r="L32" s="371">
        <f t="shared" si="1"/>
        <v>119.80113136363633</v>
      </c>
      <c r="M32" s="372"/>
      <c r="N32" s="439">
        <f t="shared" si="1"/>
        <v>184.62467500000002</v>
      </c>
      <c r="O32" s="372"/>
      <c r="P32" s="439">
        <f t="shared" si="1"/>
        <v>103.41086623749993</v>
      </c>
      <c r="Q32" s="436"/>
      <c r="R32" s="372">
        <f t="shared" si="1"/>
        <v>105.59996970000003</v>
      </c>
      <c r="S32" s="436"/>
      <c r="T32" s="372">
        <f t="shared" si="1"/>
        <v>84.15214742500001</v>
      </c>
      <c r="U32" s="388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0.46057119693181825</v>
      </c>
      <c r="C33" s="129" t="s">
        <v>159</v>
      </c>
      <c r="D33" s="239">
        <f>D31/D7*2000</f>
        <v>283.60146808510638</v>
      </c>
      <c r="E33" s="129" t="s">
        <v>160</v>
      </c>
      <c r="F33" s="240">
        <f>F31/F7</f>
        <v>2.9419949500000002</v>
      </c>
      <c r="G33" s="238" t="s">
        <v>162</v>
      </c>
      <c r="H33" s="130">
        <f>H31/H7</f>
        <v>4.5667538899999993</v>
      </c>
      <c r="I33" s="238" t="s">
        <v>162</v>
      </c>
      <c r="J33" s="130">
        <f>J31/J7</f>
        <v>3.0528211000000005</v>
      </c>
      <c r="K33" s="131" t="s">
        <v>162</v>
      </c>
      <c r="L33" s="130">
        <f>L31/L7</f>
        <v>0.59026515818181824</v>
      </c>
      <c r="M33" s="129" t="s">
        <v>159</v>
      </c>
      <c r="N33" s="260">
        <f>N31/N7*2000</f>
        <v>341.39724999999999</v>
      </c>
      <c r="O33" s="129" t="s">
        <v>160</v>
      </c>
      <c r="P33" s="240">
        <f>P31/P7</f>
        <v>3.6334015736764709</v>
      </c>
      <c r="Q33" s="238" t="s">
        <v>162</v>
      </c>
      <c r="R33" s="130">
        <f>R31/R7</f>
        <v>7.2300010099999987</v>
      </c>
      <c r="S33" s="238" t="s">
        <v>162</v>
      </c>
      <c r="T33" s="130">
        <f>T31/T7</f>
        <v>3.2053515780769231</v>
      </c>
      <c r="U33" s="132" t="s">
        <v>162</v>
      </c>
      <c r="V33" s="100"/>
    </row>
    <row r="34" spans="1:34" x14ac:dyDescent="0.2">
      <c r="A34" s="322" t="str">
        <f>Conventional!A33</f>
        <v>BREAKEVEN YIELD per ACRE (Variable Cost)</v>
      </c>
      <c r="B34" s="328">
        <f>B31/B8</f>
        <v>736.9139150909092</v>
      </c>
      <c r="C34" s="329" t="s">
        <v>158</v>
      </c>
      <c r="D34" s="330">
        <f>D31/D8*2000</f>
        <v>2962.0597777777775</v>
      </c>
      <c r="E34" s="329" t="s">
        <v>158</v>
      </c>
      <c r="F34" s="330">
        <f>F31/F8</f>
        <v>121.31937938144331</v>
      </c>
      <c r="G34" s="331" t="s">
        <v>161</v>
      </c>
      <c r="H34" s="330">
        <f>H31/H8</f>
        <v>25.488858920930227</v>
      </c>
      <c r="I34" s="331" t="s">
        <v>161</v>
      </c>
      <c r="J34" s="330">
        <f>J31/J8</f>
        <v>67.840468888888893</v>
      </c>
      <c r="K34" s="332" t="s">
        <v>161</v>
      </c>
      <c r="L34" s="328">
        <f>L31/L8</f>
        <v>590.26515818181826</v>
      </c>
      <c r="M34" s="329" t="s">
        <v>158</v>
      </c>
      <c r="N34" s="330">
        <f>N31/N8*2000</f>
        <v>2579.4458888888889</v>
      </c>
      <c r="O34" s="329" t="s">
        <v>158</v>
      </c>
      <c r="P34" s="330">
        <f>P31/P8</f>
        <v>63.678171909793825</v>
      </c>
      <c r="Q34" s="331" t="s">
        <v>161</v>
      </c>
      <c r="R34" s="330">
        <f>R31/R8</f>
        <v>20.176747004651158</v>
      </c>
      <c r="S34" s="331" t="s">
        <v>161</v>
      </c>
      <c r="T34" s="330">
        <f>T31/T8</f>
        <v>46.299522794444442</v>
      </c>
      <c r="U34" s="333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54">
        <f>(42.7+93.25+42.7+130.14)/2</f>
        <v>154.39499999999998</v>
      </c>
      <c r="C36" s="352"/>
      <c r="D36" s="373">
        <f>34.24+97.79</f>
        <v>132.03</v>
      </c>
      <c r="E36" s="352"/>
      <c r="F36" s="373">
        <f>25.97+44.86</f>
        <v>70.83</v>
      </c>
      <c r="G36" s="374"/>
      <c r="H36" s="352">
        <f>22.33+40.95</f>
        <v>63.28</v>
      </c>
      <c r="I36" s="374"/>
      <c r="J36" s="352">
        <f>26.92+41.2</f>
        <v>68.12</v>
      </c>
      <c r="K36" s="375"/>
      <c r="L36" s="354">
        <f>(42.7+93.25+42.7+130.14)/2</f>
        <v>154.39499999999998</v>
      </c>
      <c r="M36" s="352"/>
      <c r="N36" s="373">
        <f>34.24+97.79</f>
        <v>132.03</v>
      </c>
      <c r="O36" s="352"/>
      <c r="P36" s="373">
        <f>25.97+44.86</f>
        <v>70.83</v>
      </c>
      <c r="Q36" s="374"/>
      <c r="R36" s="352">
        <f>22.33+40.95</f>
        <v>63.28</v>
      </c>
      <c r="S36" s="374"/>
      <c r="T36" s="352">
        <f>26.92+41.2</f>
        <v>68.12</v>
      </c>
      <c r="U36" s="375"/>
      <c r="V36" s="100"/>
    </row>
    <row r="37" spans="1:34" x14ac:dyDescent="0.2">
      <c r="A37" s="105" t="s">
        <v>12</v>
      </c>
      <c r="B37" s="354">
        <f>Conventional!B36</f>
        <v>130</v>
      </c>
      <c r="C37" s="352"/>
      <c r="D37" s="373">
        <f>Conventional!D36</f>
        <v>130</v>
      </c>
      <c r="E37" s="352"/>
      <c r="F37" s="373">
        <f>Conventional!F36</f>
        <v>130</v>
      </c>
      <c r="G37" s="374"/>
      <c r="H37" s="352">
        <f>Conventional!H36</f>
        <v>130</v>
      </c>
      <c r="I37" s="374"/>
      <c r="J37" s="352">
        <f>Conventional!J36</f>
        <v>130</v>
      </c>
      <c r="K37" s="411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61">
        <f>0.05*B31</f>
        <v>27.634271815909099</v>
      </c>
      <c r="C39" s="362"/>
      <c r="D39" s="430">
        <f>0.05*D31</f>
        <v>33.323172499999998</v>
      </c>
      <c r="E39" s="362"/>
      <c r="F39" s="430">
        <f>0.05*F31</f>
        <v>29.419949500000001</v>
      </c>
      <c r="G39" s="428"/>
      <c r="H39" s="362">
        <f>0.05*H31</f>
        <v>13.700261669999998</v>
      </c>
      <c r="I39" s="428"/>
      <c r="J39" s="362">
        <f>0.05*J31</f>
        <v>15.264105500000003</v>
      </c>
      <c r="K39" s="432"/>
      <c r="L39" s="361">
        <f>0.05*L31</f>
        <v>22.134943431818186</v>
      </c>
      <c r="M39" s="362"/>
      <c r="N39" s="430">
        <f>0.05*N31</f>
        <v>29.018766249999999</v>
      </c>
      <c r="O39" s="362"/>
      <c r="P39" s="430">
        <f>0.05*P31</f>
        <v>15.441956688125002</v>
      </c>
      <c r="Q39" s="428"/>
      <c r="R39" s="362">
        <f>0.05*R31</f>
        <v>10.845001515</v>
      </c>
      <c r="S39" s="428"/>
      <c r="T39" s="362">
        <f>0.05*T31</f>
        <v>10.417392628750001</v>
      </c>
      <c r="U39" s="389"/>
      <c r="V39" s="100"/>
    </row>
    <row r="40" spans="1:34" x14ac:dyDescent="0.2">
      <c r="A40" s="133" t="s">
        <v>165</v>
      </c>
      <c r="B40" s="401">
        <f>SUM(B36:B39)</f>
        <v>312.02927181590906</v>
      </c>
      <c r="C40" s="400"/>
      <c r="D40" s="431">
        <f>SUM(D36:D39)</f>
        <v>295.35317249999997</v>
      </c>
      <c r="E40" s="400"/>
      <c r="F40" s="431">
        <f>SUM(F36:F39)</f>
        <v>230.24994949999999</v>
      </c>
      <c r="G40" s="429"/>
      <c r="H40" s="400">
        <f>SUM(H36:H39)</f>
        <v>206.98026167</v>
      </c>
      <c r="I40" s="429"/>
      <c r="J40" s="400">
        <f>SUM(J36:J39)</f>
        <v>213.3841055</v>
      </c>
      <c r="K40" s="433"/>
      <c r="L40" s="401">
        <f>SUM(L36:L39)</f>
        <v>176.52994343181817</v>
      </c>
      <c r="M40" s="400"/>
      <c r="N40" s="431">
        <f>SUM(N36:N39)</f>
        <v>161.04876625</v>
      </c>
      <c r="O40" s="400"/>
      <c r="P40" s="431">
        <f>SUM(P36:P39)</f>
        <v>86.271956688125002</v>
      </c>
      <c r="Q40" s="429"/>
      <c r="R40" s="400">
        <f>SUM(R36:R39)</f>
        <v>74.125001515000008</v>
      </c>
      <c r="S40" s="429"/>
      <c r="T40" s="400">
        <f>SUM(T36:T39)</f>
        <v>78.537392628750013</v>
      </c>
      <c r="U40" s="403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8">
        <f>B40+B31</f>
        <v>864.71470813409098</v>
      </c>
      <c r="C42" s="350"/>
      <c r="D42" s="426">
        <f>D40+D31</f>
        <v>961.81662249999999</v>
      </c>
      <c r="E42" s="350"/>
      <c r="F42" s="426">
        <f>F40+F31</f>
        <v>818.64893949999998</v>
      </c>
      <c r="G42" s="424"/>
      <c r="H42" s="350">
        <f>H40+H31</f>
        <v>480.98549506999996</v>
      </c>
      <c r="I42" s="424"/>
      <c r="J42" s="350">
        <f>J40+J31</f>
        <v>518.66621550000002</v>
      </c>
      <c r="K42" s="435"/>
      <c r="L42" s="368">
        <f>L40+L31</f>
        <v>619.22881206818181</v>
      </c>
      <c r="M42" s="350"/>
      <c r="N42" s="426">
        <f>N40+N31</f>
        <v>741.42409124999995</v>
      </c>
      <c r="O42" s="350"/>
      <c r="P42" s="426">
        <f>P40+P31</f>
        <v>395.111090450625</v>
      </c>
      <c r="Q42" s="424"/>
      <c r="R42" s="350">
        <f>R40+R31</f>
        <v>291.02503181499998</v>
      </c>
      <c r="S42" s="424"/>
      <c r="T42" s="350">
        <f>T40+T31</f>
        <v>286.88524520375</v>
      </c>
      <c r="U42" s="387"/>
      <c r="V42" s="100"/>
    </row>
    <row r="43" spans="1:34" ht="15" thickBot="1" x14ac:dyDescent="0.25">
      <c r="A43" s="140" t="s">
        <v>167</v>
      </c>
      <c r="B43" s="405">
        <f>B9-B42</f>
        <v>35.285291865909016</v>
      </c>
      <c r="C43" s="391"/>
      <c r="D43" s="427">
        <f>D9-D42</f>
        <v>95.683377500000006</v>
      </c>
      <c r="E43" s="391"/>
      <c r="F43" s="427">
        <f>F9-F42</f>
        <v>151.3510604999999</v>
      </c>
      <c r="G43" s="425"/>
      <c r="H43" s="391">
        <f>H9-H42</f>
        <v>164.01450493000004</v>
      </c>
      <c r="I43" s="425"/>
      <c r="J43" s="391">
        <f>J9-J42</f>
        <v>-68.666215500000021</v>
      </c>
      <c r="K43" s="443"/>
      <c r="L43" s="405">
        <f>L9-L42</f>
        <v>-56.72881206818181</v>
      </c>
      <c r="M43" s="391"/>
      <c r="N43" s="427">
        <f>N9-N42</f>
        <v>23.575908750000053</v>
      </c>
      <c r="O43" s="391"/>
      <c r="P43" s="427">
        <f>P9-P42</f>
        <v>17.138909549374944</v>
      </c>
      <c r="Q43" s="425"/>
      <c r="R43" s="391">
        <f>R9-R42</f>
        <v>31.474968185000023</v>
      </c>
      <c r="S43" s="425"/>
      <c r="T43" s="391">
        <f>T9-T42</f>
        <v>5.6147547962499971</v>
      </c>
      <c r="U43" s="395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0.72059559011174246</v>
      </c>
      <c r="C45" s="146" t="s">
        <v>159</v>
      </c>
      <c r="D45" s="242">
        <f>D42/D7*2000</f>
        <v>409.28366914893616</v>
      </c>
      <c r="E45" s="129" t="s">
        <v>160</v>
      </c>
      <c r="F45" s="243">
        <f>F42/F7</f>
        <v>4.0932446975000003</v>
      </c>
      <c r="G45" s="238" t="s">
        <v>162</v>
      </c>
      <c r="H45" s="147">
        <f>H42/H7</f>
        <v>8.0164249178333318</v>
      </c>
      <c r="I45" s="238" t="s">
        <v>162</v>
      </c>
      <c r="J45" s="147">
        <f>J42/J7</f>
        <v>5.1866621550000005</v>
      </c>
      <c r="K45" s="131" t="s">
        <v>162</v>
      </c>
      <c r="L45" s="147">
        <f>L42/L7</f>
        <v>0.82563841609090904</v>
      </c>
      <c r="M45" s="146" t="s">
        <v>159</v>
      </c>
      <c r="N45" s="242">
        <f>N42/N7*2000</f>
        <v>436.13181838235295</v>
      </c>
      <c r="O45" s="129" t="s">
        <v>160</v>
      </c>
      <c r="P45" s="243">
        <f>P42/P7</f>
        <v>4.6483657700073531</v>
      </c>
      <c r="Q45" s="238" t="s">
        <v>162</v>
      </c>
      <c r="R45" s="147">
        <f>R42/R7</f>
        <v>9.7008343938333326</v>
      </c>
      <c r="S45" s="238" t="s">
        <v>162</v>
      </c>
      <c r="T45" s="147">
        <f>T42/T7</f>
        <v>4.4136191569807695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1152.9529441787879</v>
      </c>
      <c r="C46" s="150" t="s">
        <v>158</v>
      </c>
      <c r="D46" s="245">
        <f>D42/D8*2000</f>
        <v>4274.7405444444448</v>
      </c>
      <c r="E46" s="150" t="s">
        <v>158</v>
      </c>
      <c r="F46" s="246">
        <f>F42/F8</f>
        <v>168.79359577319588</v>
      </c>
      <c r="G46" s="238" t="s">
        <v>161</v>
      </c>
      <c r="H46" s="151">
        <f>H42/H8</f>
        <v>44.74283675069767</v>
      </c>
      <c r="I46" s="238" t="s">
        <v>161</v>
      </c>
      <c r="J46" s="151">
        <f>J42/J8</f>
        <v>115.25915900000001</v>
      </c>
      <c r="K46" s="131" t="s">
        <v>161</v>
      </c>
      <c r="L46" s="151">
        <f>L42/L8</f>
        <v>825.63841609090912</v>
      </c>
      <c r="M46" s="150" t="s">
        <v>158</v>
      </c>
      <c r="N46" s="245">
        <f>N42/N8*2000</f>
        <v>3295.2181833333329</v>
      </c>
      <c r="O46" s="150" t="s">
        <v>158</v>
      </c>
      <c r="P46" s="246">
        <f>P42/P8</f>
        <v>81.466204216623723</v>
      </c>
      <c r="Q46" s="238" t="s">
        <v>161</v>
      </c>
      <c r="R46" s="151">
        <f>R42/R8</f>
        <v>27.072095982790696</v>
      </c>
      <c r="S46" s="238" t="s">
        <v>161</v>
      </c>
      <c r="T46" s="151">
        <f>T42/T8</f>
        <v>63.752276711944447</v>
      </c>
      <c r="U46" s="132" t="s">
        <v>161</v>
      </c>
      <c r="V46" s="100"/>
    </row>
    <row r="47" spans="1:34" s="154" customFormat="1" ht="12" x14ac:dyDescent="0.15">
      <c r="A47" s="442" t="s">
        <v>177</v>
      </c>
      <c r="B47" s="442"/>
      <c r="C47" s="442"/>
      <c r="D47" s="442"/>
      <c r="E47" s="442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0.45</v>
      </c>
      <c r="E48" s="156" t="s">
        <v>65</v>
      </c>
      <c r="F48" s="247">
        <f>Conventional!F46</f>
        <v>0.38</v>
      </c>
      <c r="G48" s="156" t="s">
        <v>66</v>
      </c>
      <c r="H48" s="247">
        <f>Conventional!H46</f>
        <v>0.3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41" t="str">
        <f>Conventional!A48</f>
        <v>*** Weighted average of diesel and electric irrigation application costs.  Electric is estimated at $7/appl and diesel is estimated at $10/appl when diesel cost $2.00/gal.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2</v>
      </c>
      <c r="C50" s="441" t="s">
        <v>67</v>
      </c>
      <c r="D50" s="44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8"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A24" sqref="A24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45" t="s">
        <v>141</v>
      </c>
      <c r="B1" s="445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48" t="s">
        <v>135</v>
      </c>
      <c r="B9" s="448"/>
    </row>
    <row r="10" spans="1:9" ht="14" x14ac:dyDescent="0.15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f>0.5*B10</f>
        <v>2350</v>
      </c>
      <c r="B12" s="209">
        <v>475</v>
      </c>
      <c r="D12" s="447" t="s">
        <v>147</v>
      </c>
      <c r="E12" s="447"/>
      <c r="F12" s="447"/>
      <c r="G12" s="447"/>
      <c r="H12" s="447"/>
      <c r="I12" s="447"/>
    </row>
    <row r="13" spans="1:9" x14ac:dyDescent="0.15">
      <c r="A13" s="210">
        <v>0</v>
      </c>
      <c r="B13" s="211"/>
      <c r="D13" s="447"/>
      <c r="E13" s="447"/>
      <c r="F13" s="447"/>
      <c r="G13" s="447"/>
      <c r="H13" s="447"/>
      <c r="I13" s="447"/>
    </row>
    <row r="14" spans="1:9" x14ac:dyDescent="0.15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2350</v>
      </c>
      <c r="B16" s="217">
        <v>425</v>
      </c>
      <c r="D16" s="447" t="s">
        <v>148</v>
      </c>
      <c r="E16" s="447"/>
      <c r="F16" s="447"/>
      <c r="G16" s="447"/>
      <c r="H16" s="447"/>
      <c r="I16" s="447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450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46" t="s">
        <v>138</v>
      </c>
      <c r="B20" s="446"/>
    </row>
    <row r="21" spans="1:9" s="199" customFormat="1" ht="14" x14ac:dyDescent="0.15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f>0.5*B21</f>
        <v>1700</v>
      </c>
      <c r="B23" s="224">
        <v>475</v>
      </c>
      <c r="D23" s="447" t="s">
        <v>150</v>
      </c>
      <c r="E23" s="447"/>
      <c r="F23" s="447"/>
      <c r="G23" s="447"/>
      <c r="H23" s="447"/>
      <c r="I23" s="447"/>
    </row>
    <row r="24" spans="1:9" s="199" customFormat="1" x14ac:dyDescent="0.15">
      <c r="A24" s="225">
        <v>0</v>
      </c>
      <c r="B24" s="226"/>
      <c r="D24" s="447"/>
      <c r="E24" s="447"/>
      <c r="F24" s="447"/>
      <c r="G24" s="447"/>
      <c r="H24" s="447"/>
      <c r="I24" s="447"/>
    </row>
    <row r="25" spans="1:9" s="199" customFormat="1" x14ac:dyDescent="0.15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1700</v>
      </c>
      <c r="B27" s="229">
        <v>425</v>
      </c>
      <c r="D27" s="444" t="s">
        <v>151</v>
      </c>
      <c r="E27" s="444"/>
      <c r="F27" s="444"/>
      <c r="G27" s="444"/>
      <c r="H27" s="444"/>
      <c r="I27" s="444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450</v>
      </c>
      <c r="D28" s="444"/>
      <c r="E28" s="444"/>
      <c r="F28" s="444"/>
      <c r="G28" s="444"/>
      <c r="H28" s="444"/>
      <c r="I28" s="444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 and A.N. Rabinowitz, 
UGA Extension Economists&amp;C&amp;G&amp;RAg and Applied Economics, 4/2018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sqref="A1:I1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topLeftCell="A20" zoomScale="120" zoomScaleNormal="120" zoomScaleSheetLayoutView="100" zoomScalePageLayoutView="120" workbookViewId="0">
      <selection activeCell="B32" sqref="B32:I32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3" sqref="B33:M33"/>
    </sheetView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56" t="s">
        <v>93</v>
      </c>
      <c r="B29" s="456"/>
      <c r="C29" s="456"/>
      <c r="D29" s="456"/>
      <c r="E29" s="456"/>
      <c r="F29" s="456"/>
    </row>
    <row r="30" spans="1:11" x14ac:dyDescent="0.2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 x14ac:dyDescent="0.2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 x14ac:dyDescent="0.2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 x14ac:dyDescent="0.2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 x14ac:dyDescent="0.2">
      <c r="A63" s="455" t="s">
        <v>93</v>
      </c>
      <c r="B63" s="455"/>
      <c r="C63" s="455"/>
      <c r="D63" s="455"/>
      <c r="E63" s="455"/>
      <c r="F63" s="455"/>
    </row>
    <row r="64" spans="1:11" x14ac:dyDescent="0.2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 x14ac:dyDescent="0.2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 x14ac:dyDescent="0.2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 x14ac:dyDescent="0.2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 x14ac:dyDescent="0.2">
      <c r="A97" s="455" t="s">
        <v>93</v>
      </c>
      <c r="B97" s="455"/>
      <c r="C97" s="455"/>
      <c r="D97" s="455"/>
      <c r="E97" s="455"/>
      <c r="F97" s="455"/>
    </row>
    <row r="98" spans="1:13" x14ac:dyDescent="0.2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 x14ac:dyDescent="0.2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 x14ac:dyDescent="0.2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 x14ac:dyDescent="0.2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 x14ac:dyDescent="0.2">
      <c r="A131" s="456" t="s">
        <v>93</v>
      </c>
      <c r="B131" s="456"/>
      <c r="C131" s="456"/>
      <c r="D131" s="456"/>
      <c r="E131" s="456"/>
      <c r="F131" s="456"/>
    </row>
    <row r="132" spans="1:13" x14ac:dyDescent="0.2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 x14ac:dyDescent="0.2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 x14ac:dyDescent="0.2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 x14ac:dyDescent="0.2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 x14ac:dyDescent="0.2">
      <c r="A165" s="455" t="s">
        <v>93</v>
      </c>
      <c r="B165" s="455"/>
      <c r="C165" s="455"/>
      <c r="D165" s="455"/>
      <c r="E165" s="455"/>
      <c r="F165" s="455"/>
    </row>
    <row r="166" spans="1:13" x14ac:dyDescent="0.2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 x14ac:dyDescent="0.2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 x14ac:dyDescent="0.2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 x14ac:dyDescent="0.2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 x14ac:dyDescent="0.2">
      <c r="A199" s="455" t="s">
        <v>93</v>
      </c>
      <c r="B199" s="455"/>
      <c r="C199" s="455"/>
      <c r="D199" s="455"/>
      <c r="E199" s="455"/>
      <c r="F199" s="455"/>
    </row>
    <row r="200" spans="1:13" x14ac:dyDescent="0.2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 x14ac:dyDescent="0.2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 x14ac:dyDescent="0.2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 x14ac:dyDescent="0.2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 x14ac:dyDescent="0.2">
      <c r="A233" s="456" t="s">
        <v>93</v>
      </c>
      <c r="B233" s="456"/>
      <c r="C233" s="456"/>
      <c r="D233" s="456"/>
      <c r="E233" s="456"/>
      <c r="F233" s="456"/>
    </row>
    <row r="234" spans="1:13" x14ac:dyDescent="0.2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 x14ac:dyDescent="0.2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 x14ac:dyDescent="0.2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 x14ac:dyDescent="0.2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 x14ac:dyDescent="0.2">
      <c r="A267" s="455" t="s">
        <v>93</v>
      </c>
      <c r="B267" s="455"/>
      <c r="C267" s="455"/>
      <c r="D267" s="455"/>
      <c r="E267" s="455"/>
      <c r="F267" s="455"/>
    </row>
    <row r="268" spans="1:13" x14ac:dyDescent="0.2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 x14ac:dyDescent="0.2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 x14ac:dyDescent="0.2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 x14ac:dyDescent="0.2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 x14ac:dyDescent="0.2">
      <c r="A301" s="455" t="s">
        <v>93</v>
      </c>
      <c r="B301" s="455"/>
      <c r="C301" s="455"/>
      <c r="D301" s="455"/>
      <c r="E301" s="455"/>
      <c r="F301" s="455"/>
    </row>
    <row r="302" spans="1:12" x14ac:dyDescent="0.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 x14ac:dyDescent="0.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 x14ac:dyDescent="0.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 x14ac:dyDescent="0.2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 x14ac:dyDescent="0.2">
      <c r="A334" s="456" t="s">
        <v>93</v>
      </c>
      <c r="B334" s="456"/>
      <c r="C334" s="456"/>
      <c r="D334" s="456"/>
      <c r="E334" s="456"/>
      <c r="F334" s="456"/>
    </row>
    <row r="335" spans="1:12" x14ac:dyDescent="0.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 x14ac:dyDescent="0.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 x14ac:dyDescent="0.2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 x14ac:dyDescent="0.2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 x14ac:dyDescent="0.2">
      <c r="A369" s="455" t="s">
        <v>93</v>
      </c>
      <c r="B369" s="455"/>
      <c r="C369" s="455"/>
      <c r="D369" s="455"/>
      <c r="E369" s="455"/>
      <c r="F369" s="455"/>
    </row>
    <row r="370" spans="1:13" x14ac:dyDescent="0.2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 x14ac:dyDescent="0.2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 x14ac:dyDescent="0.2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 x14ac:dyDescent="0.2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 x14ac:dyDescent="0.2">
      <c r="A403" s="455" t="s">
        <v>93</v>
      </c>
      <c r="B403" s="455"/>
      <c r="C403" s="455"/>
      <c r="D403" s="455"/>
      <c r="E403" s="455"/>
      <c r="F403" s="455"/>
    </row>
    <row r="404" spans="1:13" x14ac:dyDescent="0.2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 x14ac:dyDescent="0.2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 x14ac:dyDescent="0.2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 x14ac:dyDescent="0.2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0" t="s">
        <v>45</v>
      </c>
      <c r="C1" s="460"/>
      <c r="D1" s="460"/>
      <c r="E1" s="460"/>
      <c r="F1" s="460"/>
      <c r="G1" s="460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0.75</v>
      </c>
      <c r="C4" s="68">
        <f>Conventional!D8</f>
        <v>450</v>
      </c>
      <c r="D4" s="69">
        <f>Conventional!F8</f>
        <v>4.8499999999999996</v>
      </c>
      <c r="E4" s="69">
        <f>Conventional!H8</f>
        <v>10.75</v>
      </c>
      <c r="F4" s="69">
        <f>Conventional!J8</f>
        <v>4.5</v>
      </c>
      <c r="G4" s="69">
        <f>Conventional!V8</f>
        <v>5.6</v>
      </c>
      <c r="H4" s="69"/>
    </row>
    <row r="5" spans="1:13" s="62" customFormat="1" ht="12" hidden="1" x14ac:dyDescent="0.15">
      <c r="A5" s="70" t="s">
        <v>44</v>
      </c>
      <c r="B5" s="71">
        <f>B3*B4</f>
        <v>900</v>
      </c>
      <c r="C5" s="71">
        <f>C3*C4/2000</f>
        <v>1057.5</v>
      </c>
      <c r="D5" s="71">
        <f>D3*D4</f>
        <v>969.99999999999989</v>
      </c>
      <c r="E5" s="71">
        <f>E3*E4</f>
        <v>645</v>
      </c>
      <c r="F5" s="71">
        <f>F3*F4</f>
        <v>450</v>
      </c>
      <c r="G5" s="71">
        <f>G3*G4</f>
        <v>420</v>
      </c>
      <c r="H5" s="72"/>
    </row>
    <row r="6" spans="1:13" s="62" customFormat="1" ht="12" hidden="1" x14ac:dyDescent="0.15">
      <c r="A6" s="70" t="s">
        <v>43</v>
      </c>
      <c r="B6" s="73">
        <f>Conventional!B30</f>
        <v>536.75713131818179</v>
      </c>
      <c r="C6" s="73">
        <f>Conventional!D30</f>
        <v>687.19634499999995</v>
      </c>
      <c r="D6" s="73">
        <f>Conventional!F30</f>
        <v>597.65471000000014</v>
      </c>
      <c r="E6" s="73">
        <f>Conventional!H30</f>
        <v>283.36370340000002</v>
      </c>
      <c r="F6" s="73">
        <f>Conventional!J30</f>
        <v>322.67563000000001</v>
      </c>
      <c r="G6" s="73">
        <f>Conventional!V30</f>
        <v>284.620876125</v>
      </c>
      <c r="H6" s="68"/>
    </row>
    <row r="7" spans="1:13" s="62" customFormat="1" ht="16" x14ac:dyDescent="0.2">
      <c r="A7" s="461" t="s">
        <v>127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 x14ac:dyDescent="0.15">
      <c r="A10" s="457" t="s">
        <v>47</v>
      </c>
      <c r="B10" s="457"/>
      <c r="C10" s="457"/>
      <c r="D10" s="457"/>
      <c r="E10" s="457"/>
      <c r="F10" s="457"/>
      <c r="H10" s="457" t="s">
        <v>50</v>
      </c>
      <c r="I10" s="457"/>
      <c r="J10" s="457"/>
      <c r="K10" s="457"/>
      <c r="L10" s="457"/>
      <c r="M10" s="457"/>
    </row>
    <row r="11" spans="1:13" s="62" customFormat="1" ht="12" x14ac:dyDescent="0.15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3.3949999999999996</v>
      </c>
      <c r="B14" s="85">
        <f>$A$14*B$13-$D$6</f>
        <v>-88.404710000000193</v>
      </c>
      <c r="C14" s="85">
        <f>$A$14*C$13-$D$6</f>
        <v>13.445289999999773</v>
      </c>
      <c r="D14" s="85">
        <f>$A$14*D$13-$D$6</f>
        <v>81.34528999999975</v>
      </c>
      <c r="E14" s="85">
        <f>$A$14*E$13-$D$6</f>
        <v>149.24528999999984</v>
      </c>
      <c r="F14" s="85">
        <f>$A$14*F$13-$D$6</f>
        <v>251.09528999999975</v>
      </c>
      <c r="H14" s="84">
        <f>H16*0.7</f>
        <v>0.52499999999999991</v>
      </c>
      <c r="I14" s="87">
        <f>$H$14*$I$13-$B$6</f>
        <v>-64.257131318181848</v>
      </c>
      <c r="J14" s="87">
        <f>$H$14*J13-$B$6</f>
        <v>30.242868681818095</v>
      </c>
      <c r="K14" s="87">
        <f>$H$14*K13-$B$6</f>
        <v>93.242868681818095</v>
      </c>
      <c r="L14" s="87">
        <f>$H$14*L13-$B$6</f>
        <v>156.24286868181809</v>
      </c>
      <c r="M14" s="87">
        <f>$H$14*M13-$B$6</f>
        <v>250.74286868181809</v>
      </c>
    </row>
    <row r="15" spans="1:13" x14ac:dyDescent="0.15">
      <c r="A15" s="86">
        <f>A16*0.85</f>
        <v>4.1224999999999996</v>
      </c>
      <c r="B15" s="87">
        <f>$A$15*B$13-$D$6</f>
        <v>20.72028999999975</v>
      </c>
      <c r="C15" s="87">
        <f>$A$15*C$13-$D$6</f>
        <v>144.39528999999982</v>
      </c>
      <c r="D15" s="87">
        <f>$A$15*D$13-$D$6</f>
        <v>226.84528999999975</v>
      </c>
      <c r="E15" s="87">
        <f>$A$15*E$13-$D$6</f>
        <v>309.29528999999991</v>
      </c>
      <c r="F15" s="87">
        <f>$A$15*F$13-$D$6</f>
        <v>432.97028999999986</v>
      </c>
      <c r="H15" s="86">
        <f>H16*0.85</f>
        <v>0.63749999999999996</v>
      </c>
      <c r="I15" s="87">
        <f>$H$15*$I$13-$B$6</f>
        <v>36.992868681818209</v>
      </c>
      <c r="J15" s="87">
        <f>$H$15*J13-$B$6</f>
        <v>151.74286868181821</v>
      </c>
      <c r="K15" s="87">
        <f>$H$15*K13-$B$6</f>
        <v>228.24286868181821</v>
      </c>
      <c r="L15" s="87">
        <f>$H$15*L13-$B$6</f>
        <v>304.74286868181809</v>
      </c>
      <c r="M15" s="87">
        <f>$H$15*M13-$B$6</f>
        <v>419.49286868181809</v>
      </c>
    </row>
    <row r="16" spans="1:13" x14ac:dyDescent="0.15">
      <c r="A16" s="86">
        <f>D4</f>
        <v>4.8499999999999996</v>
      </c>
      <c r="B16" s="87">
        <f>$A$16*B$13-$D$6</f>
        <v>129.84528999999986</v>
      </c>
      <c r="C16" s="87">
        <f>$A$16*C$13-$D$6</f>
        <v>275.34528999999975</v>
      </c>
      <c r="D16" s="87">
        <f>$A$16*D$13-$D$6</f>
        <v>372.34528999999975</v>
      </c>
      <c r="E16" s="87">
        <f>$A$16*E$13-$D$6</f>
        <v>469.34528999999986</v>
      </c>
      <c r="F16" s="87">
        <f>$A$16*F$13-$D$6</f>
        <v>614.84528999999986</v>
      </c>
      <c r="H16" s="86">
        <f>B4</f>
        <v>0.75</v>
      </c>
      <c r="I16" s="87">
        <f>$H$16*$I$13-$B$6</f>
        <v>138.24286868181821</v>
      </c>
      <c r="J16" s="87">
        <f>$H$16*J13-$B$6</f>
        <v>273.24286868181821</v>
      </c>
      <c r="K16" s="87">
        <f>$H$16*K13-$B$6</f>
        <v>363.24286868181821</v>
      </c>
      <c r="L16" s="87">
        <f>$H$16*L13-$B$6</f>
        <v>453.24286868181821</v>
      </c>
      <c r="M16" s="87">
        <f>$H$16*M13-$B$6</f>
        <v>588.24286868181821</v>
      </c>
    </row>
    <row r="17" spans="1:13" x14ac:dyDescent="0.15">
      <c r="A17" s="86">
        <f>A16*1.15</f>
        <v>5.5774999999999988</v>
      </c>
      <c r="B17" s="87">
        <f>$A$17*B$13-$D$6</f>
        <v>238.97028999999964</v>
      </c>
      <c r="C17" s="87">
        <f>$A$17*C$13-$D$6</f>
        <v>406.29528999999968</v>
      </c>
      <c r="D17" s="87">
        <f>$A$17*D$13-$D$6</f>
        <v>517.84528999999964</v>
      </c>
      <c r="E17" s="87">
        <f>$A$17*E$13-$D$6</f>
        <v>629.39528999999982</v>
      </c>
      <c r="F17" s="87">
        <f>$A$17*F$13-$D$6</f>
        <v>796.72028999999964</v>
      </c>
      <c r="H17" s="86">
        <f>H16*1.15</f>
        <v>0.86249999999999993</v>
      </c>
      <c r="I17" s="87">
        <f>$H$17*$I$13-$B$6</f>
        <v>239.49286868181809</v>
      </c>
      <c r="J17" s="87">
        <f>$H$17*J13-$B$6</f>
        <v>394.74286868181809</v>
      </c>
      <c r="K17" s="87">
        <f>$H$17*K13-$B$6</f>
        <v>498.24286868181821</v>
      </c>
      <c r="L17" s="87">
        <f>$H$17*L13-$B$6</f>
        <v>601.74286868181821</v>
      </c>
      <c r="M17" s="87">
        <f>$H$17*M13-$B$6</f>
        <v>756.99286868181821</v>
      </c>
    </row>
    <row r="18" spans="1:13" x14ac:dyDescent="0.15">
      <c r="A18" s="88">
        <f>A16*1.3</f>
        <v>6.3049999999999997</v>
      </c>
      <c r="B18" s="89">
        <f>$A$18*B$13-$D$6</f>
        <v>348.09528999999986</v>
      </c>
      <c r="C18" s="89">
        <f>$A$18*C$13-$D$6</f>
        <v>537.24528999999973</v>
      </c>
      <c r="D18" s="89">
        <f>$A$18*D$13-$D$6</f>
        <v>663.34528999999986</v>
      </c>
      <c r="E18" s="89">
        <f>$A$18*E$13-$D$6</f>
        <v>789.44529</v>
      </c>
      <c r="F18" s="89">
        <f>$A$18*F$13-$D$6</f>
        <v>978.59528999999986</v>
      </c>
      <c r="H18" s="88">
        <f>H16*1.3</f>
        <v>0.97500000000000009</v>
      </c>
      <c r="I18" s="89">
        <f>$H$18*$I$13-$B$6</f>
        <v>340.74286868181832</v>
      </c>
      <c r="J18" s="89">
        <f>$H$18*J13-$B$6</f>
        <v>516.24286868181821</v>
      </c>
      <c r="K18" s="89">
        <f>$H$18*K13-$B$6</f>
        <v>633.24286868181821</v>
      </c>
      <c r="L18" s="89">
        <f>$H$18*L13-$B$6</f>
        <v>750.24286868181844</v>
      </c>
      <c r="M18" s="89">
        <f>$H$18*M13-$B$6</f>
        <v>925.74286868181844</v>
      </c>
    </row>
    <row r="20" spans="1:13" x14ac:dyDescent="0.15">
      <c r="A20" s="457" t="s">
        <v>48</v>
      </c>
      <c r="B20" s="457"/>
      <c r="C20" s="457"/>
      <c r="D20" s="457"/>
      <c r="E20" s="457"/>
      <c r="F20" s="457"/>
      <c r="H20" s="463" t="s">
        <v>120</v>
      </c>
      <c r="I20" s="463"/>
      <c r="J20" s="463"/>
      <c r="K20" s="463"/>
      <c r="L20" s="463"/>
      <c r="M20" s="463"/>
    </row>
    <row r="21" spans="1:13" s="62" customFormat="1" ht="12" x14ac:dyDescent="0.15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3.15</v>
      </c>
      <c r="B24" s="85">
        <f>$A$24*B$23-$F$6</f>
        <v>-86.425630000000012</v>
      </c>
      <c r="C24" s="85">
        <f>$A$24*C$23-$F$6</f>
        <v>-39.175630000000012</v>
      </c>
      <c r="D24" s="85">
        <f>$A$24*D$23-$F$6</f>
        <v>-7.6756300000000124</v>
      </c>
      <c r="E24" s="85">
        <f>$A$24*E$23-$F$6</f>
        <v>23.824370000000044</v>
      </c>
      <c r="F24" s="85">
        <f>$A$24*F$23-$F$6</f>
        <v>71.074369999999988</v>
      </c>
      <c r="H24" s="90">
        <f>H26*0.7</f>
        <v>315</v>
      </c>
      <c r="I24" s="85">
        <f>$H$24*I$23/2000-$C$6</f>
        <v>-132.00884499999995</v>
      </c>
      <c r="J24" s="85">
        <f>$H$24*J$23/2000-$C$6</f>
        <v>-20.971344999999928</v>
      </c>
      <c r="K24" s="85">
        <f>$H$24*K$23/2000-$C$6</f>
        <v>53.053655000000049</v>
      </c>
      <c r="L24" s="85">
        <f>$H$24*L$23/2000-$C$6</f>
        <v>127.07865500000003</v>
      </c>
      <c r="M24" s="85">
        <f>$H$24*M$23/2000-$C$6</f>
        <v>238.11615500000005</v>
      </c>
    </row>
    <row r="25" spans="1:13" x14ac:dyDescent="0.15">
      <c r="A25" s="86">
        <f>A26*0.85</f>
        <v>3.8249999999999997</v>
      </c>
      <c r="B25" s="87">
        <f>$A$25*B$23-$F$6</f>
        <v>-35.800630000000012</v>
      </c>
      <c r="C25" s="87">
        <f>$A$25*C$23-$F$6</f>
        <v>21.574369999999988</v>
      </c>
      <c r="D25" s="87">
        <f>$A$25*D$23-$F$6</f>
        <v>59.824369999999988</v>
      </c>
      <c r="E25" s="87">
        <f>$A$25*E$23-$F$6</f>
        <v>98.074369999999988</v>
      </c>
      <c r="F25" s="87">
        <f>$A$25*F$23-$F$6</f>
        <v>155.44936999999993</v>
      </c>
      <c r="H25" s="91">
        <f>H26*0.85</f>
        <v>382.5</v>
      </c>
      <c r="I25" s="87">
        <f>$H$25*I$23/2000-$C$6</f>
        <v>-13.040094999999951</v>
      </c>
      <c r="J25" s="87">
        <f>$H$25*J$23/2000-$C$6</f>
        <v>121.791155</v>
      </c>
      <c r="K25" s="87">
        <f>$H$25*K$23/2000-$C$6</f>
        <v>211.67865500000005</v>
      </c>
      <c r="L25" s="87">
        <f>$H$25*L$23/2000-$C$6</f>
        <v>301.56615500000009</v>
      </c>
      <c r="M25" s="87">
        <f>$H$25*M$23/2000-$C$6</f>
        <v>436.39740500000005</v>
      </c>
    </row>
    <row r="26" spans="1:13" x14ac:dyDescent="0.15">
      <c r="A26" s="86">
        <f>F4</f>
        <v>4.5</v>
      </c>
      <c r="B26" s="87">
        <f>$A$26*B$23-$F$6</f>
        <v>14.824369999999988</v>
      </c>
      <c r="C26" s="87">
        <f>$A$26*C$23-$F$6</f>
        <v>82.324369999999988</v>
      </c>
      <c r="D26" s="87">
        <f>$A$26*D$23-$F$6</f>
        <v>127.32436999999999</v>
      </c>
      <c r="E26" s="87">
        <f>$A$26*E$23-$F$6</f>
        <v>172.32437000000004</v>
      </c>
      <c r="F26" s="87">
        <f>$A$26*F$23-$F$6</f>
        <v>239.82436999999999</v>
      </c>
      <c r="H26" s="91">
        <f>C4</f>
        <v>450</v>
      </c>
      <c r="I26" s="87">
        <f>$H$26*I$23/2000-$C$6</f>
        <v>105.92865500000005</v>
      </c>
      <c r="J26" s="87">
        <f>$H$26*J$23/2000-$C$6</f>
        <v>264.55365500000005</v>
      </c>
      <c r="K26" s="87">
        <f>$H$26*K$23/2000-$C$6</f>
        <v>370.30365500000005</v>
      </c>
      <c r="L26" s="87">
        <f>$H$26*L$23/2000-$C$6</f>
        <v>476.05365500000005</v>
      </c>
      <c r="M26" s="87">
        <f>$H$26*M$23/2000-$C$6</f>
        <v>634.67865500000005</v>
      </c>
    </row>
    <row r="27" spans="1:13" x14ac:dyDescent="0.15">
      <c r="A27" s="86">
        <f>A26*1.15</f>
        <v>5.1749999999999998</v>
      </c>
      <c r="B27" s="87">
        <f>$A$27*B$23-$F$6</f>
        <v>65.449369999999988</v>
      </c>
      <c r="C27" s="87">
        <f>$A$27*C$23-$F$6</f>
        <v>143.07436999999999</v>
      </c>
      <c r="D27" s="87">
        <f>$A$27*D$23-$F$6</f>
        <v>194.82436999999999</v>
      </c>
      <c r="E27" s="87">
        <f>$A$27*E$23-$F$6</f>
        <v>246.57436999999999</v>
      </c>
      <c r="F27" s="87">
        <f>$A$27*F$23-$F$6</f>
        <v>324.19936999999999</v>
      </c>
      <c r="H27" s="91">
        <f>H26*1.15</f>
        <v>517.5</v>
      </c>
      <c r="I27" s="87">
        <f>$H$27*I$23/2000-$C$6</f>
        <v>224.89740500000005</v>
      </c>
      <c r="J27" s="87">
        <f>$H$27*J$23/2000-$C$6</f>
        <v>407.31615500000009</v>
      </c>
      <c r="K27" s="87">
        <f>$H$27*K$23/2000-$C$6</f>
        <v>528.92865500000005</v>
      </c>
      <c r="L27" s="87">
        <f>$H$27*L$23/2000-$C$6</f>
        <v>650.541155</v>
      </c>
      <c r="M27" s="87">
        <f>$H$27*M$23/2000-$C$6</f>
        <v>832.95990500000005</v>
      </c>
    </row>
    <row r="28" spans="1:13" x14ac:dyDescent="0.15">
      <c r="A28" s="88">
        <f>A26*1.3</f>
        <v>5.8500000000000005</v>
      </c>
      <c r="B28" s="89">
        <f>$A$28*B$23-$F$6</f>
        <v>116.07437000000004</v>
      </c>
      <c r="C28" s="89">
        <f>$A$28*C$23-$F$6</f>
        <v>203.82436999999999</v>
      </c>
      <c r="D28" s="89">
        <f>$A$28*D$23-$F$6</f>
        <v>262.32436999999999</v>
      </c>
      <c r="E28" s="89">
        <f>$A$28*E$23-$F$6</f>
        <v>320.8243700000001</v>
      </c>
      <c r="F28" s="89">
        <f>$A$28*F$23-$F$6</f>
        <v>408.5743700000001</v>
      </c>
      <c r="H28" s="92">
        <f>H26*1.3</f>
        <v>585</v>
      </c>
      <c r="I28" s="89">
        <f>$H$28*I$23/2000-$C$6</f>
        <v>343.86615500000005</v>
      </c>
      <c r="J28" s="89">
        <f>$H$28*J$23/2000-$C$6</f>
        <v>550.07865500000014</v>
      </c>
      <c r="K28" s="89">
        <f>$H$28*K$23/2000-$C$6</f>
        <v>687.55365500000005</v>
      </c>
      <c r="L28" s="89">
        <f>$H$28*L$23/2000-$C$6</f>
        <v>825.02865499999996</v>
      </c>
      <c r="M28" s="89">
        <f>$H$28*M$23/2000-$C$6</f>
        <v>1031.2411550000002</v>
      </c>
    </row>
    <row r="30" spans="1:13" x14ac:dyDescent="0.15">
      <c r="A30" s="457" t="s">
        <v>49</v>
      </c>
      <c r="B30" s="457"/>
      <c r="C30" s="457"/>
      <c r="D30" s="457"/>
      <c r="E30" s="457"/>
      <c r="F30" s="457"/>
      <c r="H30" s="457" t="s">
        <v>64</v>
      </c>
      <c r="I30" s="457"/>
      <c r="J30" s="457"/>
      <c r="K30" s="457"/>
      <c r="L30" s="457"/>
      <c r="M30" s="457"/>
    </row>
    <row r="31" spans="1:13" s="62" customFormat="1" ht="12" x14ac:dyDescent="0.15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7.5249999999999995</v>
      </c>
      <c r="B34" s="85">
        <f>$A$34*B$33-$E$6</f>
        <v>55.26129659999998</v>
      </c>
      <c r="C34" s="85">
        <f>$A$34*C$33-$E$6</f>
        <v>122.98629659999995</v>
      </c>
      <c r="D34" s="85">
        <f>$A$34*D$33-$E$6</f>
        <v>168.13629659999992</v>
      </c>
      <c r="E34" s="85">
        <f>$A$34*E$33-$E$6</f>
        <v>213.28629659999996</v>
      </c>
      <c r="F34" s="85">
        <f>$A$34*F$33-$E$6</f>
        <v>281.01129659999998</v>
      </c>
      <c r="H34" s="84">
        <f>H36*0.7</f>
        <v>3.9199999999999995</v>
      </c>
      <c r="I34" s="85">
        <f>$H$34*I$33-$G$6</f>
        <v>-64.120876125000024</v>
      </c>
      <c r="J34" s="85">
        <f>$H$34*J$33-$G$6</f>
        <v>-20.020876125000029</v>
      </c>
      <c r="K34" s="85">
        <f>$H$34*K$33-$G$6</f>
        <v>9.3791238749999479</v>
      </c>
      <c r="L34" s="85">
        <f>$H$34*L$33-$G$6</f>
        <v>38.779123874999982</v>
      </c>
      <c r="M34" s="85">
        <f>$H$34*M$33-$G$6</f>
        <v>82.879123874999948</v>
      </c>
    </row>
    <row r="35" spans="1:13" x14ac:dyDescent="0.15">
      <c r="A35" s="86">
        <f>A36*0.85</f>
        <v>9.1374999999999993</v>
      </c>
      <c r="B35" s="87">
        <f>$A$35*B$33-$E$6</f>
        <v>127.82379659999992</v>
      </c>
      <c r="C35" s="87">
        <f>$A$35*C$33-$E$6</f>
        <v>210.06129659999993</v>
      </c>
      <c r="D35" s="87">
        <f>$A$35*D$33-$E$6</f>
        <v>264.88629659999998</v>
      </c>
      <c r="E35" s="87">
        <f>$A$35*E$33-$E$6</f>
        <v>319.71129659999991</v>
      </c>
      <c r="F35" s="87">
        <f>$A$35*F$33-$E$6</f>
        <v>401.94879659999998</v>
      </c>
      <c r="H35" s="86">
        <f>H36*0.85</f>
        <v>4.76</v>
      </c>
      <c r="I35" s="87">
        <f>$H$35*I$33-$G$6</f>
        <v>-16.870876124999995</v>
      </c>
      <c r="J35" s="87">
        <f>$H$35*J$33-$G$6</f>
        <v>36.679123875000016</v>
      </c>
      <c r="K35" s="87">
        <f>$H$35*K$33-$G$6</f>
        <v>72.379123875000005</v>
      </c>
      <c r="L35" s="87">
        <f>$H$35*L$33-$G$6</f>
        <v>108.07912387499999</v>
      </c>
      <c r="M35" s="87">
        <f>$H$35*M$33-$G$6</f>
        <v>161.629123875</v>
      </c>
    </row>
    <row r="36" spans="1:13" x14ac:dyDescent="0.15">
      <c r="A36" s="86">
        <f>E4</f>
        <v>10.75</v>
      </c>
      <c r="B36" s="87">
        <f>$A$36*B$33-$E$6</f>
        <v>200.38629659999998</v>
      </c>
      <c r="C36" s="87">
        <f>$A$36*C$33-$E$6</f>
        <v>297.13629659999998</v>
      </c>
      <c r="D36" s="87">
        <f>$A$36*D$33-$E$6</f>
        <v>361.63629659999998</v>
      </c>
      <c r="E36" s="87">
        <f>$A$36*E$33-$E$6</f>
        <v>426.13629659999998</v>
      </c>
      <c r="F36" s="87">
        <f>$A$36*F$33-$E$6</f>
        <v>522.88629659999992</v>
      </c>
      <c r="H36" s="86">
        <f>G4</f>
        <v>5.6</v>
      </c>
      <c r="I36" s="87">
        <f>$H$36*I$33-$G$6</f>
        <v>30.379123875000005</v>
      </c>
      <c r="J36" s="87">
        <f>$H$36*J$33-$G$6</f>
        <v>93.379123875000005</v>
      </c>
      <c r="K36" s="87">
        <f>$H$36*K$33-$G$6</f>
        <v>135.379123875</v>
      </c>
      <c r="L36" s="87">
        <f>$H$36*L$33-$G$6</f>
        <v>177.37912387499995</v>
      </c>
      <c r="M36" s="87">
        <f>$H$36*M$33-$G$6</f>
        <v>240.379123875</v>
      </c>
    </row>
    <row r="37" spans="1:13" x14ac:dyDescent="0.15">
      <c r="A37" s="86">
        <f>A36*1.15</f>
        <v>12.362499999999999</v>
      </c>
      <c r="B37" s="87">
        <f>$A$37*B$33-$E$6</f>
        <v>272.94879659999998</v>
      </c>
      <c r="C37" s="87">
        <f>$A$37*C$33-$E$6</f>
        <v>384.21129659999991</v>
      </c>
      <c r="D37" s="87">
        <f>$A$37*D$33-$E$6</f>
        <v>458.38629659999987</v>
      </c>
      <c r="E37" s="87">
        <f>$A$37*E$33-$E$6</f>
        <v>532.56129659999988</v>
      </c>
      <c r="F37" s="87">
        <f>$A$37*F$33-$E$6</f>
        <v>643.82379659999992</v>
      </c>
      <c r="H37" s="86">
        <f>H36*1.15</f>
        <v>6.4399999999999995</v>
      </c>
      <c r="I37" s="87">
        <f>$H$37*I$33-$G$6</f>
        <v>77.629123875000005</v>
      </c>
      <c r="J37" s="87">
        <f>$H$37*J$33-$G$6</f>
        <v>150.07912387499999</v>
      </c>
      <c r="K37" s="87">
        <f>$H$37*K$33-$G$6</f>
        <v>198.37912387499995</v>
      </c>
      <c r="L37" s="87">
        <f>$H$37*L$33-$G$6</f>
        <v>246.67912387499996</v>
      </c>
      <c r="M37" s="87">
        <f>$H$37*M$33-$G$6</f>
        <v>319.129123875</v>
      </c>
    </row>
    <row r="38" spans="1:13" x14ac:dyDescent="0.15">
      <c r="A38" s="88">
        <f>A36*1.3</f>
        <v>13.975</v>
      </c>
      <c r="B38" s="89">
        <f>$A$38*B$33-$E$6</f>
        <v>345.51129659999998</v>
      </c>
      <c r="C38" s="89">
        <f>$A$38*C$33-$E$6</f>
        <v>471.28629659999996</v>
      </c>
      <c r="D38" s="89">
        <f>$A$38*D$33-$E$6</f>
        <v>555.13629659999992</v>
      </c>
      <c r="E38" s="89">
        <f>$A$38*E$33-$E$6</f>
        <v>638.98629660000006</v>
      </c>
      <c r="F38" s="89">
        <f>$A$38*F$33-$E$6</f>
        <v>764.76129659999992</v>
      </c>
      <c r="H38" s="88">
        <f>H36*1.3</f>
        <v>7.2799999999999994</v>
      </c>
      <c r="I38" s="89">
        <f>$H$38*I$33-$G$6</f>
        <v>124.87912387499995</v>
      </c>
      <c r="J38" s="89">
        <f>$H$38*J$33-$G$6</f>
        <v>206.77912387499998</v>
      </c>
      <c r="K38" s="89">
        <f>$H$38*K$33-$G$6</f>
        <v>261.379123875</v>
      </c>
      <c r="L38" s="89">
        <f>$H$38*L$33-$G$6</f>
        <v>315.97912387499991</v>
      </c>
      <c r="M38" s="89">
        <f>$H$38*M$33-$G$6</f>
        <v>397.87912387499989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2021-01-25T23:30:30Z</dcterms:modified>
</cp:coreProperties>
</file>