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Yangxuan.Liu\Dropbox\UGA\Yangxuan Liu\Publication\Cotton Budgets\2021\"/>
    </mc:Choice>
  </mc:AlternateContent>
  <bookViews>
    <workbookView xWindow="37545" yWindow="495" windowWidth="11295" windowHeight="19515"/>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Main!$B$1:$H$88</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UR_Seed">Main!$B$9</definedName>
    <definedName name="weed">'Fert, Weed, Insct, Dis'!$A$11</definedName>
    <definedName name="WEED_TOT">'[1]Insect and Weed'!$F$11</definedName>
    <definedName name="yield">Main!$C$5</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E17" i="7" l="1"/>
  <c r="F9" i="6" l="1"/>
  <c r="G9" i="6" s="1"/>
  <c r="E10" i="6"/>
  <c r="F10" i="6" s="1"/>
  <c r="G10" i="6" s="1"/>
  <c r="D10" i="6"/>
  <c r="E12" i="6"/>
  <c r="F12" i="6" s="1"/>
  <c r="G12" i="6" s="1"/>
  <c r="D12" i="6"/>
  <c r="E13" i="6"/>
  <c r="D13" i="6"/>
  <c r="F13" i="6"/>
  <c r="G13" i="6" s="1"/>
  <c r="E14" i="6"/>
  <c r="F14" i="6" s="1"/>
  <c r="G14" i="6" s="1"/>
  <c r="D14" i="6"/>
  <c r="E15" i="6"/>
  <c r="F15" i="6" s="1"/>
  <c r="G15" i="6" s="1"/>
  <c r="D15" i="6"/>
  <c r="F13" i="7"/>
  <c r="G13" i="7" s="1"/>
  <c r="F14" i="7"/>
  <c r="F15" i="7"/>
  <c r="F16" i="7"/>
  <c r="F17" i="7"/>
  <c r="G17" i="7" s="1"/>
  <c r="F18" i="7"/>
  <c r="F19" i="7"/>
  <c r="F20" i="7"/>
  <c r="F21" i="7"/>
  <c r="F22" i="7"/>
  <c r="F17" i="6"/>
  <c r="G17" i="6"/>
  <c r="E41" i="7"/>
  <c r="F41" i="7" s="1"/>
  <c r="E42" i="7"/>
  <c r="E43" i="7"/>
  <c r="F19" i="6"/>
  <c r="G19" i="6"/>
  <c r="F20" i="6"/>
  <c r="G20" i="6" s="1"/>
  <c r="F21" i="6"/>
  <c r="G21" i="6"/>
  <c r="E48" i="7"/>
  <c r="E49" i="7"/>
  <c r="E50" i="7"/>
  <c r="E51" i="7"/>
  <c r="E22" i="6" s="1"/>
  <c r="F22" i="6" s="1"/>
  <c r="G22" i="6" s="1"/>
  <c r="B23" i="3"/>
  <c r="B33" i="3"/>
  <c r="B28" i="3"/>
  <c r="B30" i="3"/>
  <c r="B4" i="3"/>
  <c r="G4" i="3"/>
  <c r="O4" i="3"/>
  <c r="Q4" i="3"/>
  <c r="R4" i="3" s="1"/>
  <c r="S4" i="3"/>
  <c r="T4" i="3" s="1"/>
  <c r="B5" i="3"/>
  <c r="G5" i="3"/>
  <c r="O5" i="3"/>
  <c r="Q5" i="3"/>
  <c r="R5" i="3" s="1"/>
  <c r="S5" i="3"/>
  <c r="T5" i="3" s="1"/>
  <c r="B6" i="3"/>
  <c r="G6" i="3"/>
  <c r="O6" i="3"/>
  <c r="Q6" i="3"/>
  <c r="R6" i="3" s="1"/>
  <c r="S6" i="3"/>
  <c r="T6" i="3" s="1"/>
  <c r="B7" i="3"/>
  <c r="G7" i="3"/>
  <c r="O7" i="3"/>
  <c r="Q7" i="3"/>
  <c r="R7" i="3" s="1"/>
  <c r="S7" i="3"/>
  <c r="T7" i="3" s="1"/>
  <c r="B8" i="3"/>
  <c r="G8" i="3"/>
  <c r="O8" i="3"/>
  <c r="Q8" i="3"/>
  <c r="R8" i="3" s="1"/>
  <c r="S8" i="3"/>
  <c r="T8" i="3" s="1"/>
  <c r="B9" i="3"/>
  <c r="G9" i="3"/>
  <c r="O9" i="3"/>
  <c r="Q9" i="3"/>
  <c r="R9" i="3" s="1"/>
  <c r="S9" i="3"/>
  <c r="T9" i="3" s="1"/>
  <c r="U9" i="3"/>
  <c r="V9" i="3" s="1"/>
  <c r="B10" i="3"/>
  <c r="G10" i="3"/>
  <c r="O10" i="3"/>
  <c r="Q10" i="3"/>
  <c r="R10" i="3" s="1"/>
  <c r="S10" i="3"/>
  <c r="T10" i="3" s="1"/>
  <c r="B11" i="3"/>
  <c r="G11" i="3"/>
  <c r="O11" i="3"/>
  <c r="Q11" i="3"/>
  <c r="R11" i="3" s="1"/>
  <c r="S11" i="3"/>
  <c r="T11" i="3" s="1"/>
  <c r="U11" i="3"/>
  <c r="V11" i="3" s="1"/>
  <c r="B12" i="3"/>
  <c r="G12" i="3"/>
  <c r="O12" i="3"/>
  <c r="Q12" i="3"/>
  <c r="R12" i="3" s="1"/>
  <c r="S12" i="3"/>
  <c r="T12" i="3" s="1"/>
  <c r="B13" i="3"/>
  <c r="G13" i="3"/>
  <c r="O13" i="3"/>
  <c r="Q13" i="3"/>
  <c r="R13" i="3" s="1"/>
  <c r="S13" i="3"/>
  <c r="T13" i="3" s="1"/>
  <c r="U13" i="3"/>
  <c r="V13" i="3" s="1"/>
  <c r="B14" i="3"/>
  <c r="G14" i="3"/>
  <c r="O14" i="3"/>
  <c r="Q14" i="3"/>
  <c r="R14" i="3" s="1"/>
  <c r="S14" i="3"/>
  <c r="T14" i="3" s="1"/>
  <c r="B15" i="3"/>
  <c r="G15" i="3"/>
  <c r="O15" i="3"/>
  <c r="Q15" i="3"/>
  <c r="R15" i="3" s="1"/>
  <c r="S15" i="3"/>
  <c r="T15" i="3" s="1"/>
  <c r="U15" i="3"/>
  <c r="V15" i="3" s="1"/>
  <c r="B16" i="3"/>
  <c r="G16" i="3"/>
  <c r="O16" i="3"/>
  <c r="Q16" i="3"/>
  <c r="R16" i="3" s="1"/>
  <c r="S16" i="3"/>
  <c r="T16" i="3" s="1"/>
  <c r="U16" i="3"/>
  <c r="V16" i="3" s="1"/>
  <c r="B17" i="3"/>
  <c r="G17" i="3"/>
  <c r="O17" i="3"/>
  <c r="Q17" i="3"/>
  <c r="R17" i="3" s="1"/>
  <c r="S17" i="3"/>
  <c r="T17" i="3" s="1"/>
  <c r="U17" i="3"/>
  <c r="V17" i="3" s="1"/>
  <c r="B18" i="3"/>
  <c r="G18" i="3"/>
  <c r="O18" i="3"/>
  <c r="Q18" i="3"/>
  <c r="R18" i="3" s="1"/>
  <c r="S18" i="3"/>
  <c r="T18" i="3" s="1"/>
  <c r="U18" i="3"/>
  <c r="V18" i="3" s="1"/>
  <c r="B19" i="3"/>
  <c r="G19" i="3"/>
  <c r="O19" i="3"/>
  <c r="Q19" i="3"/>
  <c r="R19" i="3" s="1"/>
  <c r="S19" i="3"/>
  <c r="T19" i="3" s="1"/>
  <c r="U19" i="3"/>
  <c r="V19" i="3" s="1"/>
  <c r="B20" i="3"/>
  <c r="G20" i="3"/>
  <c r="O20" i="3"/>
  <c r="Q20" i="3"/>
  <c r="R20" i="3" s="1"/>
  <c r="S20" i="3"/>
  <c r="T20" i="3" s="1"/>
  <c r="U20" i="3"/>
  <c r="V20" i="3" s="1"/>
  <c r="B21" i="3"/>
  <c r="G21" i="3"/>
  <c r="O21" i="3"/>
  <c r="Q21" i="3"/>
  <c r="R21" i="3" s="1"/>
  <c r="S21" i="3"/>
  <c r="T21" i="3" s="1"/>
  <c r="U21" i="3"/>
  <c r="V21" i="3" s="1"/>
  <c r="B22" i="3"/>
  <c r="G22" i="3"/>
  <c r="O22" i="3"/>
  <c r="Q22" i="3"/>
  <c r="R22" i="3" s="1"/>
  <c r="S22" i="3"/>
  <c r="T22" i="3" s="1"/>
  <c r="U22" i="3"/>
  <c r="V22" i="3" s="1"/>
  <c r="G23" i="3"/>
  <c r="O23" i="3"/>
  <c r="Q23" i="3"/>
  <c r="R23" i="3"/>
  <c r="S23" i="3"/>
  <c r="U23" i="3" s="1"/>
  <c r="T23" i="3"/>
  <c r="B24" i="3"/>
  <c r="G24" i="3"/>
  <c r="O24" i="3"/>
  <c r="Q24" i="3"/>
  <c r="R24" i="3" s="1"/>
  <c r="S24" i="3"/>
  <c r="T24" i="3" s="1"/>
  <c r="U24" i="3"/>
  <c r="B25" i="3"/>
  <c r="G25" i="3"/>
  <c r="O25" i="3"/>
  <c r="Q25" i="3"/>
  <c r="R25" i="3" s="1"/>
  <c r="S25" i="3"/>
  <c r="U25" i="3" s="1"/>
  <c r="B26" i="3"/>
  <c r="G26" i="3"/>
  <c r="O26" i="3"/>
  <c r="Q26" i="3"/>
  <c r="R26" i="3" s="1"/>
  <c r="S26" i="3"/>
  <c r="T26" i="3" s="1"/>
  <c r="B27" i="3"/>
  <c r="G27" i="3"/>
  <c r="O27" i="3"/>
  <c r="Q27" i="3"/>
  <c r="R27" i="3"/>
  <c r="S27" i="3"/>
  <c r="U27" i="3" s="1"/>
  <c r="T27" i="3"/>
  <c r="G28" i="3"/>
  <c r="O28" i="3"/>
  <c r="Q28" i="3"/>
  <c r="R28" i="3" s="1"/>
  <c r="S28" i="3"/>
  <c r="T28" i="3" s="1"/>
  <c r="B29" i="3"/>
  <c r="G29" i="3"/>
  <c r="O29" i="3"/>
  <c r="Q29" i="3"/>
  <c r="R29" i="3" s="1"/>
  <c r="S29" i="3"/>
  <c r="T29" i="3" s="1"/>
  <c r="G30" i="3"/>
  <c r="O30" i="3"/>
  <c r="Q30" i="3"/>
  <c r="R30" i="3" s="1"/>
  <c r="S30" i="3"/>
  <c r="T30" i="3" s="1"/>
  <c r="U30" i="3"/>
  <c r="B31" i="3"/>
  <c r="G31" i="3"/>
  <c r="O31" i="3"/>
  <c r="Q31" i="3"/>
  <c r="R31" i="3" s="1"/>
  <c r="S31" i="3"/>
  <c r="U31" i="3" s="1"/>
  <c r="B32" i="3"/>
  <c r="G32" i="3"/>
  <c r="O32" i="3"/>
  <c r="Q32" i="3"/>
  <c r="R32" i="3" s="1"/>
  <c r="S32" i="3"/>
  <c r="G33" i="3"/>
  <c r="O33" i="3"/>
  <c r="Q33" i="3"/>
  <c r="R33" i="3" s="1"/>
  <c r="P4" i="4" s="1"/>
  <c r="S33" i="3"/>
  <c r="T33" i="3" s="1"/>
  <c r="B34" i="3"/>
  <c r="G34" i="3"/>
  <c r="O34" i="3"/>
  <c r="Q34" i="3"/>
  <c r="R34" i="3" s="1"/>
  <c r="S34" i="3"/>
  <c r="T34" i="3" s="1"/>
  <c r="U34" i="3"/>
  <c r="B35" i="3"/>
  <c r="G35" i="3"/>
  <c r="O35" i="3"/>
  <c r="Q35" i="3"/>
  <c r="R35" i="3" s="1"/>
  <c r="S35" i="3"/>
  <c r="T35" i="3" s="1"/>
  <c r="B36" i="3"/>
  <c r="G36" i="3"/>
  <c r="O36" i="3"/>
  <c r="Q36" i="3"/>
  <c r="R36" i="3" s="1"/>
  <c r="S36" i="3"/>
  <c r="B37" i="3"/>
  <c r="G37" i="3"/>
  <c r="O37" i="3"/>
  <c r="Q37" i="3"/>
  <c r="R37" i="3" s="1"/>
  <c r="S37" i="3"/>
  <c r="T37" i="3" s="1"/>
  <c r="U37" i="3"/>
  <c r="V37" i="3" s="1"/>
  <c r="B38" i="3"/>
  <c r="G38" i="3"/>
  <c r="O38" i="3"/>
  <c r="Q38" i="3"/>
  <c r="R38" i="3" s="1"/>
  <c r="S38" i="3"/>
  <c r="T38" i="3" s="1"/>
  <c r="B39" i="3"/>
  <c r="G39" i="3"/>
  <c r="O39" i="3"/>
  <c r="Q39" i="3"/>
  <c r="R39" i="3" s="1"/>
  <c r="S39" i="3"/>
  <c r="B40" i="3"/>
  <c r="G40" i="3"/>
  <c r="O40" i="3"/>
  <c r="Q40" i="3"/>
  <c r="R40" i="3" s="1"/>
  <c r="S40" i="3"/>
  <c r="T40" i="3" s="1"/>
  <c r="B41" i="3"/>
  <c r="G41" i="3"/>
  <c r="O41" i="3"/>
  <c r="Q41" i="3"/>
  <c r="R41" i="3" s="1"/>
  <c r="S41" i="3"/>
  <c r="T41" i="3" s="1"/>
  <c r="B42" i="3"/>
  <c r="G42" i="3"/>
  <c r="O42" i="3"/>
  <c r="Q42" i="3"/>
  <c r="R42" i="3" s="1"/>
  <c r="S42" i="3"/>
  <c r="T42" i="3" s="1"/>
  <c r="U42" i="3"/>
  <c r="B43" i="3"/>
  <c r="G43" i="3"/>
  <c r="O43" i="3"/>
  <c r="Q43" i="3"/>
  <c r="R43" i="3" s="1"/>
  <c r="S43" i="3"/>
  <c r="T43" i="3" s="1"/>
  <c r="N3" i="4"/>
  <c r="B194" i="1"/>
  <c r="B99" i="1"/>
  <c r="B146" i="1"/>
  <c r="B122" i="1"/>
  <c r="B5" i="1"/>
  <c r="G5" i="1"/>
  <c r="L5" i="1"/>
  <c r="R5" i="1"/>
  <c r="V5" i="1"/>
  <c r="W5" i="1"/>
  <c r="X5" i="1"/>
  <c r="Y5" i="1" s="1"/>
  <c r="Z5" i="1"/>
  <c r="AA5" i="1" s="1"/>
  <c r="B6" i="1"/>
  <c r="G6" i="1"/>
  <c r="L6" i="1"/>
  <c r="R6" i="1"/>
  <c r="V6" i="1"/>
  <c r="W6" i="1"/>
  <c r="X6" i="1"/>
  <c r="Y6" i="1" s="1"/>
  <c r="Z6" i="1"/>
  <c r="B7" i="1"/>
  <c r="G7" i="1"/>
  <c r="L7" i="1"/>
  <c r="R7" i="1"/>
  <c r="V7" i="1"/>
  <c r="W7" i="1" s="1"/>
  <c r="X7" i="1"/>
  <c r="Y7" i="1" s="1"/>
  <c r="Z7" i="1"/>
  <c r="AA7" i="1" s="1"/>
  <c r="B8" i="1"/>
  <c r="G8" i="1"/>
  <c r="L8" i="1"/>
  <c r="R8" i="1"/>
  <c r="V8" i="1"/>
  <c r="W8" i="1"/>
  <c r="X8" i="1"/>
  <c r="Y8" i="1"/>
  <c r="Z8" i="1"/>
  <c r="AB8" i="1" s="1"/>
  <c r="B9" i="1"/>
  <c r="G9" i="1"/>
  <c r="L9" i="1"/>
  <c r="R9" i="1"/>
  <c r="V9" i="1"/>
  <c r="W9" i="1" s="1"/>
  <c r="X9" i="1"/>
  <c r="Y9" i="1"/>
  <c r="Z9" i="1"/>
  <c r="AA9" i="1"/>
  <c r="AB9" i="1"/>
  <c r="AC9" i="1" s="1"/>
  <c r="B10" i="1"/>
  <c r="G10" i="1"/>
  <c r="L10" i="1"/>
  <c r="R10" i="1"/>
  <c r="V10" i="1"/>
  <c r="W10" i="1" s="1"/>
  <c r="X10" i="1"/>
  <c r="Y10" i="1" s="1"/>
  <c r="Z10" i="1"/>
  <c r="AA10" i="1" s="1"/>
  <c r="AB10" i="1"/>
  <c r="AD10" i="1" s="1"/>
  <c r="B11" i="1"/>
  <c r="G11" i="1"/>
  <c r="L11" i="1"/>
  <c r="R11" i="1"/>
  <c r="V11" i="1"/>
  <c r="W11" i="1" s="1"/>
  <c r="X11" i="1"/>
  <c r="Y11" i="1" s="1"/>
  <c r="Z11" i="1"/>
  <c r="AA11" i="1"/>
  <c r="AB11" i="1"/>
  <c r="AD11" i="1" s="1"/>
  <c r="B12" i="1"/>
  <c r="G12" i="1"/>
  <c r="L12" i="1"/>
  <c r="R12" i="1"/>
  <c r="V12" i="1"/>
  <c r="W12" i="1" s="1"/>
  <c r="X12" i="1"/>
  <c r="Y12" i="1" s="1"/>
  <c r="Z12" i="1"/>
  <c r="AA12" i="1" s="1"/>
  <c r="AB12" i="1"/>
  <c r="AD12" i="1" s="1"/>
  <c r="B13" i="1"/>
  <c r="G13" i="1"/>
  <c r="L13" i="1"/>
  <c r="R13" i="1"/>
  <c r="V13" i="1"/>
  <c r="W13" i="1" s="1"/>
  <c r="X13" i="1"/>
  <c r="Y13" i="1" s="1"/>
  <c r="Z13" i="1"/>
  <c r="AA13" i="1" s="1"/>
  <c r="B14" i="1"/>
  <c r="G14" i="1"/>
  <c r="L14" i="1"/>
  <c r="R14" i="1"/>
  <c r="V14" i="1"/>
  <c r="W14" i="1" s="1"/>
  <c r="X14" i="1"/>
  <c r="Y14" i="1" s="1"/>
  <c r="Z14" i="1"/>
  <c r="AB14" i="1" s="1"/>
  <c r="AA14" i="1"/>
  <c r="B15" i="1"/>
  <c r="G15" i="1"/>
  <c r="L15" i="1"/>
  <c r="R15" i="1"/>
  <c r="V15" i="1"/>
  <c r="W15" i="1" s="1"/>
  <c r="X15" i="1"/>
  <c r="Y15" i="1"/>
  <c r="Z15" i="1"/>
  <c r="AA15" i="1" s="1"/>
  <c r="B16" i="1"/>
  <c r="G16" i="1"/>
  <c r="L16" i="1"/>
  <c r="R16" i="1"/>
  <c r="V16" i="1"/>
  <c r="W16" i="1" s="1"/>
  <c r="X16" i="1"/>
  <c r="Y16" i="1" s="1"/>
  <c r="Z16" i="1"/>
  <c r="AB16" i="1" s="1"/>
  <c r="B17" i="1"/>
  <c r="G17" i="1"/>
  <c r="L17" i="1"/>
  <c r="R17" i="1"/>
  <c r="V17" i="1"/>
  <c r="W17" i="1" s="1"/>
  <c r="X17" i="1"/>
  <c r="Y17" i="1" s="1"/>
  <c r="Z17" i="1"/>
  <c r="AA17" i="1" s="1"/>
  <c r="AB17" i="1"/>
  <c r="AC17" i="1" s="1"/>
  <c r="B18" i="1"/>
  <c r="G18" i="1"/>
  <c r="L18" i="1"/>
  <c r="R18" i="1"/>
  <c r="V18" i="1"/>
  <c r="W18" i="1" s="1"/>
  <c r="X18" i="1"/>
  <c r="Y18" i="1"/>
  <c r="Z18" i="1"/>
  <c r="AB18" i="1" s="1"/>
  <c r="AD18" i="1" s="1"/>
  <c r="B19" i="1"/>
  <c r="G19" i="1"/>
  <c r="L19" i="1"/>
  <c r="R19" i="1"/>
  <c r="V19" i="1"/>
  <c r="W19" i="1" s="1"/>
  <c r="X19" i="1"/>
  <c r="Y19" i="1" s="1"/>
  <c r="Z19" i="1"/>
  <c r="AA19" i="1" s="1"/>
  <c r="B20" i="1"/>
  <c r="G20" i="1"/>
  <c r="L20" i="1"/>
  <c r="R20" i="1"/>
  <c r="V20" i="1"/>
  <c r="W20" i="1" s="1"/>
  <c r="X20" i="1"/>
  <c r="Y20" i="1" s="1"/>
  <c r="Z20" i="1"/>
  <c r="AA20" i="1" s="1"/>
  <c r="B21" i="1"/>
  <c r="G21" i="1"/>
  <c r="L21" i="1"/>
  <c r="R21" i="1"/>
  <c r="V21" i="1"/>
  <c r="W21" i="1"/>
  <c r="X21" i="1"/>
  <c r="Y21" i="1" s="1"/>
  <c r="Z21" i="1"/>
  <c r="AA21" i="1" s="1"/>
  <c r="B22" i="1"/>
  <c r="G22" i="1"/>
  <c r="L22" i="1"/>
  <c r="R22" i="1"/>
  <c r="V22" i="1"/>
  <c r="W22" i="1"/>
  <c r="X22" i="1"/>
  <c r="Y22" i="1" s="1"/>
  <c r="Z22" i="1"/>
  <c r="AB22" i="1" s="1"/>
  <c r="B23" i="1"/>
  <c r="G23" i="1"/>
  <c r="L23" i="1"/>
  <c r="R23" i="1"/>
  <c r="V23" i="1"/>
  <c r="W23" i="1" s="1"/>
  <c r="X23" i="1"/>
  <c r="Y23" i="1" s="1"/>
  <c r="Z23" i="1"/>
  <c r="AA23" i="1" s="1"/>
  <c r="B24" i="1"/>
  <c r="G24" i="1"/>
  <c r="L24" i="1"/>
  <c r="R24" i="1"/>
  <c r="V24" i="1"/>
  <c r="W24" i="1"/>
  <c r="X24" i="1"/>
  <c r="Y24" i="1"/>
  <c r="Z24" i="1"/>
  <c r="AB24" i="1" s="1"/>
  <c r="B25" i="1"/>
  <c r="G25" i="1"/>
  <c r="L25" i="1"/>
  <c r="R25" i="1"/>
  <c r="V25" i="1"/>
  <c r="W25" i="1" s="1"/>
  <c r="X25" i="1"/>
  <c r="Y25" i="1"/>
  <c r="Z25" i="1"/>
  <c r="AB25" i="1" s="1"/>
  <c r="AC25" i="1" s="1"/>
  <c r="AA25" i="1"/>
  <c r="B26" i="1"/>
  <c r="G26" i="1"/>
  <c r="L26" i="1"/>
  <c r="R26" i="1"/>
  <c r="V26" i="1"/>
  <c r="W26" i="1" s="1"/>
  <c r="X26" i="1"/>
  <c r="Y26" i="1" s="1"/>
  <c r="Z26" i="1"/>
  <c r="B27" i="1"/>
  <c r="G27" i="1"/>
  <c r="L27" i="1"/>
  <c r="R27" i="1"/>
  <c r="V27" i="1"/>
  <c r="W27" i="1" s="1"/>
  <c r="X27" i="1"/>
  <c r="Y27" i="1" s="1"/>
  <c r="Z27" i="1"/>
  <c r="AB27" i="1" s="1"/>
  <c r="AD27" i="1" s="1"/>
  <c r="B28" i="1"/>
  <c r="G28" i="1"/>
  <c r="L28" i="1"/>
  <c r="R28" i="1"/>
  <c r="V28" i="1"/>
  <c r="W28" i="1" s="1"/>
  <c r="X28" i="1"/>
  <c r="Y28" i="1" s="1"/>
  <c r="Z28" i="1"/>
  <c r="AB28" i="1" s="1"/>
  <c r="AA28" i="1"/>
  <c r="B29" i="1"/>
  <c r="G29" i="1"/>
  <c r="L29" i="1"/>
  <c r="R29" i="1"/>
  <c r="V29" i="1"/>
  <c r="W29" i="1" s="1"/>
  <c r="X29" i="1"/>
  <c r="Y29" i="1" s="1"/>
  <c r="Z29" i="1"/>
  <c r="AA29" i="1" s="1"/>
  <c r="B30" i="1"/>
  <c r="G30" i="1"/>
  <c r="L30" i="1"/>
  <c r="R30" i="1"/>
  <c r="V30" i="1"/>
  <c r="W30" i="1" s="1"/>
  <c r="X30" i="1"/>
  <c r="Y30" i="1" s="1"/>
  <c r="Z30" i="1"/>
  <c r="AB30" i="1" s="1"/>
  <c r="B31" i="1"/>
  <c r="G31" i="1"/>
  <c r="L31" i="1"/>
  <c r="R31" i="1"/>
  <c r="V31" i="1"/>
  <c r="W31" i="1" s="1"/>
  <c r="X31" i="1"/>
  <c r="Y31" i="1" s="1"/>
  <c r="Z31" i="1"/>
  <c r="AA31" i="1" s="1"/>
  <c r="B32" i="1"/>
  <c r="G32" i="1"/>
  <c r="L32" i="1"/>
  <c r="R32" i="1"/>
  <c r="V32" i="1"/>
  <c r="W32" i="1" s="1"/>
  <c r="X32" i="1"/>
  <c r="Y32" i="1" s="1"/>
  <c r="Z32" i="1"/>
  <c r="AB32" i="1" s="1"/>
  <c r="B33" i="1"/>
  <c r="G33" i="1"/>
  <c r="L33" i="1"/>
  <c r="R33" i="1"/>
  <c r="V33" i="1"/>
  <c r="W33" i="1" s="1"/>
  <c r="X33" i="1"/>
  <c r="Y33" i="1" s="1"/>
  <c r="Z33" i="1"/>
  <c r="B34" i="1"/>
  <c r="G34" i="1"/>
  <c r="L34" i="1"/>
  <c r="R34" i="1"/>
  <c r="V34" i="1"/>
  <c r="W34" i="1"/>
  <c r="X34" i="1"/>
  <c r="Y34" i="1" s="1"/>
  <c r="Z34" i="1"/>
  <c r="AA34" i="1"/>
  <c r="AB34" i="1"/>
  <c r="AD34" i="1" s="1"/>
  <c r="B35" i="1"/>
  <c r="G35" i="1"/>
  <c r="L35" i="1"/>
  <c r="R35" i="1"/>
  <c r="V35" i="1"/>
  <c r="W35" i="1" s="1"/>
  <c r="X35" i="1"/>
  <c r="Y35" i="1" s="1"/>
  <c r="Z35" i="1"/>
  <c r="B36" i="1"/>
  <c r="G36" i="1"/>
  <c r="L36" i="1"/>
  <c r="R36" i="1"/>
  <c r="V36" i="1"/>
  <c r="W36" i="1" s="1"/>
  <c r="X36" i="1"/>
  <c r="Y36" i="1" s="1"/>
  <c r="Z36" i="1"/>
  <c r="B37" i="1"/>
  <c r="G37" i="1"/>
  <c r="L37" i="1"/>
  <c r="R37" i="1"/>
  <c r="V37" i="1"/>
  <c r="W37" i="1"/>
  <c r="X37" i="1"/>
  <c r="Y37" i="1" s="1"/>
  <c r="Z37" i="1"/>
  <c r="AA37" i="1" s="1"/>
  <c r="B38" i="1"/>
  <c r="G38" i="1"/>
  <c r="L38" i="1"/>
  <c r="R38" i="1"/>
  <c r="V38" i="1"/>
  <c r="W38" i="1" s="1"/>
  <c r="X38" i="1"/>
  <c r="Y38" i="1" s="1"/>
  <c r="Z38" i="1"/>
  <c r="B39" i="1"/>
  <c r="G39" i="1"/>
  <c r="L39" i="1"/>
  <c r="R39" i="1"/>
  <c r="V39" i="1"/>
  <c r="W39" i="1" s="1"/>
  <c r="X39" i="1"/>
  <c r="Y39" i="1" s="1"/>
  <c r="Z39" i="1"/>
  <c r="AA39" i="1" s="1"/>
  <c r="B40" i="1"/>
  <c r="G40" i="1"/>
  <c r="L40" i="1"/>
  <c r="R40" i="1"/>
  <c r="V40" i="1"/>
  <c r="W40" i="1"/>
  <c r="X40" i="1"/>
  <c r="Y40" i="1" s="1"/>
  <c r="Z40" i="1"/>
  <c r="AB40" i="1" s="1"/>
  <c r="B41" i="1"/>
  <c r="G41" i="1"/>
  <c r="L41" i="1"/>
  <c r="R41" i="1"/>
  <c r="V41" i="1"/>
  <c r="W41" i="1" s="1"/>
  <c r="X41" i="1"/>
  <c r="Y41" i="1" s="1"/>
  <c r="Z41" i="1"/>
  <c r="AA41" i="1"/>
  <c r="AB41" i="1"/>
  <c r="AC41" i="1" s="1"/>
  <c r="B42" i="1"/>
  <c r="G42" i="1"/>
  <c r="L42" i="1"/>
  <c r="R42" i="1"/>
  <c r="V42" i="1"/>
  <c r="W42" i="1" s="1"/>
  <c r="X42" i="1"/>
  <c r="Y42" i="1" s="1"/>
  <c r="Z42" i="1"/>
  <c r="AA42" i="1" s="1"/>
  <c r="B43" i="1"/>
  <c r="G43" i="1"/>
  <c r="L43" i="1"/>
  <c r="R43" i="1"/>
  <c r="V43" i="1"/>
  <c r="W43" i="1" s="1"/>
  <c r="X43" i="1"/>
  <c r="Y43" i="1" s="1"/>
  <c r="Z43" i="1"/>
  <c r="AB43" i="1" s="1"/>
  <c r="B44" i="1"/>
  <c r="G44" i="1"/>
  <c r="L44" i="1"/>
  <c r="R44" i="1"/>
  <c r="V44" i="1"/>
  <c r="W44" i="1" s="1"/>
  <c r="X44" i="1"/>
  <c r="Y44" i="1" s="1"/>
  <c r="Z44" i="1"/>
  <c r="AA44" i="1"/>
  <c r="AB44" i="1"/>
  <c r="AD44" i="1" s="1"/>
  <c r="B45" i="1"/>
  <c r="G45" i="1"/>
  <c r="L45" i="1"/>
  <c r="R45" i="1"/>
  <c r="V45" i="1"/>
  <c r="W45" i="1" s="1"/>
  <c r="X45" i="1"/>
  <c r="Y45" i="1" s="1"/>
  <c r="Z45" i="1"/>
  <c r="AA45" i="1" s="1"/>
  <c r="B46" i="1"/>
  <c r="G46" i="1"/>
  <c r="L46" i="1"/>
  <c r="R46" i="1"/>
  <c r="V46" i="1"/>
  <c r="W46" i="1" s="1"/>
  <c r="X46" i="1"/>
  <c r="Y46" i="1" s="1"/>
  <c r="Z46" i="1"/>
  <c r="AB46" i="1" s="1"/>
  <c r="B47" i="1"/>
  <c r="G47" i="1"/>
  <c r="L47" i="1"/>
  <c r="R47" i="1"/>
  <c r="V47" i="1"/>
  <c r="W47" i="1" s="1"/>
  <c r="X47" i="1"/>
  <c r="Y47" i="1" s="1"/>
  <c r="Z47" i="1"/>
  <c r="AA47" i="1" s="1"/>
  <c r="B48" i="1"/>
  <c r="G48" i="1"/>
  <c r="L48" i="1"/>
  <c r="R48" i="1"/>
  <c r="V48" i="1"/>
  <c r="W48" i="1" s="1"/>
  <c r="X48" i="1"/>
  <c r="Y48" i="1" s="1"/>
  <c r="Z48" i="1"/>
  <c r="AB48" i="1" s="1"/>
  <c r="B49" i="1"/>
  <c r="G49" i="1"/>
  <c r="L49" i="1"/>
  <c r="R49" i="1"/>
  <c r="V49" i="1"/>
  <c r="W49" i="1" s="1"/>
  <c r="X49" i="1"/>
  <c r="Y49" i="1" s="1"/>
  <c r="Z49" i="1"/>
  <c r="AA49" i="1" s="1"/>
  <c r="B50" i="1"/>
  <c r="G50" i="1"/>
  <c r="L50" i="1"/>
  <c r="R50" i="1"/>
  <c r="V50" i="1"/>
  <c r="W50" i="1" s="1"/>
  <c r="X50" i="1"/>
  <c r="Y50" i="1" s="1"/>
  <c r="Z50" i="1"/>
  <c r="AB50" i="1" s="1"/>
  <c r="AD50" i="1" s="1"/>
  <c r="B51" i="1"/>
  <c r="G51" i="1"/>
  <c r="L51" i="1"/>
  <c r="R51" i="1"/>
  <c r="V51" i="1"/>
  <c r="W51" i="1" s="1"/>
  <c r="X51" i="1"/>
  <c r="Y51" i="1" s="1"/>
  <c r="Z51" i="1"/>
  <c r="AA51" i="1" s="1"/>
  <c r="B52" i="1"/>
  <c r="G52" i="1"/>
  <c r="L52" i="1"/>
  <c r="R52" i="1"/>
  <c r="V52" i="1"/>
  <c r="W52" i="1" s="1"/>
  <c r="X52" i="1"/>
  <c r="Y52" i="1" s="1"/>
  <c r="Z52" i="1"/>
  <c r="AA52" i="1" s="1"/>
  <c r="B53" i="1"/>
  <c r="G53" i="1"/>
  <c r="L53" i="1"/>
  <c r="R53" i="1"/>
  <c r="V53" i="1"/>
  <c r="W53" i="1" s="1"/>
  <c r="X53" i="1"/>
  <c r="Y53" i="1" s="1"/>
  <c r="Z53" i="1"/>
  <c r="AA53" i="1" s="1"/>
  <c r="B54" i="1"/>
  <c r="G54" i="1"/>
  <c r="L54" i="1"/>
  <c r="R54" i="1"/>
  <c r="V54" i="1"/>
  <c r="W54" i="1" s="1"/>
  <c r="X54" i="1"/>
  <c r="Y54" i="1" s="1"/>
  <c r="Z54" i="1"/>
  <c r="AB54" i="1" s="1"/>
  <c r="B55" i="1"/>
  <c r="G55" i="1"/>
  <c r="L55" i="1"/>
  <c r="R55" i="1"/>
  <c r="V55" i="1"/>
  <c r="W55" i="1" s="1"/>
  <c r="X55" i="1"/>
  <c r="Y55" i="1" s="1"/>
  <c r="Z55" i="1"/>
  <c r="AA55" i="1" s="1"/>
  <c r="B56" i="1"/>
  <c r="G56" i="1"/>
  <c r="L56" i="1"/>
  <c r="R56" i="1"/>
  <c r="V56" i="1"/>
  <c r="W56" i="1" s="1"/>
  <c r="X56" i="1"/>
  <c r="Y56" i="1" s="1"/>
  <c r="Z56" i="1"/>
  <c r="AB56" i="1" s="1"/>
  <c r="B57" i="1"/>
  <c r="G57" i="1"/>
  <c r="L57" i="1"/>
  <c r="R57" i="1"/>
  <c r="V57" i="1"/>
  <c r="W57" i="1" s="1"/>
  <c r="X57" i="1"/>
  <c r="Y57" i="1" s="1"/>
  <c r="Z57" i="1"/>
  <c r="AA57" i="1" s="1"/>
  <c r="B58" i="1"/>
  <c r="G58" i="1"/>
  <c r="L58" i="1"/>
  <c r="R58" i="1"/>
  <c r="V58" i="1"/>
  <c r="W58" i="1" s="1"/>
  <c r="X58" i="1"/>
  <c r="Y58" i="1" s="1"/>
  <c r="Z58" i="1"/>
  <c r="AA58" i="1" s="1"/>
  <c r="B59" i="1"/>
  <c r="G59" i="1"/>
  <c r="L59" i="1"/>
  <c r="R59" i="1"/>
  <c r="V59" i="1"/>
  <c r="W59" i="1" s="1"/>
  <c r="X59" i="1"/>
  <c r="Y59" i="1" s="1"/>
  <c r="Z59" i="1"/>
  <c r="AA59" i="1" s="1"/>
  <c r="B60" i="1"/>
  <c r="G60" i="1"/>
  <c r="L60" i="1"/>
  <c r="R60" i="1"/>
  <c r="V60" i="1"/>
  <c r="W60" i="1" s="1"/>
  <c r="X60" i="1"/>
  <c r="Y60" i="1" s="1"/>
  <c r="Z60" i="1"/>
  <c r="AA60" i="1" s="1"/>
  <c r="B61" i="1"/>
  <c r="G61" i="1"/>
  <c r="L61" i="1"/>
  <c r="R61" i="1"/>
  <c r="V61" i="1"/>
  <c r="W61" i="1" s="1"/>
  <c r="X61" i="1"/>
  <c r="Y61" i="1" s="1"/>
  <c r="Z61" i="1"/>
  <c r="AA61" i="1" s="1"/>
  <c r="B62" i="1"/>
  <c r="G62" i="1"/>
  <c r="L62" i="1"/>
  <c r="R62" i="1"/>
  <c r="V62" i="1"/>
  <c r="W62" i="1" s="1"/>
  <c r="X62" i="1"/>
  <c r="Y62" i="1" s="1"/>
  <c r="Z62" i="1"/>
  <c r="B63" i="1"/>
  <c r="G63" i="1"/>
  <c r="L63" i="1"/>
  <c r="R63" i="1"/>
  <c r="V63" i="1"/>
  <c r="W63" i="1" s="1"/>
  <c r="X63" i="1"/>
  <c r="Y63" i="1" s="1"/>
  <c r="Z63" i="1"/>
  <c r="AA63" i="1" s="1"/>
  <c r="B64" i="1"/>
  <c r="G64" i="1"/>
  <c r="L64" i="1"/>
  <c r="R64" i="1"/>
  <c r="V64" i="1"/>
  <c r="W64" i="1" s="1"/>
  <c r="X64" i="1"/>
  <c r="Y64" i="1" s="1"/>
  <c r="Z64" i="1"/>
  <c r="B65" i="1"/>
  <c r="G65" i="1"/>
  <c r="L65" i="1"/>
  <c r="R65" i="1"/>
  <c r="V65" i="1"/>
  <c r="W65" i="1" s="1"/>
  <c r="X65" i="1"/>
  <c r="Y65" i="1" s="1"/>
  <c r="Z65" i="1"/>
  <c r="AB65" i="1" s="1"/>
  <c r="AC65" i="1" s="1"/>
  <c r="B66" i="1"/>
  <c r="G66" i="1"/>
  <c r="L66" i="1"/>
  <c r="R66" i="1"/>
  <c r="V66" i="1"/>
  <c r="W66" i="1" s="1"/>
  <c r="X66" i="1"/>
  <c r="Y66" i="1" s="1"/>
  <c r="Z66" i="1"/>
  <c r="B67" i="1"/>
  <c r="G67" i="1"/>
  <c r="L67" i="1"/>
  <c r="R67" i="1"/>
  <c r="V67" i="1"/>
  <c r="W67" i="1" s="1"/>
  <c r="X67" i="1"/>
  <c r="Y67" i="1" s="1"/>
  <c r="Z67" i="1"/>
  <c r="AA67" i="1" s="1"/>
  <c r="B68" i="1"/>
  <c r="G68" i="1"/>
  <c r="L68" i="1"/>
  <c r="R68" i="1"/>
  <c r="V68" i="1"/>
  <c r="W68" i="1" s="1"/>
  <c r="X68" i="1"/>
  <c r="Y68" i="1" s="1"/>
  <c r="Z68" i="1"/>
  <c r="B69" i="1"/>
  <c r="G69" i="1"/>
  <c r="L69" i="1"/>
  <c r="R69" i="1"/>
  <c r="V69" i="1"/>
  <c r="W69" i="1" s="1"/>
  <c r="X69" i="1"/>
  <c r="Y69" i="1" s="1"/>
  <c r="Z69" i="1"/>
  <c r="AA69" i="1" s="1"/>
  <c r="B70" i="1"/>
  <c r="G70" i="1"/>
  <c r="L70" i="1"/>
  <c r="R70" i="1"/>
  <c r="V70" i="1"/>
  <c r="W70" i="1" s="1"/>
  <c r="X70" i="1"/>
  <c r="Y70" i="1" s="1"/>
  <c r="Z70" i="1"/>
  <c r="B71" i="1"/>
  <c r="G71" i="1"/>
  <c r="L71" i="1"/>
  <c r="R71" i="1"/>
  <c r="V71" i="1"/>
  <c r="W71" i="1" s="1"/>
  <c r="X71" i="1"/>
  <c r="Y71" i="1" s="1"/>
  <c r="Z71" i="1"/>
  <c r="B72" i="1"/>
  <c r="G72" i="1"/>
  <c r="L72" i="1"/>
  <c r="R72" i="1"/>
  <c r="V72" i="1"/>
  <c r="W72" i="1" s="1"/>
  <c r="X72" i="1"/>
  <c r="Y72" i="1" s="1"/>
  <c r="Z72" i="1"/>
  <c r="AB72" i="1" s="1"/>
  <c r="B73" i="1"/>
  <c r="G73" i="1"/>
  <c r="L73" i="1"/>
  <c r="R73" i="1"/>
  <c r="V73" i="1"/>
  <c r="W73" i="1" s="1"/>
  <c r="X73" i="1"/>
  <c r="Y73" i="1" s="1"/>
  <c r="Z73" i="1"/>
  <c r="AB73" i="1" s="1"/>
  <c r="B74" i="1"/>
  <c r="G74" i="1"/>
  <c r="L74" i="1"/>
  <c r="R74" i="1"/>
  <c r="V74" i="1"/>
  <c r="W74" i="1" s="1"/>
  <c r="X74" i="1"/>
  <c r="Y74" i="1" s="1"/>
  <c r="Z74" i="1"/>
  <c r="B75" i="1"/>
  <c r="G75" i="1"/>
  <c r="L75" i="1"/>
  <c r="R75" i="1"/>
  <c r="V75" i="1"/>
  <c r="W75" i="1" s="1"/>
  <c r="X75" i="1"/>
  <c r="Y75" i="1" s="1"/>
  <c r="Z75" i="1"/>
  <c r="AA75" i="1" s="1"/>
  <c r="B76" i="1"/>
  <c r="G76" i="1"/>
  <c r="L76" i="1"/>
  <c r="R76" i="1"/>
  <c r="V76" i="1"/>
  <c r="W76" i="1" s="1"/>
  <c r="X76" i="1"/>
  <c r="Y76" i="1" s="1"/>
  <c r="Z76" i="1"/>
  <c r="B77" i="1"/>
  <c r="G77" i="1"/>
  <c r="L77" i="1"/>
  <c r="R77" i="1"/>
  <c r="V77" i="1"/>
  <c r="W77" i="1"/>
  <c r="X77" i="1"/>
  <c r="Y77" i="1" s="1"/>
  <c r="Z77" i="1"/>
  <c r="B78" i="1"/>
  <c r="G78" i="1"/>
  <c r="L78" i="1"/>
  <c r="R78" i="1"/>
  <c r="V78" i="1"/>
  <c r="W78" i="1"/>
  <c r="X78" i="1"/>
  <c r="Y78" i="1" s="1"/>
  <c r="Z78" i="1"/>
  <c r="AA78" i="1" s="1"/>
  <c r="AB78" i="1"/>
  <c r="B79" i="1"/>
  <c r="G79" i="1"/>
  <c r="L79" i="1"/>
  <c r="R79" i="1"/>
  <c r="V79" i="1"/>
  <c r="W79" i="1" s="1"/>
  <c r="X79" i="1"/>
  <c r="Y79" i="1" s="1"/>
  <c r="Z79" i="1"/>
  <c r="B80" i="1"/>
  <c r="G80" i="1"/>
  <c r="L80" i="1"/>
  <c r="R80" i="1"/>
  <c r="V80" i="1"/>
  <c r="W80" i="1" s="1"/>
  <c r="X80" i="1"/>
  <c r="Y80" i="1" s="1"/>
  <c r="Z80" i="1"/>
  <c r="B81" i="1"/>
  <c r="G81" i="1"/>
  <c r="L81" i="1"/>
  <c r="R81" i="1"/>
  <c r="V81" i="1"/>
  <c r="W81" i="1" s="1"/>
  <c r="X81" i="1"/>
  <c r="Y81" i="1" s="1"/>
  <c r="Z81" i="1"/>
  <c r="B82" i="1"/>
  <c r="G82" i="1"/>
  <c r="L82" i="1"/>
  <c r="R82" i="1"/>
  <c r="V82" i="1"/>
  <c r="W82" i="1"/>
  <c r="X82" i="1"/>
  <c r="Y82" i="1" s="1"/>
  <c r="Z82" i="1"/>
  <c r="AA82" i="1"/>
  <c r="AB82" i="1"/>
  <c r="AD82" i="1" s="1"/>
  <c r="B83" i="1"/>
  <c r="G83" i="1"/>
  <c r="L83" i="1"/>
  <c r="R83" i="1"/>
  <c r="V83" i="1"/>
  <c r="W83" i="1" s="1"/>
  <c r="X83" i="1"/>
  <c r="Y83" i="1" s="1"/>
  <c r="Z83" i="1"/>
  <c r="B84" i="1"/>
  <c r="G84" i="1"/>
  <c r="L84" i="1"/>
  <c r="R84" i="1"/>
  <c r="V84" i="1"/>
  <c r="W84" i="1" s="1"/>
  <c r="X84" i="1"/>
  <c r="Y84" i="1" s="1"/>
  <c r="Z84" i="1"/>
  <c r="AB84" i="1" s="1"/>
  <c r="AD84" i="1" s="1"/>
  <c r="AA84" i="1"/>
  <c r="AC84" i="1"/>
  <c r="B85" i="1"/>
  <c r="G85" i="1"/>
  <c r="L85" i="1"/>
  <c r="R85" i="1"/>
  <c r="V85" i="1"/>
  <c r="W85" i="1" s="1"/>
  <c r="X85" i="1"/>
  <c r="Y85" i="1" s="1"/>
  <c r="Z85" i="1"/>
  <c r="AA85" i="1" s="1"/>
  <c r="B86" i="1"/>
  <c r="G86" i="1"/>
  <c r="L86" i="1"/>
  <c r="R86" i="1"/>
  <c r="V86" i="1"/>
  <c r="W86" i="1" s="1"/>
  <c r="X86" i="1"/>
  <c r="Y86" i="1" s="1"/>
  <c r="Z86" i="1"/>
  <c r="AB86" i="1" s="1"/>
  <c r="B87" i="1"/>
  <c r="G87" i="1"/>
  <c r="L87" i="1"/>
  <c r="R87" i="1"/>
  <c r="V87" i="1"/>
  <c r="W87" i="1" s="1"/>
  <c r="X87" i="1"/>
  <c r="Y87" i="1" s="1"/>
  <c r="Z87" i="1"/>
  <c r="AA87" i="1" s="1"/>
  <c r="B88" i="1"/>
  <c r="G88" i="1"/>
  <c r="L88" i="1"/>
  <c r="R88" i="1"/>
  <c r="V88" i="1"/>
  <c r="W88" i="1" s="1"/>
  <c r="X88" i="1"/>
  <c r="Y88" i="1" s="1"/>
  <c r="Z88" i="1"/>
  <c r="AB88" i="1" s="1"/>
  <c r="AD88" i="1" s="1"/>
  <c r="AA88" i="1"/>
  <c r="AC88" i="1"/>
  <c r="B89" i="1"/>
  <c r="G89" i="1"/>
  <c r="L89" i="1"/>
  <c r="R89" i="1"/>
  <c r="V89" i="1"/>
  <c r="W89" i="1" s="1"/>
  <c r="X89" i="1"/>
  <c r="Y89" i="1" s="1"/>
  <c r="Z89" i="1"/>
  <c r="B90" i="1"/>
  <c r="G90" i="1"/>
  <c r="L90" i="1"/>
  <c r="R90" i="1"/>
  <c r="V90" i="1"/>
  <c r="W90" i="1" s="1"/>
  <c r="X90" i="1"/>
  <c r="Y90" i="1" s="1"/>
  <c r="Z90" i="1"/>
  <c r="AB90" i="1" s="1"/>
  <c r="AD90" i="1" s="1"/>
  <c r="B91" i="1"/>
  <c r="G91" i="1"/>
  <c r="L91" i="1"/>
  <c r="R91" i="1"/>
  <c r="V91" i="1"/>
  <c r="W91" i="1" s="1"/>
  <c r="X91" i="1"/>
  <c r="Y91" i="1" s="1"/>
  <c r="Z91" i="1"/>
  <c r="AA91" i="1" s="1"/>
  <c r="B92" i="1"/>
  <c r="G92" i="1"/>
  <c r="L92" i="1"/>
  <c r="R92" i="1"/>
  <c r="V92" i="1"/>
  <c r="W92" i="1" s="1"/>
  <c r="X92" i="1"/>
  <c r="Y92" i="1" s="1"/>
  <c r="Z92" i="1"/>
  <c r="AB92" i="1" s="1"/>
  <c r="B93" i="1"/>
  <c r="G93" i="1"/>
  <c r="L93" i="1"/>
  <c r="R93" i="1"/>
  <c r="V93" i="1"/>
  <c r="W93" i="1" s="1"/>
  <c r="X93" i="1"/>
  <c r="Y93" i="1" s="1"/>
  <c r="Z93" i="1"/>
  <c r="AB93" i="1" s="1"/>
  <c r="AC93" i="1" s="1"/>
  <c r="B94" i="1"/>
  <c r="G94" i="1"/>
  <c r="L94" i="1"/>
  <c r="R94" i="1"/>
  <c r="V94" i="1"/>
  <c r="W94" i="1" s="1"/>
  <c r="X94" i="1"/>
  <c r="Y94" i="1" s="1"/>
  <c r="Z94" i="1"/>
  <c r="AA94" i="1" s="1"/>
  <c r="B95" i="1"/>
  <c r="G95" i="1"/>
  <c r="L95" i="1"/>
  <c r="R95" i="1"/>
  <c r="V95" i="1"/>
  <c r="W95" i="1" s="1"/>
  <c r="X95" i="1"/>
  <c r="Y95" i="1" s="1"/>
  <c r="Z95" i="1"/>
  <c r="AA95" i="1" s="1"/>
  <c r="B96" i="1"/>
  <c r="G96" i="1"/>
  <c r="L96" i="1"/>
  <c r="R96" i="1"/>
  <c r="V96" i="1"/>
  <c r="W96" i="1" s="1"/>
  <c r="X96" i="1"/>
  <c r="Y96" i="1" s="1"/>
  <c r="Z96" i="1"/>
  <c r="AA96" i="1" s="1"/>
  <c r="B97" i="1"/>
  <c r="G97" i="1"/>
  <c r="L97" i="1"/>
  <c r="R97" i="1"/>
  <c r="V97" i="1"/>
  <c r="W97" i="1" s="1"/>
  <c r="X97" i="1"/>
  <c r="Y97" i="1" s="1"/>
  <c r="Z97" i="1"/>
  <c r="AB97" i="1" s="1"/>
  <c r="AC97" i="1" s="1"/>
  <c r="AA97" i="1"/>
  <c r="B98" i="1"/>
  <c r="G98" i="1"/>
  <c r="L98" i="1"/>
  <c r="R98" i="1"/>
  <c r="V98" i="1"/>
  <c r="W98" i="1" s="1"/>
  <c r="X98" i="1"/>
  <c r="Y98" i="1" s="1"/>
  <c r="Z98" i="1"/>
  <c r="AA98" i="1"/>
  <c r="AB98" i="1"/>
  <c r="AC98" i="1" s="1"/>
  <c r="G99" i="1"/>
  <c r="L99" i="1"/>
  <c r="R99" i="1"/>
  <c r="V99" i="1"/>
  <c r="W99" i="1" s="1"/>
  <c r="X99" i="1"/>
  <c r="Y99" i="1" s="1"/>
  <c r="Z99" i="1"/>
  <c r="B100" i="1"/>
  <c r="G100" i="1"/>
  <c r="L100" i="1"/>
  <c r="R100" i="1"/>
  <c r="V100" i="1"/>
  <c r="W100" i="1"/>
  <c r="X100" i="1"/>
  <c r="Y100" i="1" s="1"/>
  <c r="Z100" i="1"/>
  <c r="AA100" i="1" s="1"/>
  <c r="B101" i="1"/>
  <c r="G101" i="1"/>
  <c r="L101" i="1"/>
  <c r="R101" i="1"/>
  <c r="V101" i="1"/>
  <c r="W101" i="1"/>
  <c r="X101" i="1"/>
  <c r="Y101" i="1" s="1"/>
  <c r="Z101" i="1"/>
  <c r="AA101" i="1" s="1"/>
  <c r="AB101" i="1"/>
  <c r="B102" i="1"/>
  <c r="G102" i="1"/>
  <c r="L102" i="1"/>
  <c r="R102" i="1"/>
  <c r="V102" i="1"/>
  <c r="W102" i="1" s="1"/>
  <c r="X102" i="1"/>
  <c r="Y102" i="1" s="1"/>
  <c r="Z102" i="1"/>
  <c r="AA102" i="1" s="1"/>
  <c r="B103" i="1"/>
  <c r="G103" i="1"/>
  <c r="L103" i="1"/>
  <c r="R103" i="1"/>
  <c r="V103" i="1"/>
  <c r="W103" i="1"/>
  <c r="X103" i="1"/>
  <c r="Y103" i="1" s="1"/>
  <c r="Z103" i="1"/>
  <c r="AA103" i="1" s="1"/>
  <c r="B104" i="1"/>
  <c r="G104" i="1"/>
  <c r="L104" i="1"/>
  <c r="R104" i="1"/>
  <c r="V104" i="1"/>
  <c r="W104" i="1" s="1"/>
  <c r="X104" i="1"/>
  <c r="Y104" i="1" s="1"/>
  <c r="Z104" i="1"/>
  <c r="AB104" i="1" s="1"/>
  <c r="AC104" i="1" s="1"/>
  <c r="AA104" i="1"/>
  <c r="AD104" i="1"/>
  <c r="B105" i="1"/>
  <c r="G105" i="1"/>
  <c r="L105" i="1"/>
  <c r="R105" i="1"/>
  <c r="V105" i="1"/>
  <c r="W105" i="1" s="1"/>
  <c r="X105" i="1"/>
  <c r="Y105" i="1" s="1"/>
  <c r="Z105" i="1"/>
  <c r="B106" i="1"/>
  <c r="G106" i="1"/>
  <c r="L106" i="1"/>
  <c r="R106" i="1"/>
  <c r="V106" i="1"/>
  <c r="W106" i="1" s="1"/>
  <c r="X106" i="1"/>
  <c r="Y106" i="1" s="1"/>
  <c r="Z106" i="1"/>
  <c r="B107" i="1"/>
  <c r="G107" i="1"/>
  <c r="L107" i="1"/>
  <c r="R107" i="1"/>
  <c r="V107" i="1"/>
  <c r="W107" i="1" s="1"/>
  <c r="X107" i="1"/>
  <c r="Y107" i="1" s="1"/>
  <c r="Z107" i="1"/>
  <c r="AB107" i="1" s="1"/>
  <c r="B108" i="1"/>
  <c r="G108" i="1"/>
  <c r="L108" i="1"/>
  <c r="R108" i="1"/>
  <c r="V108" i="1"/>
  <c r="W108" i="1" s="1"/>
  <c r="X108" i="1"/>
  <c r="Y108" i="1" s="1"/>
  <c r="Z108" i="1"/>
  <c r="AA108" i="1"/>
  <c r="AB108" i="1"/>
  <c r="B109" i="1"/>
  <c r="G109" i="1"/>
  <c r="L109" i="1"/>
  <c r="R109" i="1"/>
  <c r="V109" i="1"/>
  <c r="W109" i="1" s="1"/>
  <c r="X109" i="1"/>
  <c r="Y109" i="1" s="1"/>
  <c r="Z109" i="1"/>
  <c r="AB109" i="1" s="1"/>
  <c r="B110" i="1"/>
  <c r="G110" i="1"/>
  <c r="L110" i="1"/>
  <c r="R110" i="1"/>
  <c r="V110" i="1"/>
  <c r="W110" i="1" s="1"/>
  <c r="X110" i="1"/>
  <c r="Y110" i="1" s="1"/>
  <c r="Z110" i="1"/>
  <c r="AA110" i="1" s="1"/>
  <c r="B111" i="1"/>
  <c r="G111" i="1"/>
  <c r="L111" i="1"/>
  <c r="R111" i="1"/>
  <c r="V111" i="1"/>
  <c r="W111" i="1" s="1"/>
  <c r="X111" i="1"/>
  <c r="Y111" i="1" s="1"/>
  <c r="Z111" i="1"/>
  <c r="AA111" i="1" s="1"/>
  <c r="B112" i="1"/>
  <c r="G112" i="1"/>
  <c r="L112" i="1"/>
  <c r="R112" i="1"/>
  <c r="V112" i="1"/>
  <c r="W112" i="1"/>
  <c r="X112" i="1"/>
  <c r="Y112" i="1" s="1"/>
  <c r="Z112" i="1"/>
  <c r="AA112" i="1" s="1"/>
  <c r="AB112" i="1"/>
  <c r="AC112" i="1" s="1"/>
  <c r="B113" i="1"/>
  <c r="G113" i="1"/>
  <c r="L113" i="1"/>
  <c r="R113" i="1"/>
  <c r="V113" i="1"/>
  <c r="W113" i="1" s="1"/>
  <c r="X113" i="1"/>
  <c r="Y113" i="1" s="1"/>
  <c r="Z113" i="1"/>
  <c r="AA113" i="1" s="1"/>
  <c r="B114" i="1"/>
  <c r="G114" i="1"/>
  <c r="L114" i="1"/>
  <c r="R114" i="1"/>
  <c r="V114" i="1"/>
  <c r="W114" i="1" s="1"/>
  <c r="X114" i="1"/>
  <c r="Y114" i="1" s="1"/>
  <c r="Z114" i="1"/>
  <c r="B115" i="1"/>
  <c r="G115" i="1"/>
  <c r="L115" i="1"/>
  <c r="R115" i="1"/>
  <c r="V115" i="1"/>
  <c r="W115" i="1" s="1"/>
  <c r="X115" i="1"/>
  <c r="Y115" i="1" s="1"/>
  <c r="Z115" i="1"/>
  <c r="AB115" i="1" s="1"/>
  <c r="AA115" i="1"/>
  <c r="B116" i="1"/>
  <c r="G116" i="1"/>
  <c r="L116" i="1"/>
  <c r="R116" i="1"/>
  <c r="V116" i="1"/>
  <c r="W116" i="1" s="1"/>
  <c r="X116" i="1"/>
  <c r="Y116" i="1" s="1"/>
  <c r="Z116" i="1"/>
  <c r="B117" i="1"/>
  <c r="G117" i="1"/>
  <c r="L117" i="1"/>
  <c r="R117" i="1"/>
  <c r="V117" i="1"/>
  <c r="W117" i="1" s="1"/>
  <c r="X117" i="1"/>
  <c r="Y117" i="1" s="1"/>
  <c r="Z117" i="1"/>
  <c r="AB117" i="1" s="1"/>
  <c r="B118" i="1"/>
  <c r="G118" i="1"/>
  <c r="L118" i="1"/>
  <c r="R118" i="1"/>
  <c r="V118" i="1"/>
  <c r="W118" i="1" s="1"/>
  <c r="X118" i="1"/>
  <c r="Y118" i="1" s="1"/>
  <c r="Z118" i="1"/>
  <c r="AA118" i="1" s="1"/>
  <c r="AB118" i="1"/>
  <c r="AC118" i="1"/>
  <c r="AD118" i="1"/>
  <c r="B119" i="1"/>
  <c r="G119" i="1"/>
  <c r="L119" i="1"/>
  <c r="R119" i="1"/>
  <c r="V119" i="1"/>
  <c r="W119" i="1" s="1"/>
  <c r="X119" i="1"/>
  <c r="Y119" i="1"/>
  <c r="Z119" i="1"/>
  <c r="AA119" i="1" s="1"/>
  <c r="B120" i="1"/>
  <c r="G120" i="1"/>
  <c r="L120" i="1"/>
  <c r="R120" i="1"/>
  <c r="V120" i="1"/>
  <c r="W120" i="1" s="1"/>
  <c r="X120" i="1"/>
  <c r="Y120" i="1" s="1"/>
  <c r="Z120" i="1"/>
  <c r="B121" i="1"/>
  <c r="G121" i="1"/>
  <c r="L121" i="1"/>
  <c r="R121" i="1"/>
  <c r="V121" i="1"/>
  <c r="W121" i="1" s="1"/>
  <c r="X121" i="1"/>
  <c r="Y121" i="1"/>
  <c r="Z121" i="1"/>
  <c r="G122" i="1"/>
  <c r="L122" i="1"/>
  <c r="R122" i="1"/>
  <c r="V122" i="1"/>
  <c r="W122" i="1" s="1"/>
  <c r="X122" i="1"/>
  <c r="Y122" i="1" s="1"/>
  <c r="Z122" i="1"/>
  <c r="AB122" i="1" s="1"/>
  <c r="B123" i="1"/>
  <c r="G123" i="1"/>
  <c r="L123" i="1"/>
  <c r="R123" i="1"/>
  <c r="V123" i="1"/>
  <c r="W123" i="1" s="1"/>
  <c r="X123" i="1"/>
  <c r="Y123" i="1" s="1"/>
  <c r="Z123" i="1"/>
  <c r="AA123" i="1" s="1"/>
  <c r="B124" i="1"/>
  <c r="G124" i="1"/>
  <c r="L124" i="1"/>
  <c r="R124" i="1"/>
  <c r="V124" i="1"/>
  <c r="W124" i="1" s="1"/>
  <c r="X124" i="1"/>
  <c r="Y124" i="1" s="1"/>
  <c r="Z124" i="1"/>
  <c r="B125" i="1"/>
  <c r="G125" i="1"/>
  <c r="L125" i="1"/>
  <c r="R125" i="1"/>
  <c r="V125" i="1"/>
  <c r="W125" i="1" s="1"/>
  <c r="X125" i="1"/>
  <c r="Y125" i="1" s="1"/>
  <c r="Z125" i="1"/>
  <c r="AA125" i="1" s="1"/>
  <c r="B126" i="1"/>
  <c r="G126" i="1"/>
  <c r="L126" i="1"/>
  <c r="R126" i="1"/>
  <c r="V126" i="1"/>
  <c r="W126" i="1"/>
  <c r="X126" i="1"/>
  <c r="Y126" i="1" s="1"/>
  <c r="Z126" i="1"/>
  <c r="AA126" i="1" s="1"/>
  <c r="B127" i="1"/>
  <c r="G127" i="1"/>
  <c r="L127" i="1"/>
  <c r="R127" i="1"/>
  <c r="V127" i="1"/>
  <c r="W127" i="1" s="1"/>
  <c r="X127" i="1"/>
  <c r="Y127" i="1" s="1"/>
  <c r="Z127" i="1"/>
  <c r="AB127" i="1" s="1"/>
  <c r="B128" i="1"/>
  <c r="G128" i="1"/>
  <c r="L128" i="1"/>
  <c r="R128" i="1"/>
  <c r="V128" i="1"/>
  <c r="W128" i="1"/>
  <c r="X128" i="1"/>
  <c r="Y128" i="1" s="1"/>
  <c r="Z128" i="1"/>
  <c r="AB128" i="1" s="1"/>
  <c r="AC128" i="1" s="1"/>
  <c r="AA128" i="1"/>
  <c r="B129" i="1"/>
  <c r="G129" i="1"/>
  <c r="L129" i="1"/>
  <c r="R129" i="1"/>
  <c r="V129" i="1"/>
  <c r="W129" i="1" s="1"/>
  <c r="X129" i="1"/>
  <c r="Y129" i="1" s="1"/>
  <c r="Z129" i="1"/>
  <c r="B130" i="1"/>
  <c r="G130" i="1"/>
  <c r="L130" i="1"/>
  <c r="R130" i="1"/>
  <c r="V130" i="1"/>
  <c r="W130" i="1" s="1"/>
  <c r="X130" i="1"/>
  <c r="Y130" i="1" s="1"/>
  <c r="Z130" i="1"/>
  <c r="AB130" i="1" s="1"/>
  <c r="AA130" i="1"/>
  <c r="B131" i="1"/>
  <c r="G131" i="1"/>
  <c r="L131" i="1"/>
  <c r="R131" i="1"/>
  <c r="V131" i="1"/>
  <c r="W131" i="1" s="1"/>
  <c r="X131" i="1"/>
  <c r="Y131" i="1" s="1"/>
  <c r="Z131" i="1"/>
  <c r="AB131" i="1" s="1"/>
  <c r="B132" i="1"/>
  <c r="G132" i="1"/>
  <c r="L132" i="1"/>
  <c r="R132" i="1"/>
  <c r="V132" i="1"/>
  <c r="W132" i="1"/>
  <c r="X132" i="1"/>
  <c r="Y132" i="1" s="1"/>
  <c r="Z132" i="1"/>
  <c r="B133" i="1"/>
  <c r="G133" i="1"/>
  <c r="L133" i="1"/>
  <c r="R133" i="1"/>
  <c r="V133" i="1"/>
  <c r="W133" i="1" s="1"/>
  <c r="X133" i="1"/>
  <c r="Y133" i="1" s="1"/>
  <c r="Z133" i="1"/>
  <c r="AA133" i="1" s="1"/>
  <c r="B134" i="1"/>
  <c r="G134" i="1"/>
  <c r="L134" i="1"/>
  <c r="R134" i="1"/>
  <c r="V134" i="1"/>
  <c r="W134" i="1" s="1"/>
  <c r="X134" i="1"/>
  <c r="Y134" i="1" s="1"/>
  <c r="Z134" i="1"/>
  <c r="AA134" i="1" s="1"/>
  <c r="B135" i="1"/>
  <c r="G135" i="1"/>
  <c r="L135" i="1"/>
  <c r="R135" i="1"/>
  <c r="V135" i="1"/>
  <c r="W135" i="1" s="1"/>
  <c r="X135" i="1"/>
  <c r="Y135" i="1" s="1"/>
  <c r="Z135" i="1"/>
  <c r="AA135" i="1"/>
  <c r="AB135" i="1"/>
  <c r="AC135" i="1" s="1"/>
  <c r="B136" i="1"/>
  <c r="G136" i="1"/>
  <c r="L136" i="1"/>
  <c r="R136" i="1"/>
  <c r="V136" i="1"/>
  <c r="W136" i="1"/>
  <c r="X136" i="1"/>
  <c r="Y136" i="1" s="1"/>
  <c r="Z136" i="1"/>
  <c r="AA136" i="1"/>
  <c r="AB136" i="1"/>
  <c r="AC136" i="1" s="1"/>
  <c r="B137" i="1"/>
  <c r="G137" i="1"/>
  <c r="L137" i="1"/>
  <c r="R137" i="1"/>
  <c r="V137" i="1"/>
  <c r="W137" i="1" s="1"/>
  <c r="X137" i="1"/>
  <c r="Y137" i="1"/>
  <c r="Z137" i="1"/>
  <c r="B138" i="1"/>
  <c r="G138" i="1"/>
  <c r="L138" i="1"/>
  <c r="R138" i="1"/>
  <c r="V138" i="1"/>
  <c r="W138" i="1" s="1"/>
  <c r="X138" i="1"/>
  <c r="Y138" i="1"/>
  <c r="Z138" i="1"/>
  <c r="AB138" i="1" s="1"/>
  <c r="B139" i="1"/>
  <c r="G139" i="1"/>
  <c r="L139" i="1"/>
  <c r="R139" i="1"/>
  <c r="V139" i="1"/>
  <c r="W139" i="1" s="1"/>
  <c r="X139" i="1"/>
  <c r="Y139" i="1" s="1"/>
  <c r="Z139" i="1"/>
  <c r="B140" i="1"/>
  <c r="G140" i="1"/>
  <c r="L140" i="1"/>
  <c r="R140" i="1"/>
  <c r="V140" i="1"/>
  <c r="W140" i="1" s="1"/>
  <c r="X140" i="1"/>
  <c r="Y140" i="1" s="1"/>
  <c r="Z140" i="1"/>
  <c r="AB140" i="1" s="1"/>
  <c r="AD140" i="1" s="1"/>
  <c r="B141" i="1"/>
  <c r="G141" i="1"/>
  <c r="L141" i="1"/>
  <c r="R141" i="1"/>
  <c r="V141" i="1"/>
  <c r="W141" i="1" s="1"/>
  <c r="X141" i="1"/>
  <c r="Y141" i="1" s="1"/>
  <c r="Z141" i="1"/>
  <c r="AA141" i="1" s="1"/>
  <c r="AB141" i="1"/>
  <c r="B142" i="1"/>
  <c r="G142" i="1"/>
  <c r="L142" i="1"/>
  <c r="R142" i="1"/>
  <c r="V142" i="1"/>
  <c r="W142" i="1" s="1"/>
  <c r="X142" i="1"/>
  <c r="Y142" i="1" s="1"/>
  <c r="Z142" i="1"/>
  <c r="B143" i="1"/>
  <c r="G143" i="1"/>
  <c r="L143" i="1"/>
  <c r="R143" i="1"/>
  <c r="V143" i="1"/>
  <c r="W143" i="1" s="1"/>
  <c r="X143" i="1"/>
  <c r="Y143" i="1" s="1"/>
  <c r="Z143" i="1"/>
  <c r="B144" i="1"/>
  <c r="G144" i="1"/>
  <c r="L144" i="1"/>
  <c r="R144" i="1"/>
  <c r="V144" i="1"/>
  <c r="W144" i="1" s="1"/>
  <c r="X144" i="1"/>
  <c r="Y144" i="1" s="1"/>
  <c r="Z144" i="1"/>
  <c r="AB144" i="1" s="1"/>
  <c r="B145" i="1"/>
  <c r="G145" i="1"/>
  <c r="L145" i="1"/>
  <c r="R145" i="1"/>
  <c r="V145" i="1"/>
  <c r="W145" i="1" s="1"/>
  <c r="X145" i="1"/>
  <c r="Y145" i="1" s="1"/>
  <c r="Z145" i="1"/>
  <c r="G146" i="1"/>
  <c r="L146" i="1"/>
  <c r="R146" i="1"/>
  <c r="V146" i="1"/>
  <c r="W146" i="1" s="1"/>
  <c r="X146" i="1"/>
  <c r="Y146" i="1" s="1"/>
  <c r="Z146" i="1"/>
  <c r="AB146" i="1" s="1"/>
  <c r="B147" i="1"/>
  <c r="G147" i="1"/>
  <c r="L147" i="1"/>
  <c r="R147" i="1"/>
  <c r="V147" i="1"/>
  <c r="W147" i="1" s="1"/>
  <c r="X147" i="1"/>
  <c r="Y147" i="1" s="1"/>
  <c r="Z147" i="1"/>
  <c r="AB147" i="1" s="1"/>
  <c r="AD147" i="1" s="1"/>
  <c r="AA147" i="1"/>
  <c r="B148" i="1"/>
  <c r="G148" i="1"/>
  <c r="L148" i="1"/>
  <c r="R148" i="1"/>
  <c r="V148" i="1"/>
  <c r="W148" i="1" s="1"/>
  <c r="X148" i="1"/>
  <c r="Y148" i="1" s="1"/>
  <c r="Z148" i="1"/>
  <c r="AA148" i="1" s="1"/>
  <c r="B149" i="1"/>
  <c r="G149" i="1"/>
  <c r="L149" i="1"/>
  <c r="R149" i="1"/>
  <c r="V149" i="1"/>
  <c r="W149" i="1" s="1"/>
  <c r="X149" i="1"/>
  <c r="Y149" i="1" s="1"/>
  <c r="Z149" i="1"/>
  <c r="B150" i="1"/>
  <c r="G150" i="1"/>
  <c r="L150" i="1"/>
  <c r="R150" i="1"/>
  <c r="V150" i="1"/>
  <c r="W150" i="1" s="1"/>
  <c r="X150" i="1"/>
  <c r="Y150" i="1" s="1"/>
  <c r="Z150" i="1"/>
  <c r="B151" i="1"/>
  <c r="G151" i="1"/>
  <c r="L151" i="1"/>
  <c r="R151" i="1"/>
  <c r="V151" i="1"/>
  <c r="W151" i="1" s="1"/>
  <c r="X151" i="1"/>
  <c r="Y151" i="1"/>
  <c r="Z151" i="1"/>
  <c r="AB151" i="1" s="1"/>
  <c r="B152" i="1"/>
  <c r="G152" i="1"/>
  <c r="L152" i="1"/>
  <c r="R152" i="1"/>
  <c r="V152" i="1"/>
  <c r="W152" i="1" s="1"/>
  <c r="X152" i="1"/>
  <c r="Y152" i="1"/>
  <c r="Z152" i="1"/>
  <c r="B153" i="1"/>
  <c r="G153" i="1"/>
  <c r="L153" i="1"/>
  <c r="R153" i="1"/>
  <c r="V153" i="1"/>
  <c r="W153" i="1" s="1"/>
  <c r="X153" i="1"/>
  <c r="Y153" i="1"/>
  <c r="Z153" i="1"/>
  <c r="AB153" i="1" s="1"/>
  <c r="AC153" i="1" s="1"/>
  <c r="B154" i="1"/>
  <c r="G154" i="1"/>
  <c r="L154" i="1"/>
  <c r="R154" i="1"/>
  <c r="V154" i="1"/>
  <c r="W154" i="1"/>
  <c r="X154" i="1"/>
  <c r="Y154" i="1" s="1"/>
  <c r="Z154" i="1"/>
  <c r="AA154" i="1" s="1"/>
  <c r="AB154" i="1"/>
  <c r="B155" i="1"/>
  <c r="G155" i="1"/>
  <c r="L155" i="1"/>
  <c r="R155" i="1"/>
  <c r="V155" i="1"/>
  <c r="W155" i="1" s="1"/>
  <c r="X155" i="1"/>
  <c r="Y155" i="1"/>
  <c r="Z155" i="1"/>
  <c r="AA155" i="1" s="1"/>
  <c r="B156" i="1"/>
  <c r="G156" i="1"/>
  <c r="L156" i="1"/>
  <c r="R156" i="1"/>
  <c r="V156" i="1"/>
  <c r="W156" i="1" s="1"/>
  <c r="X156" i="1"/>
  <c r="Y156" i="1" s="1"/>
  <c r="Z156" i="1"/>
  <c r="AA156" i="1" s="1"/>
  <c r="B157" i="1"/>
  <c r="G157" i="1"/>
  <c r="L157" i="1"/>
  <c r="R157" i="1"/>
  <c r="V157" i="1"/>
  <c r="W157" i="1" s="1"/>
  <c r="X157" i="1"/>
  <c r="Y157" i="1" s="1"/>
  <c r="Z157" i="1"/>
  <c r="AB157" i="1" s="1"/>
  <c r="AC157" i="1" s="1"/>
  <c r="AD157" i="1"/>
  <c r="B158" i="1"/>
  <c r="G158" i="1"/>
  <c r="L158" i="1"/>
  <c r="R158" i="1"/>
  <c r="V158" i="1"/>
  <c r="W158" i="1" s="1"/>
  <c r="X158" i="1"/>
  <c r="Y158" i="1" s="1"/>
  <c r="Z158" i="1"/>
  <c r="AA158" i="1"/>
  <c r="AB158" i="1"/>
  <c r="B159" i="1"/>
  <c r="G159" i="1"/>
  <c r="L159" i="1"/>
  <c r="R159" i="1"/>
  <c r="V159" i="1"/>
  <c r="W159" i="1" s="1"/>
  <c r="X159" i="1"/>
  <c r="Y159" i="1" s="1"/>
  <c r="Z159" i="1"/>
  <c r="AA159" i="1" s="1"/>
  <c r="B160" i="1"/>
  <c r="G160" i="1"/>
  <c r="L160" i="1"/>
  <c r="R160" i="1"/>
  <c r="V160" i="1"/>
  <c r="W160" i="1" s="1"/>
  <c r="X160" i="1"/>
  <c r="Y160" i="1" s="1"/>
  <c r="Z160" i="1"/>
  <c r="B161" i="1"/>
  <c r="G161" i="1"/>
  <c r="L161" i="1"/>
  <c r="R161" i="1"/>
  <c r="V161" i="1"/>
  <c r="W161" i="1" s="1"/>
  <c r="X161" i="1"/>
  <c r="Y161" i="1" s="1"/>
  <c r="Z161" i="1"/>
  <c r="B162" i="1"/>
  <c r="G162" i="1"/>
  <c r="L162" i="1"/>
  <c r="R162" i="1"/>
  <c r="V162" i="1"/>
  <c r="W162" i="1"/>
  <c r="X162" i="1"/>
  <c r="Y162" i="1" s="1"/>
  <c r="Z162" i="1"/>
  <c r="AA162" i="1" s="1"/>
  <c r="AB162" i="1"/>
  <c r="B163" i="1"/>
  <c r="G163" i="1"/>
  <c r="L163" i="1"/>
  <c r="R163" i="1"/>
  <c r="V163" i="1"/>
  <c r="W163" i="1" s="1"/>
  <c r="X163" i="1"/>
  <c r="Y163" i="1" s="1"/>
  <c r="Z163" i="1"/>
  <c r="B164" i="1"/>
  <c r="G164" i="1"/>
  <c r="L164" i="1"/>
  <c r="R164" i="1"/>
  <c r="V164" i="1"/>
  <c r="W164" i="1" s="1"/>
  <c r="X164" i="1"/>
  <c r="Y164" i="1" s="1"/>
  <c r="Z164" i="1"/>
  <c r="AA164" i="1" s="1"/>
  <c r="AB164" i="1"/>
  <c r="B165" i="1"/>
  <c r="G165" i="1"/>
  <c r="L165" i="1"/>
  <c r="R165" i="1"/>
  <c r="V165" i="1"/>
  <c r="W165" i="1" s="1"/>
  <c r="X165" i="1"/>
  <c r="Y165" i="1" s="1"/>
  <c r="Z165" i="1"/>
  <c r="AB165" i="1" s="1"/>
  <c r="AD165" i="1" s="1"/>
  <c r="B166" i="1"/>
  <c r="G166" i="1"/>
  <c r="L166" i="1"/>
  <c r="R166" i="1"/>
  <c r="V166" i="1"/>
  <c r="W166" i="1" s="1"/>
  <c r="X166" i="1"/>
  <c r="Y166" i="1" s="1"/>
  <c r="Z166" i="1"/>
  <c r="AA166" i="1" s="1"/>
  <c r="B167" i="1"/>
  <c r="G167" i="1"/>
  <c r="L167" i="1"/>
  <c r="R167" i="1"/>
  <c r="V167" i="1"/>
  <c r="W167" i="1" s="1"/>
  <c r="X167" i="1"/>
  <c r="Y167" i="1" s="1"/>
  <c r="Z167" i="1"/>
  <c r="B168" i="1"/>
  <c r="G168" i="1"/>
  <c r="L168" i="1"/>
  <c r="R168" i="1"/>
  <c r="V168" i="1"/>
  <c r="W168" i="1" s="1"/>
  <c r="X168" i="1"/>
  <c r="Y168" i="1" s="1"/>
  <c r="Z168" i="1"/>
  <c r="AA168" i="1" s="1"/>
  <c r="B169" i="1"/>
  <c r="G169" i="1"/>
  <c r="L169" i="1"/>
  <c r="R169" i="1"/>
  <c r="V169" i="1"/>
  <c r="W169" i="1" s="1"/>
  <c r="X169" i="1"/>
  <c r="Y169" i="1" s="1"/>
  <c r="Z169" i="1"/>
  <c r="AB169" i="1" s="1"/>
  <c r="AD169" i="1" s="1"/>
  <c r="AA169" i="1"/>
  <c r="AC169" i="1"/>
  <c r="B170" i="1"/>
  <c r="G170" i="1"/>
  <c r="L170" i="1"/>
  <c r="R170" i="1"/>
  <c r="V170" i="1"/>
  <c r="W170" i="1" s="1"/>
  <c r="X170" i="1"/>
  <c r="Y170" i="1" s="1"/>
  <c r="Z170" i="1"/>
  <c r="AB170" i="1" s="1"/>
  <c r="B171" i="1"/>
  <c r="G171" i="1"/>
  <c r="L171" i="1"/>
  <c r="R171" i="1"/>
  <c r="V171" i="1"/>
  <c r="W171" i="1" s="1"/>
  <c r="X171" i="1"/>
  <c r="Y171" i="1" s="1"/>
  <c r="Z171" i="1"/>
  <c r="AB171" i="1" s="1"/>
  <c r="B172" i="1"/>
  <c r="G172" i="1"/>
  <c r="L172" i="1"/>
  <c r="R172" i="1"/>
  <c r="V172" i="1"/>
  <c r="W172" i="1" s="1"/>
  <c r="X172" i="1"/>
  <c r="Y172" i="1" s="1"/>
  <c r="Z172" i="1"/>
  <c r="B173" i="1"/>
  <c r="G173" i="1"/>
  <c r="L173" i="1"/>
  <c r="R173" i="1"/>
  <c r="V173" i="1"/>
  <c r="W173" i="1" s="1"/>
  <c r="X173" i="1"/>
  <c r="Y173" i="1" s="1"/>
  <c r="Z173" i="1"/>
  <c r="AA173" i="1" s="1"/>
  <c r="B174" i="1"/>
  <c r="G174" i="1"/>
  <c r="L174" i="1"/>
  <c r="R174" i="1"/>
  <c r="V174" i="1"/>
  <c r="W174" i="1" s="1"/>
  <c r="X174" i="1"/>
  <c r="Y174" i="1" s="1"/>
  <c r="Z174" i="1"/>
  <c r="AA174" i="1"/>
  <c r="AB174" i="1"/>
  <c r="B175" i="1"/>
  <c r="G175" i="1"/>
  <c r="L175" i="1"/>
  <c r="R175" i="1"/>
  <c r="V175" i="1"/>
  <c r="W175" i="1" s="1"/>
  <c r="X175" i="1"/>
  <c r="Y175" i="1"/>
  <c r="Z175" i="1"/>
  <c r="AA175" i="1" s="1"/>
  <c r="B176" i="1"/>
  <c r="G176" i="1"/>
  <c r="L176" i="1"/>
  <c r="R176" i="1"/>
  <c r="V176" i="1"/>
  <c r="W176" i="1" s="1"/>
  <c r="X176" i="1"/>
  <c r="Y176" i="1" s="1"/>
  <c r="Z176" i="1"/>
  <c r="AB176" i="1" s="1"/>
  <c r="B177" i="1"/>
  <c r="G177" i="1"/>
  <c r="L177" i="1"/>
  <c r="R177" i="1"/>
  <c r="V177" i="1"/>
  <c r="W177" i="1" s="1"/>
  <c r="X177" i="1"/>
  <c r="Y177" i="1" s="1"/>
  <c r="Z177" i="1"/>
  <c r="AB177" i="1" s="1"/>
  <c r="AC177" i="1" s="1"/>
  <c r="B178" i="1"/>
  <c r="G178" i="1"/>
  <c r="L178" i="1"/>
  <c r="R178" i="1"/>
  <c r="V178" i="1"/>
  <c r="W178" i="1"/>
  <c r="X178" i="1"/>
  <c r="Y178" i="1" s="1"/>
  <c r="Z178" i="1"/>
  <c r="AA178" i="1"/>
  <c r="AB178" i="1"/>
  <c r="AD178" i="1" s="1"/>
  <c r="B179" i="1"/>
  <c r="G179" i="1"/>
  <c r="L179" i="1"/>
  <c r="R179" i="1"/>
  <c r="V179" i="1"/>
  <c r="W179" i="1" s="1"/>
  <c r="X179" i="1"/>
  <c r="Y179" i="1"/>
  <c r="Z179" i="1"/>
  <c r="AA179" i="1" s="1"/>
  <c r="B180" i="1"/>
  <c r="G180" i="1"/>
  <c r="L180" i="1"/>
  <c r="R180" i="1"/>
  <c r="V180" i="1"/>
  <c r="W180" i="1" s="1"/>
  <c r="X180" i="1"/>
  <c r="Y180" i="1"/>
  <c r="Z180" i="1"/>
  <c r="AB180" i="1" s="1"/>
  <c r="B181" i="1"/>
  <c r="G181" i="1"/>
  <c r="L181" i="1"/>
  <c r="R181" i="1"/>
  <c r="V181" i="1"/>
  <c r="W181" i="1"/>
  <c r="X181" i="1"/>
  <c r="Y181" i="1" s="1"/>
  <c r="Z181" i="1"/>
  <c r="B182" i="1"/>
  <c r="G182" i="1"/>
  <c r="L182" i="1"/>
  <c r="R182" i="1"/>
  <c r="V182" i="1"/>
  <c r="W182" i="1"/>
  <c r="X182" i="1"/>
  <c r="Y182" i="1" s="1"/>
  <c r="Z182" i="1"/>
  <c r="AA182" i="1" s="1"/>
  <c r="AB182" i="1"/>
  <c r="B183" i="1"/>
  <c r="G183" i="1"/>
  <c r="L183" i="1"/>
  <c r="R183" i="1"/>
  <c r="V183" i="1"/>
  <c r="W183" i="1" s="1"/>
  <c r="X183" i="1"/>
  <c r="Y183" i="1" s="1"/>
  <c r="Z183" i="1"/>
  <c r="AA183" i="1" s="1"/>
  <c r="B184" i="1"/>
  <c r="G184" i="1"/>
  <c r="L184" i="1"/>
  <c r="R184" i="1"/>
  <c r="V184" i="1"/>
  <c r="W184" i="1" s="1"/>
  <c r="X184" i="1"/>
  <c r="Y184" i="1" s="1"/>
  <c r="Z184" i="1"/>
  <c r="AB184" i="1" s="1"/>
  <c r="B185" i="1"/>
  <c r="G185" i="1"/>
  <c r="L185" i="1"/>
  <c r="R185" i="1"/>
  <c r="V185" i="1"/>
  <c r="W185" i="1" s="1"/>
  <c r="X185" i="1"/>
  <c r="Y185" i="1" s="1"/>
  <c r="Z185" i="1"/>
  <c r="AA185" i="1"/>
  <c r="AB185" i="1"/>
  <c r="AC185" i="1" s="1"/>
  <c r="B186" i="1"/>
  <c r="G186" i="1"/>
  <c r="L186" i="1"/>
  <c r="R186" i="1"/>
  <c r="V186" i="1"/>
  <c r="W186" i="1" s="1"/>
  <c r="X186" i="1"/>
  <c r="Y186" i="1" s="1"/>
  <c r="Z186" i="1"/>
  <c r="AA186" i="1" s="1"/>
  <c r="AB186" i="1"/>
  <c r="AD186" i="1" s="1"/>
  <c r="B187" i="1"/>
  <c r="G187" i="1"/>
  <c r="L187" i="1"/>
  <c r="R187" i="1"/>
  <c r="V187" i="1"/>
  <c r="W187" i="1" s="1"/>
  <c r="X187" i="1"/>
  <c r="Y187" i="1" s="1"/>
  <c r="Z187" i="1"/>
  <c r="AA187" i="1" s="1"/>
  <c r="B188" i="1"/>
  <c r="G188" i="1"/>
  <c r="L188" i="1"/>
  <c r="R188" i="1"/>
  <c r="V188" i="1"/>
  <c r="W188" i="1" s="1"/>
  <c r="X188" i="1"/>
  <c r="Y188" i="1" s="1"/>
  <c r="Z188" i="1"/>
  <c r="AB188" i="1" s="1"/>
  <c r="B189" i="1"/>
  <c r="G189" i="1"/>
  <c r="L189" i="1"/>
  <c r="R189" i="1"/>
  <c r="V189" i="1"/>
  <c r="W189" i="1" s="1"/>
  <c r="X189" i="1"/>
  <c r="Y189" i="1" s="1"/>
  <c r="Z189" i="1"/>
  <c r="B190" i="1"/>
  <c r="G190" i="1"/>
  <c r="L190" i="1"/>
  <c r="R190" i="1"/>
  <c r="V190" i="1"/>
  <c r="W190" i="1" s="1"/>
  <c r="X190" i="1"/>
  <c r="Y190" i="1" s="1"/>
  <c r="Z190" i="1"/>
  <c r="AA190" i="1" s="1"/>
  <c r="B191" i="1"/>
  <c r="G191" i="1"/>
  <c r="L191" i="1"/>
  <c r="R191" i="1"/>
  <c r="V191" i="1"/>
  <c r="W191" i="1" s="1"/>
  <c r="X191" i="1"/>
  <c r="Y191" i="1" s="1"/>
  <c r="Z191" i="1"/>
  <c r="AA191" i="1" s="1"/>
  <c r="B192" i="1"/>
  <c r="G192" i="1"/>
  <c r="L192" i="1"/>
  <c r="R192" i="1"/>
  <c r="V192" i="1"/>
  <c r="W192" i="1"/>
  <c r="X192" i="1"/>
  <c r="Y192" i="1" s="1"/>
  <c r="Z192" i="1"/>
  <c r="AB192" i="1" s="1"/>
  <c r="B193" i="1"/>
  <c r="G193" i="1"/>
  <c r="L193" i="1"/>
  <c r="R193" i="1"/>
  <c r="V193" i="1"/>
  <c r="W193" i="1"/>
  <c r="X193" i="1"/>
  <c r="Y193" i="1" s="1"/>
  <c r="Z193" i="1"/>
  <c r="AA193" i="1"/>
  <c r="AB193" i="1"/>
  <c r="AC193" i="1" s="1"/>
  <c r="G194" i="1"/>
  <c r="L194" i="1"/>
  <c r="R194" i="1"/>
  <c r="V194" i="1"/>
  <c r="W194" i="1" s="1"/>
  <c r="X194" i="1"/>
  <c r="Y194" i="1" s="1"/>
  <c r="Z194" i="1"/>
  <c r="AA194" i="1" s="1"/>
  <c r="B195" i="1"/>
  <c r="G195" i="1"/>
  <c r="L195" i="1"/>
  <c r="R195" i="1"/>
  <c r="V195" i="1"/>
  <c r="W195" i="1" s="1"/>
  <c r="X195" i="1"/>
  <c r="Y195" i="1" s="1"/>
  <c r="Z195" i="1"/>
  <c r="AB195" i="1" s="1"/>
  <c r="AA195" i="1"/>
  <c r="B196" i="1"/>
  <c r="G196" i="1"/>
  <c r="L196" i="1"/>
  <c r="R196" i="1"/>
  <c r="V196" i="1"/>
  <c r="W196" i="1" s="1"/>
  <c r="X196" i="1"/>
  <c r="Y196" i="1" s="1"/>
  <c r="Z196" i="1"/>
  <c r="B197" i="1"/>
  <c r="G197" i="1"/>
  <c r="L197" i="1"/>
  <c r="R197" i="1"/>
  <c r="V197" i="1"/>
  <c r="W197" i="1" s="1"/>
  <c r="X197" i="1"/>
  <c r="Y197" i="1" s="1"/>
  <c r="Z197" i="1"/>
  <c r="AB197" i="1" s="1"/>
  <c r="B198" i="1"/>
  <c r="G198" i="1"/>
  <c r="L198" i="1"/>
  <c r="R198" i="1"/>
  <c r="V198" i="1"/>
  <c r="W198" i="1" s="1"/>
  <c r="X198" i="1"/>
  <c r="Y198" i="1" s="1"/>
  <c r="Z198" i="1"/>
  <c r="AA198" i="1" s="1"/>
  <c r="B199" i="1"/>
  <c r="G199" i="1"/>
  <c r="L199" i="1"/>
  <c r="R199" i="1"/>
  <c r="V199" i="1"/>
  <c r="W199" i="1"/>
  <c r="X199" i="1"/>
  <c r="Y199" i="1" s="1"/>
  <c r="Z199" i="1"/>
  <c r="AB199" i="1" s="1"/>
  <c r="B200" i="1"/>
  <c r="G200" i="1"/>
  <c r="L200" i="1"/>
  <c r="R200" i="1"/>
  <c r="V200" i="1"/>
  <c r="W200" i="1"/>
  <c r="X200" i="1"/>
  <c r="Y200" i="1" s="1"/>
  <c r="Z200" i="1"/>
  <c r="AA200" i="1" s="1"/>
  <c r="B201" i="1"/>
  <c r="G201" i="1"/>
  <c r="L201" i="1"/>
  <c r="R201" i="1"/>
  <c r="V201" i="1"/>
  <c r="W201" i="1" s="1"/>
  <c r="X201" i="1"/>
  <c r="Y201" i="1"/>
  <c r="Z201" i="1"/>
  <c r="AB201" i="1" s="1"/>
  <c r="AD201" i="1" s="1"/>
  <c r="B202" i="1"/>
  <c r="G202" i="1"/>
  <c r="L202" i="1"/>
  <c r="R202" i="1"/>
  <c r="V202" i="1"/>
  <c r="W202" i="1" s="1"/>
  <c r="X202" i="1"/>
  <c r="Y202" i="1" s="1"/>
  <c r="Z202" i="1"/>
  <c r="AA202" i="1" s="1"/>
  <c r="B203" i="1"/>
  <c r="G203" i="1"/>
  <c r="L203" i="1"/>
  <c r="R203" i="1"/>
  <c r="V203" i="1"/>
  <c r="W203" i="1" s="1"/>
  <c r="X203" i="1"/>
  <c r="Y203" i="1" s="1"/>
  <c r="Z203" i="1"/>
  <c r="AB203" i="1" s="1"/>
  <c r="AA203" i="1"/>
  <c r="B204" i="1"/>
  <c r="G204" i="1"/>
  <c r="L204" i="1"/>
  <c r="R204" i="1"/>
  <c r="V204" i="1"/>
  <c r="W204" i="1" s="1"/>
  <c r="X204" i="1"/>
  <c r="Y204" i="1" s="1"/>
  <c r="Z204" i="1"/>
  <c r="B205" i="1"/>
  <c r="G205" i="1"/>
  <c r="L205" i="1"/>
  <c r="R205" i="1"/>
  <c r="V205" i="1"/>
  <c r="W205" i="1" s="1"/>
  <c r="X205" i="1"/>
  <c r="Y205" i="1" s="1"/>
  <c r="Z205" i="1"/>
  <c r="AA205" i="1"/>
  <c r="AB205" i="1"/>
  <c r="B206" i="1"/>
  <c r="G206" i="1"/>
  <c r="L206" i="1"/>
  <c r="R206" i="1"/>
  <c r="V206" i="1"/>
  <c r="W206" i="1" s="1"/>
  <c r="X206" i="1"/>
  <c r="Y206" i="1" s="1"/>
  <c r="Z206" i="1"/>
  <c r="AA206" i="1" s="1"/>
  <c r="B207" i="1"/>
  <c r="G207" i="1"/>
  <c r="L207" i="1"/>
  <c r="R207" i="1"/>
  <c r="V207" i="1"/>
  <c r="W207" i="1" s="1"/>
  <c r="X207" i="1"/>
  <c r="Y207" i="1" s="1"/>
  <c r="Z207" i="1"/>
  <c r="AB207" i="1" s="1"/>
  <c r="B208" i="1"/>
  <c r="G208" i="1"/>
  <c r="L208" i="1"/>
  <c r="R208" i="1"/>
  <c r="V208" i="1"/>
  <c r="W208" i="1" s="1"/>
  <c r="X208" i="1"/>
  <c r="Y208" i="1" s="1"/>
  <c r="Z208" i="1"/>
  <c r="B209" i="1"/>
  <c r="G209" i="1"/>
  <c r="L209" i="1"/>
  <c r="R209" i="1"/>
  <c r="V209" i="1"/>
  <c r="W209" i="1"/>
  <c r="X209" i="1"/>
  <c r="Y209" i="1" s="1"/>
  <c r="Z209" i="1"/>
  <c r="AA209" i="1"/>
  <c r="AB209" i="1"/>
  <c r="AD209" i="1" s="1"/>
  <c r="B210" i="1"/>
  <c r="G210" i="1"/>
  <c r="L210" i="1"/>
  <c r="R210" i="1"/>
  <c r="V210" i="1"/>
  <c r="W210" i="1" s="1"/>
  <c r="X210" i="1"/>
  <c r="Y210" i="1"/>
  <c r="Z210" i="1"/>
  <c r="AA210" i="1" s="1"/>
  <c r="B211" i="1"/>
  <c r="G211" i="1"/>
  <c r="L211" i="1"/>
  <c r="R211" i="1"/>
  <c r="V211" i="1"/>
  <c r="W211" i="1" s="1"/>
  <c r="X211" i="1"/>
  <c r="Y211" i="1"/>
  <c r="Z211" i="1"/>
  <c r="AB211" i="1" s="1"/>
  <c r="B212" i="1"/>
  <c r="G212" i="1"/>
  <c r="L212" i="1"/>
  <c r="R212" i="1"/>
  <c r="V212" i="1"/>
  <c r="W212" i="1"/>
  <c r="X212" i="1"/>
  <c r="Y212" i="1" s="1"/>
  <c r="Z212" i="1"/>
  <c r="B213" i="1"/>
  <c r="G213" i="1"/>
  <c r="L213" i="1"/>
  <c r="R213" i="1"/>
  <c r="V213" i="1"/>
  <c r="W213" i="1"/>
  <c r="X213" i="1"/>
  <c r="Y213" i="1" s="1"/>
  <c r="Z213" i="1"/>
  <c r="AA213" i="1" s="1"/>
  <c r="AB213" i="1"/>
  <c r="B214" i="1"/>
  <c r="G214" i="1"/>
  <c r="L214" i="1"/>
  <c r="R214" i="1"/>
  <c r="V214" i="1"/>
  <c r="W214" i="1" s="1"/>
  <c r="X214" i="1"/>
  <c r="Y214" i="1" s="1"/>
  <c r="Z214" i="1"/>
  <c r="AA214" i="1" s="1"/>
  <c r="B215" i="1"/>
  <c r="G215" i="1"/>
  <c r="L215" i="1"/>
  <c r="R215" i="1"/>
  <c r="V215" i="1"/>
  <c r="W215" i="1" s="1"/>
  <c r="X215" i="1"/>
  <c r="Y215" i="1" s="1"/>
  <c r="Z215" i="1"/>
  <c r="B216" i="1"/>
  <c r="G216" i="1"/>
  <c r="L216" i="1"/>
  <c r="R216" i="1"/>
  <c r="V216" i="1"/>
  <c r="W216" i="1" s="1"/>
  <c r="X216" i="1"/>
  <c r="Y216" i="1" s="1"/>
  <c r="Z216" i="1"/>
  <c r="AA216" i="1"/>
  <c r="AB216" i="1"/>
  <c r="AC216" i="1" s="1"/>
  <c r="B217" i="1"/>
  <c r="G217" i="1"/>
  <c r="L217" i="1"/>
  <c r="R217" i="1"/>
  <c r="V217" i="1"/>
  <c r="W217" i="1" s="1"/>
  <c r="X217" i="1"/>
  <c r="Y217" i="1"/>
  <c r="Z217" i="1"/>
  <c r="AA217" i="1" s="1"/>
  <c r="AB217" i="1"/>
  <c r="B218" i="1"/>
  <c r="G218" i="1"/>
  <c r="L218" i="1"/>
  <c r="R218" i="1"/>
  <c r="V218" i="1"/>
  <c r="W218" i="1" s="1"/>
  <c r="X218" i="1"/>
  <c r="Y218" i="1" s="1"/>
  <c r="Z218" i="1"/>
  <c r="AA218" i="1" s="1"/>
  <c r="B219" i="1"/>
  <c r="G219" i="1"/>
  <c r="L219" i="1"/>
  <c r="R219" i="1"/>
  <c r="V219" i="1"/>
  <c r="W219" i="1" s="1"/>
  <c r="X219" i="1"/>
  <c r="Y219" i="1" s="1"/>
  <c r="Z219" i="1"/>
  <c r="AB219" i="1" s="1"/>
  <c r="AA219" i="1"/>
  <c r="B220" i="1"/>
  <c r="G220" i="1"/>
  <c r="L220" i="1"/>
  <c r="R220" i="1"/>
  <c r="V220" i="1"/>
  <c r="W220" i="1" s="1"/>
  <c r="X220" i="1"/>
  <c r="Y220" i="1" s="1"/>
  <c r="Z220" i="1"/>
  <c r="B221" i="1"/>
  <c r="G221" i="1"/>
  <c r="L221" i="1"/>
  <c r="R221" i="1"/>
  <c r="V221" i="1"/>
  <c r="W221" i="1" s="1"/>
  <c r="X221" i="1"/>
  <c r="Y221" i="1" s="1"/>
  <c r="Z221" i="1"/>
  <c r="AB221" i="1" s="1"/>
  <c r="B222" i="1"/>
  <c r="G222" i="1"/>
  <c r="L222" i="1"/>
  <c r="R222" i="1"/>
  <c r="V222" i="1"/>
  <c r="W222" i="1" s="1"/>
  <c r="X222" i="1"/>
  <c r="Y222" i="1" s="1"/>
  <c r="Z222" i="1"/>
  <c r="AA222" i="1" s="1"/>
  <c r="B223" i="1"/>
  <c r="G223" i="1"/>
  <c r="L223" i="1"/>
  <c r="R223" i="1"/>
  <c r="V223" i="1"/>
  <c r="W223" i="1" s="1"/>
  <c r="X223" i="1"/>
  <c r="Y223" i="1"/>
  <c r="Z223" i="1"/>
  <c r="B224" i="1"/>
  <c r="G224" i="1"/>
  <c r="L224" i="1"/>
  <c r="R224" i="1"/>
  <c r="V224" i="1"/>
  <c r="W224" i="1" s="1"/>
  <c r="X224" i="1"/>
  <c r="Y224" i="1" s="1"/>
  <c r="Z224" i="1"/>
  <c r="B225" i="1"/>
  <c r="G225" i="1"/>
  <c r="L225" i="1"/>
  <c r="R225" i="1"/>
  <c r="V225" i="1"/>
  <c r="W225" i="1"/>
  <c r="X225" i="1"/>
  <c r="Y225" i="1" s="1"/>
  <c r="Z225" i="1"/>
  <c r="AA225" i="1" s="1"/>
  <c r="AB225" i="1"/>
  <c r="B226" i="1"/>
  <c r="G226" i="1"/>
  <c r="L226" i="1"/>
  <c r="R226" i="1"/>
  <c r="V226" i="1"/>
  <c r="W226" i="1" s="1"/>
  <c r="X226" i="1"/>
  <c r="Y226" i="1" s="1"/>
  <c r="Z226" i="1"/>
  <c r="AA226" i="1" s="1"/>
  <c r="B227" i="1"/>
  <c r="G227" i="1"/>
  <c r="L227" i="1"/>
  <c r="R227" i="1"/>
  <c r="V227" i="1"/>
  <c r="W227" i="1" s="1"/>
  <c r="X227" i="1"/>
  <c r="Y227" i="1" s="1"/>
  <c r="Z227" i="1"/>
  <c r="B228" i="1"/>
  <c r="G228" i="1"/>
  <c r="L228" i="1"/>
  <c r="R228" i="1"/>
  <c r="V228" i="1"/>
  <c r="W228" i="1" s="1"/>
  <c r="X228" i="1"/>
  <c r="Y228" i="1" s="1"/>
  <c r="Z228" i="1"/>
  <c r="AB228" i="1" s="1"/>
  <c r="AC228" i="1" s="1"/>
  <c r="AA228" i="1"/>
  <c r="B229" i="1"/>
  <c r="G229" i="1"/>
  <c r="L229" i="1"/>
  <c r="R229" i="1"/>
  <c r="V229" i="1"/>
  <c r="W229" i="1"/>
  <c r="X229" i="1"/>
  <c r="Y229" i="1" s="1"/>
  <c r="Z229" i="1"/>
  <c r="B230" i="1"/>
  <c r="G230" i="1"/>
  <c r="L230" i="1"/>
  <c r="R230" i="1"/>
  <c r="V230" i="1"/>
  <c r="W230" i="1" s="1"/>
  <c r="X230" i="1"/>
  <c r="Y230" i="1"/>
  <c r="Z230" i="1"/>
  <c r="AA230" i="1" s="1"/>
  <c r="B231" i="1"/>
  <c r="G231" i="1"/>
  <c r="L231" i="1"/>
  <c r="R231" i="1"/>
  <c r="V231" i="1"/>
  <c r="W231" i="1" s="1"/>
  <c r="X231" i="1"/>
  <c r="Y231" i="1" s="1"/>
  <c r="Z231" i="1"/>
  <c r="B232" i="1"/>
  <c r="G232" i="1"/>
  <c r="L232" i="1"/>
  <c r="R232" i="1"/>
  <c r="V232" i="1"/>
  <c r="W232" i="1"/>
  <c r="X232" i="1"/>
  <c r="Y232" i="1" s="1"/>
  <c r="Z232" i="1"/>
  <c r="AA232" i="1" s="1"/>
  <c r="B233" i="1"/>
  <c r="G233" i="1"/>
  <c r="L233" i="1"/>
  <c r="R233" i="1"/>
  <c r="V233" i="1"/>
  <c r="W233" i="1" s="1"/>
  <c r="X233" i="1"/>
  <c r="Y233" i="1" s="1"/>
  <c r="Z233" i="1"/>
  <c r="B234" i="1"/>
  <c r="G234" i="1"/>
  <c r="L234" i="1"/>
  <c r="R234" i="1"/>
  <c r="V234" i="1"/>
  <c r="W234" i="1" s="1"/>
  <c r="X234" i="1"/>
  <c r="Y234" i="1" s="1"/>
  <c r="Z234" i="1"/>
  <c r="AA234" i="1" s="1"/>
  <c r="B235" i="1"/>
  <c r="G235" i="1"/>
  <c r="L235" i="1"/>
  <c r="R235" i="1"/>
  <c r="V235" i="1"/>
  <c r="W235" i="1" s="1"/>
  <c r="X235" i="1"/>
  <c r="Y235" i="1" s="1"/>
  <c r="Z235" i="1"/>
  <c r="AB235" i="1" s="1"/>
  <c r="AC235" i="1" s="1"/>
  <c r="AA235" i="1"/>
  <c r="AD235" i="1"/>
  <c r="B236" i="1"/>
  <c r="G236" i="1"/>
  <c r="L236" i="1"/>
  <c r="R236" i="1"/>
  <c r="V236" i="1"/>
  <c r="W236" i="1" s="1"/>
  <c r="X236" i="1"/>
  <c r="Y236" i="1" s="1"/>
  <c r="Z236" i="1"/>
  <c r="AB236" i="1" s="1"/>
  <c r="AC236" i="1" s="1"/>
  <c r="B237" i="1"/>
  <c r="G237" i="1"/>
  <c r="L237" i="1"/>
  <c r="R237" i="1"/>
  <c r="V237" i="1"/>
  <c r="W237" i="1" s="1"/>
  <c r="X237" i="1"/>
  <c r="Y237" i="1" s="1"/>
  <c r="Z237" i="1"/>
  <c r="AA237" i="1"/>
  <c r="AB237" i="1"/>
  <c r="AD237" i="1" s="1"/>
  <c r="B238" i="1"/>
  <c r="G238" i="1"/>
  <c r="L238" i="1"/>
  <c r="R238" i="1"/>
  <c r="V238" i="1"/>
  <c r="W238" i="1" s="1"/>
  <c r="X238" i="1"/>
  <c r="Y238" i="1"/>
  <c r="Z238" i="1"/>
  <c r="B239" i="1"/>
  <c r="G239" i="1"/>
  <c r="L239" i="1"/>
  <c r="R239" i="1"/>
  <c r="V239" i="1"/>
  <c r="W239" i="1" s="1"/>
  <c r="X239" i="1"/>
  <c r="Y239" i="1" s="1"/>
  <c r="Z239" i="1"/>
  <c r="AB239" i="1" s="1"/>
  <c r="B240" i="1"/>
  <c r="G240" i="1"/>
  <c r="L240" i="1"/>
  <c r="R240" i="1"/>
  <c r="V240" i="1"/>
  <c r="W240" i="1"/>
  <c r="X240" i="1"/>
  <c r="Y240" i="1" s="1"/>
  <c r="Z240" i="1"/>
  <c r="B241" i="1"/>
  <c r="G241" i="1"/>
  <c r="L241" i="1"/>
  <c r="R241" i="1"/>
  <c r="V241" i="1"/>
  <c r="W241" i="1"/>
  <c r="X241" i="1"/>
  <c r="Y241" i="1" s="1"/>
  <c r="Z241" i="1"/>
  <c r="AA241" i="1"/>
  <c r="AB241" i="1"/>
  <c r="AD241" i="1" s="1"/>
  <c r="AC241" i="1"/>
  <c r="B242" i="1"/>
  <c r="G242" i="1"/>
  <c r="L242" i="1"/>
  <c r="R242" i="1"/>
  <c r="V242" i="1"/>
  <c r="W242" i="1" s="1"/>
  <c r="X242" i="1"/>
  <c r="Y242" i="1" s="1"/>
  <c r="Z242" i="1"/>
  <c r="AA242" i="1" s="1"/>
  <c r="B243" i="1"/>
  <c r="G243" i="1"/>
  <c r="L243" i="1"/>
  <c r="R243" i="1"/>
  <c r="V243" i="1"/>
  <c r="W243" i="1" s="1"/>
  <c r="X243" i="1"/>
  <c r="Y243" i="1"/>
  <c r="Z243" i="1"/>
  <c r="AB243" i="1" s="1"/>
  <c r="AC243" i="1" s="1"/>
  <c r="B244" i="1"/>
  <c r="G244" i="1"/>
  <c r="L244" i="1"/>
  <c r="R244" i="1"/>
  <c r="V244" i="1"/>
  <c r="W244" i="1"/>
  <c r="X244" i="1"/>
  <c r="Y244" i="1" s="1"/>
  <c r="Z244" i="1"/>
  <c r="AA244" i="1" s="1"/>
  <c r="AB244" i="1"/>
  <c r="AC244" i="1" s="1"/>
  <c r="B245" i="1"/>
  <c r="G245" i="1"/>
  <c r="L245" i="1"/>
  <c r="R245" i="1"/>
  <c r="V245" i="1"/>
  <c r="W245" i="1" s="1"/>
  <c r="X245" i="1"/>
  <c r="Y245" i="1" s="1"/>
  <c r="Z245" i="1"/>
  <c r="B246" i="1"/>
  <c r="G246" i="1"/>
  <c r="L246" i="1"/>
  <c r="R246" i="1"/>
  <c r="V246" i="1"/>
  <c r="W246" i="1" s="1"/>
  <c r="X246" i="1"/>
  <c r="Y246" i="1" s="1"/>
  <c r="Z246" i="1"/>
  <c r="B247" i="1"/>
  <c r="G247" i="1"/>
  <c r="L247" i="1"/>
  <c r="R247" i="1"/>
  <c r="V247" i="1"/>
  <c r="W247" i="1"/>
  <c r="X247" i="1"/>
  <c r="Y247" i="1"/>
  <c r="Z247" i="1"/>
  <c r="AB247" i="1" s="1"/>
  <c r="B248" i="1"/>
  <c r="G248" i="1"/>
  <c r="L248" i="1"/>
  <c r="R248" i="1"/>
  <c r="V248" i="1"/>
  <c r="W248" i="1" s="1"/>
  <c r="X248" i="1"/>
  <c r="Y248" i="1" s="1"/>
  <c r="Z248" i="1"/>
  <c r="AB248" i="1" s="1"/>
  <c r="AA248" i="1"/>
  <c r="B249" i="1"/>
  <c r="G249" i="1"/>
  <c r="L249" i="1"/>
  <c r="R249" i="1"/>
  <c r="V249" i="1"/>
  <c r="W249" i="1" s="1"/>
  <c r="X249" i="1"/>
  <c r="Y249" i="1" s="1"/>
  <c r="Z249" i="1"/>
  <c r="B250" i="1"/>
  <c r="G250" i="1"/>
  <c r="L250" i="1"/>
  <c r="R250" i="1"/>
  <c r="V250" i="1"/>
  <c r="W250" i="1" s="1"/>
  <c r="X250" i="1"/>
  <c r="Y250" i="1" s="1"/>
  <c r="Z250" i="1"/>
  <c r="AA250" i="1" s="1"/>
  <c r="B251" i="1"/>
  <c r="G251" i="1"/>
  <c r="L251" i="1"/>
  <c r="R251" i="1"/>
  <c r="V251" i="1"/>
  <c r="W251" i="1" s="1"/>
  <c r="X251" i="1"/>
  <c r="Y251" i="1" s="1"/>
  <c r="Z251" i="1"/>
  <c r="B252" i="1"/>
  <c r="G252" i="1"/>
  <c r="L252" i="1"/>
  <c r="R252" i="1"/>
  <c r="V252" i="1"/>
  <c r="W252" i="1"/>
  <c r="X252" i="1"/>
  <c r="Y252" i="1" s="1"/>
  <c r="Z252" i="1"/>
  <c r="AA252" i="1" s="1"/>
  <c r="AB252" i="1"/>
  <c r="B253" i="1"/>
  <c r="G253" i="1"/>
  <c r="L253" i="1"/>
  <c r="R253" i="1"/>
  <c r="V253" i="1"/>
  <c r="W253" i="1"/>
  <c r="X253" i="1"/>
  <c r="Y253" i="1" s="1"/>
  <c r="Z253" i="1"/>
  <c r="B254" i="1"/>
  <c r="G254" i="1"/>
  <c r="L254" i="1"/>
  <c r="R254" i="1"/>
  <c r="V254" i="1"/>
  <c r="W254" i="1" s="1"/>
  <c r="X254" i="1"/>
  <c r="Y254" i="1" s="1"/>
  <c r="Z254" i="1"/>
  <c r="B255" i="1"/>
  <c r="G255" i="1"/>
  <c r="L255" i="1"/>
  <c r="R255" i="1"/>
  <c r="V255" i="1"/>
  <c r="W255" i="1" s="1"/>
  <c r="X255" i="1"/>
  <c r="Y255" i="1" s="1"/>
  <c r="Z255" i="1"/>
  <c r="AB255" i="1" s="1"/>
  <c r="B256" i="1"/>
  <c r="G256" i="1"/>
  <c r="L256" i="1"/>
  <c r="R256" i="1"/>
  <c r="V256" i="1"/>
  <c r="W256" i="1"/>
  <c r="X256" i="1"/>
  <c r="Y256" i="1" s="1"/>
  <c r="Z256" i="1"/>
  <c r="B257" i="1"/>
  <c r="G257" i="1"/>
  <c r="L257" i="1"/>
  <c r="R257" i="1"/>
  <c r="V257" i="1"/>
  <c r="W257" i="1"/>
  <c r="X257" i="1"/>
  <c r="Y257" i="1" s="1"/>
  <c r="Z257" i="1"/>
  <c r="AA257" i="1"/>
  <c r="AB257" i="1"/>
  <c r="AD257" i="1" s="1"/>
  <c r="B258" i="1"/>
  <c r="G258" i="1"/>
  <c r="L258" i="1"/>
  <c r="R258" i="1"/>
  <c r="V258" i="1"/>
  <c r="W258" i="1" s="1"/>
  <c r="X258" i="1"/>
  <c r="Y258" i="1"/>
  <c r="Z258" i="1"/>
  <c r="B259" i="1"/>
  <c r="G259" i="1"/>
  <c r="L259" i="1"/>
  <c r="R259" i="1"/>
  <c r="V259" i="1"/>
  <c r="W259" i="1" s="1"/>
  <c r="X259" i="1"/>
  <c r="Y259" i="1"/>
  <c r="Z259" i="1"/>
  <c r="AB259" i="1" s="1"/>
  <c r="AC259" i="1" s="1"/>
  <c r="B260" i="1"/>
  <c r="G260" i="1"/>
  <c r="L260" i="1"/>
  <c r="R260" i="1"/>
  <c r="V260" i="1"/>
  <c r="W260" i="1"/>
  <c r="X260" i="1"/>
  <c r="Y260" i="1" s="1"/>
  <c r="Z260" i="1"/>
  <c r="B261" i="1"/>
  <c r="G261" i="1"/>
  <c r="L261" i="1"/>
  <c r="R261" i="1"/>
  <c r="V261" i="1"/>
  <c r="W261" i="1"/>
  <c r="X261" i="1"/>
  <c r="Y261" i="1" s="1"/>
  <c r="Z261" i="1"/>
  <c r="AA261" i="1"/>
  <c r="AB261" i="1"/>
  <c r="AD261" i="1" s="1"/>
  <c r="B262" i="1"/>
  <c r="G262" i="1"/>
  <c r="L262" i="1"/>
  <c r="R262" i="1"/>
  <c r="V262" i="1"/>
  <c r="W262" i="1" s="1"/>
  <c r="X262" i="1"/>
  <c r="Y262" i="1"/>
  <c r="Z262" i="1"/>
  <c r="B263" i="1"/>
  <c r="G263" i="1"/>
  <c r="L263" i="1"/>
  <c r="R263" i="1"/>
  <c r="V263" i="1"/>
  <c r="W263" i="1" s="1"/>
  <c r="X263" i="1"/>
  <c r="Y263" i="1" s="1"/>
  <c r="Z263" i="1"/>
  <c r="B264" i="1"/>
  <c r="G264" i="1"/>
  <c r="L264" i="1"/>
  <c r="R264" i="1"/>
  <c r="V264" i="1"/>
  <c r="W264" i="1" s="1"/>
  <c r="X264" i="1"/>
  <c r="Y264" i="1" s="1"/>
  <c r="Z264" i="1"/>
  <c r="AB264" i="1" s="1"/>
  <c r="AA264" i="1"/>
  <c r="B265" i="1"/>
  <c r="G265" i="1"/>
  <c r="L265" i="1"/>
  <c r="R265" i="1"/>
  <c r="V265" i="1"/>
  <c r="W265" i="1" s="1"/>
  <c r="X265" i="1"/>
  <c r="Y265" i="1" s="1"/>
  <c r="Z265" i="1"/>
  <c r="B266" i="1"/>
  <c r="G266" i="1"/>
  <c r="L266" i="1"/>
  <c r="R266" i="1"/>
  <c r="V266" i="1"/>
  <c r="W266" i="1" s="1"/>
  <c r="X266" i="1"/>
  <c r="Y266" i="1"/>
  <c r="Z266" i="1"/>
  <c r="B267" i="1"/>
  <c r="G267" i="1"/>
  <c r="L267" i="1"/>
  <c r="R267" i="1"/>
  <c r="V267" i="1"/>
  <c r="W267" i="1" s="1"/>
  <c r="X267" i="1"/>
  <c r="Y267" i="1" s="1"/>
  <c r="Z267" i="1"/>
  <c r="B268" i="1"/>
  <c r="G268" i="1"/>
  <c r="L268" i="1"/>
  <c r="R268" i="1"/>
  <c r="V268" i="1"/>
  <c r="W268" i="1"/>
  <c r="X268" i="1"/>
  <c r="Y268" i="1" s="1"/>
  <c r="Z268" i="1"/>
  <c r="AA268" i="1" s="1"/>
  <c r="AB268" i="1"/>
  <c r="AC268" i="1" s="1"/>
  <c r="B269" i="1"/>
  <c r="G269" i="1"/>
  <c r="L269" i="1"/>
  <c r="R269" i="1"/>
  <c r="V269" i="1"/>
  <c r="W269" i="1" s="1"/>
  <c r="X269" i="1"/>
  <c r="Y269" i="1"/>
  <c r="Z269" i="1"/>
  <c r="AB269" i="1" s="1"/>
  <c r="AD269" i="1" s="1"/>
  <c r="B270" i="1"/>
  <c r="G270" i="1"/>
  <c r="L270" i="1"/>
  <c r="R270" i="1"/>
  <c r="V270" i="1"/>
  <c r="W270" i="1" s="1"/>
  <c r="X270" i="1"/>
  <c r="Y270" i="1"/>
  <c r="Z270" i="1"/>
  <c r="B271" i="1"/>
  <c r="G271" i="1"/>
  <c r="L271" i="1"/>
  <c r="R271" i="1"/>
  <c r="V271" i="1"/>
  <c r="W271" i="1" s="1"/>
  <c r="X271" i="1"/>
  <c r="Y271" i="1" s="1"/>
  <c r="Z271" i="1"/>
  <c r="AB271" i="1" s="1"/>
  <c r="AC271" i="1" s="1"/>
  <c r="B272" i="1"/>
  <c r="G272" i="1"/>
  <c r="L272" i="1"/>
  <c r="R272" i="1"/>
  <c r="V272" i="1"/>
  <c r="W272" i="1" s="1"/>
  <c r="X272" i="1"/>
  <c r="Y272" i="1" s="1"/>
  <c r="Z272" i="1"/>
  <c r="AA272" i="1" s="1"/>
  <c r="B273" i="1"/>
  <c r="G273" i="1"/>
  <c r="L273" i="1"/>
  <c r="R273" i="1"/>
  <c r="V273" i="1"/>
  <c r="W273" i="1"/>
  <c r="X273" i="1"/>
  <c r="Y273" i="1" s="1"/>
  <c r="Z273" i="1"/>
  <c r="AA273" i="1"/>
  <c r="AB273" i="1"/>
  <c r="AD273" i="1" s="1"/>
  <c r="B274" i="1"/>
  <c r="G274" i="1"/>
  <c r="L274" i="1"/>
  <c r="R274" i="1"/>
  <c r="V274" i="1"/>
  <c r="W274" i="1" s="1"/>
  <c r="X274" i="1"/>
  <c r="Y274" i="1" s="1"/>
  <c r="Z274" i="1"/>
  <c r="AA274" i="1" s="1"/>
  <c r="B275" i="1"/>
  <c r="G275" i="1"/>
  <c r="L275" i="1"/>
  <c r="R275" i="1"/>
  <c r="V275" i="1"/>
  <c r="W275" i="1" s="1"/>
  <c r="X275" i="1"/>
  <c r="Y275" i="1" s="1"/>
  <c r="Z275" i="1"/>
  <c r="AB275" i="1" s="1"/>
  <c r="AD275" i="1" s="1"/>
  <c r="AC275" i="1"/>
  <c r="B276" i="1"/>
  <c r="G276" i="1"/>
  <c r="L276" i="1"/>
  <c r="R276" i="1"/>
  <c r="V276" i="1"/>
  <c r="W276" i="1" s="1"/>
  <c r="X276" i="1"/>
  <c r="Y276" i="1" s="1"/>
  <c r="Z276" i="1"/>
  <c r="AB276" i="1" s="1"/>
  <c r="AC276" i="1" s="1"/>
  <c r="AA276" i="1"/>
  <c r="B277" i="1"/>
  <c r="G277" i="1"/>
  <c r="L277" i="1"/>
  <c r="R277" i="1"/>
  <c r="V277" i="1"/>
  <c r="W277" i="1"/>
  <c r="X277" i="1"/>
  <c r="Y277" i="1" s="1"/>
  <c r="Z277" i="1"/>
  <c r="AB277" i="1" s="1"/>
  <c r="AD277" i="1" s="1"/>
  <c r="AA277" i="1"/>
  <c r="B278" i="1"/>
  <c r="G278" i="1"/>
  <c r="L278" i="1"/>
  <c r="R278" i="1"/>
  <c r="V278" i="1"/>
  <c r="W278" i="1" s="1"/>
  <c r="X278" i="1"/>
  <c r="Y278" i="1" s="1"/>
  <c r="Z278" i="1"/>
  <c r="B279" i="1"/>
  <c r="G279" i="1"/>
  <c r="L279" i="1"/>
  <c r="R279" i="1"/>
  <c r="V279" i="1"/>
  <c r="W279" i="1" s="1"/>
  <c r="X279" i="1"/>
  <c r="Y279" i="1" s="1"/>
  <c r="Z279" i="1"/>
  <c r="AB279" i="1" s="1"/>
  <c r="AC279" i="1" s="1"/>
  <c r="AD279" i="1"/>
  <c r="B280" i="1"/>
  <c r="G280" i="1"/>
  <c r="L280" i="1"/>
  <c r="R280" i="1"/>
  <c r="V280" i="1"/>
  <c r="W280" i="1"/>
  <c r="X280" i="1"/>
  <c r="Y280" i="1" s="1"/>
  <c r="Z280" i="1"/>
  <c r="AA280" i="1" s="1"/>
  <c r="B281" i="1"/>
  <c r="G281" i="1"/>
  <c r="L281" i="1"/>
  <c r="R281" i="1"/>
  <c r="V281" i="1"/>
  <c r="W281" i="1"/>
  <c r="X281" i="1"/>
  <c r="Y281" i="1" s="1"/>
  <c r="Z281" i="1"/>
  <c r="B282" i="1"/>
  <c r="G282" i="1"/>
  <c r="L282" i="1"/>
  <c r="R282" i="1"/>
  <c r="V282" i="1"/>
  <c r="W282" i="1" s="1"/>
  <c r="X282" i="1"/>
  <c r="Y282" i="1" s="1"/>
  <c r="Z282" i="1"/>
  <c r="AA282" i="1" s="1"/>
  <c r="B283" i="1"/>
  <c r="G283" i="1"/>
  <c r="L283" i="1"/>
  <c r="R283" i="1"/>
  <c r="V283" i="1"/>
  <c r="W283" i="1" s="1"/>
  <c r="X283" i="1"/>
  <c r="Y283" i="1" s="1"/>
  <c r="Z283" i="1"/>
  <c r="AB283" i="1" s="1"/>
  <c r="AC283" i="1" s="1"/>
  <c r="B284" i="1"/>
  <c r="G284" i="1"/>
  <c r="L284" i="1"/>
  <c r="R284" i="1"/>
  <c r="V284" i="1"/>
  <c r="W284" i="1" s="1"/>
  <c r="X284" i="1"/>
  <c r="Y284" i="1" s="1"/>
  <c r="Z284" i="1"/>
  <c r="B285" i="1"/>
  <c r="G285" i="1"/>
  <c r="L285" i="1"/>
  <c r="R285" i="1"/>
  <c r="V285" i="1"/>
  <c r="W285" i="1" s="1"/>
  <c r="X285" i="1"/>
  <c r="Y285" i="1" s="1"/>
  <c r="Z285" i="1"/>
  <c r="AA285" i="1" s="1"/>
  <c r="B286" i="1"/>
  <c r="G286" i="1"/>
  <c r="L286" i="1"/>
  <c r="R286" i="1"/>
  <c r="V286" i="1"/>
  <c r="W286" i="1" s="1"/>
  <c r="X286" i="1"/>
  <c r="Y286" i="1" s="1"/>
  <c r="Z286" i="1"/>
  <c r="B287" i="1"/>
  <c r="G287" i="1"/>
  <c r="L287" i="1"/>
  <c r="R287" i="1"/>
  <c r="V287" i="1"/>
  <c r="W287" i="1" s="1"/>
  <c r="X287" i="1"/>
  <c r="Y287" i="1"/>
  <c r="Z287" i="1"/>
  <c r="AB287" i="1" s="1"/>
  <c r="AD287" i="1" s="1"/>
  <c r="B288" i="1"/>
  <c r="G288" i="1"/>
  <c r="L288" i="1"/>
  <c r="R288" i="1"/>
  <c r="V288" i="1"/>
  <c r="W288" i="1" s="1"/>
  <c r="X288" i="1"/>
  <c r="Y288" i="1" s="1"/>
  <c r="Z288" i="1"/>
  <c r="AA288" i="1" s="1"/>
  <c r="B289" i="1"/>
  <c r="G289" i="1"/>
  <c r="L289" i="1"/>
  <c r="R289" i="1"/>
  <c r="V289" i="1"/>
  <c r="W289" i="1" s="1"/>
  <c r="X289" i="1"/>
  <c r="Y289" i="1" s="1"/>
  <c r="Z289" i="1"/>
  <c r="AB289" i="1" s="1"/>
  <c r="AD289" i="1" s="1"/>
  <c r="AA289" i="1"/>
  <c r="B290" i="1"/>
  <c r="G290" i="1"/>
  <c r="L290" i="1"/>
  <c r="R290" i="1"/>
  <c r="V290" i="1"/>
  <c r="W290" i="1" s="1"/>
  <c r="X290" i="1"/>
  <c r="Y290" i="1"/>
  <c r="Z290" i="1"/>
  <c r="AA290" i="1" s="1"/>
  <c r="AB290" i="1"/>
  <c r="AC290" i="1" s="1"/>
  <c r="B291" i="1"/>
  <c r="G291" i="1"/>
  <c r="L291" i="1"/>
  <c r="R291" i="1"/>
  <c r="V291" i="1"/>
  <c r="W291" i="1" s="1"/>
  <c r="X291" i="1"/>
  <c r="Y291" i="1" s="1"/>
  <c r="Z291" i="1"/>
  <c r="AB291" i="1" s="1"/>
  <c r="AC291" i="1" s="1"/>
  <c r="B292" i="1"/>
  <c r="G292" i="1"/>
  <c r="L292" i="1"/>
  <c r="R292" i="1"/>
  <c r="V292" i="1"/>
  <c r="W292" i="1" s="1"/>
  <c r="X292" i="1"/>
  <c r="Y292" i="1" s="1"/>
  <c r="Z292" i="1"/>
  <c r="AA292" i="1" s="1"/>
  <c r="B293" i="1"/>
  <c r="G293" i="1"/>
  <c r="L293" i="1"/>
  <c r="R293" i="1"/>
  <c r="V293" i="1"/>
  <c r="W293" i="1" s="1"/>
  <c r="X293" i="1"/>
  <c r="Y293" i="1" s="1"/>
  <c r="Z293" i="1"/>
  <c r="AB293" i="1" s="1"/>
  <c r="AC293" i="1" s="1"/>
  <c r="B294" i="1"/>
  <c r="G294" i="1"/>
  <c r="L294" i="1"/>
  <c r="R294" i="1"/>
  <c r="V294" i="1"/>
  <c r="W294" i="1" s="1"/>
  <c r="X294" i="1"/>
  <c r="Y294" i="1" s="1"/>
  <c r="Z294" i="1"/>
  <c r="AA294" i="1" s="1"/>
  <c r="B295" i="1"/>
  <c r="G295" i="1"/>
  <c r="L295" i="1"/>
  <c r="R295" i="1"/>
  <c r="V295" i="1"/>
  <c r="W295" i="1" s="1"/>
  <c r="X295" i="1"/>
  <c r="Y295" i="1"/>
  <c r="Z295" i="1"/>
  <c r="AB295" i="1" s="1"/>
  <c r="AC295" i="1" s="1"/>
  <c r="B296" i="1"/>
  <c r="G296" i="1"/>
  <c r="L296" i="1"/>
  <c r="R296" i="1"/>
  <c r="V296" i="1"/>
  <c r="W296" i="1" s="1"/>
  <c r="X296" i="1"/>
  <c r="Y296" i="1" s="1"/>
  <c r="Z296" i="1"/>
  <c r="AA296" i="1" s="1"/>
  <c r="B297" i="1"/>
  <c r="G297" i="1"/>
  <c r="L297" i="1"/>
  <c r="R297" i="1"/>
  <c r="V297" i="1"/>
  <c r="W297" i="1" s="1"/>
  <c r="X297" i="1"/>
  <c r="Y297" i="1" s="1"/>
  <c r="Z297" i="1"/>
  <c r="AB297" i="1" s="1"/>
  <c r="AD297" i="1" s="1"/>
  <c r="B298" i="1"/>
  <c r="G298" i="1"/>
  <c r="L298" i="1"/>
  <c r="R298" i="1"/>
  <c r="V298" i="1"/>
  <c r="W298" i="1" s="1"/>
  <c r="X298" i="1"/>
  <c r="Y298" i="1" s="1"/>
  <c r="Z298" i="1"/>
  <c r="AA298" i="1" s="1"/>
  <c r="B299" i="1"/>
  <c r="G299" i="1"/>
  <c r="L299" i="1"/>
  <c r="R299" i="1"/>
  <c r="V299" i="1"/>
  <c r="W299" i="1"/>
  <c r="X299" i="1"/>
  <c r="Y299" i="1"/>
  <c r="Z299" i="1"/>
  <c r="AA299" i="1"/>
  <c r="AB299" i="1"/>
  <c r="AC299" i="1" s="1"/>
  <c r="B300" i="1"/>
  <c r="G300" i="1"/>
  <c r="L300" i="1"/>
  <c r="R300" i="1"/>
  <c r="V300" i="1"/>
  <c r="W300" i="1" s="1"/>
  <c r="X300" i="1"/>
  <c r="Y300" i="1" s="1"/>
  <c r="Z300" i="1"/>
  <c r="B301" i="1"/>
  <c r="G301" i="1"/>
  <c r="L301" i="1"/>
  <c r="R301" i="1"/>
  <c r="V301" i="1"/>
  <c r="W301" i="1" s="1"/>
  <c r="X301" i="1"/>
  <c r="Y301" i="1" s="1"/>
  <c r="Z301" i="1"/>
  <c r="AB301" i="1" s="1"/>
  <c r="AC301" i="1" s="1"/>
  <c r="B302" i="1"/>
  <c r="G302" i="1"/>
  <c r="L302" i="1"/>
  <c r="R302" i="1"/>
  <c r="V302" i="1"/>
  <c r="W302" i="1"/>
  <c r="X302" i="1"/>
  <c r="Y302" i="1" s="1"/>
  <c r="Z302" i="1"/>
  <c r="AA302" i="1" s="1"/>
  <c r="B303" i="1"/>
  <c r="G303" i="1"/>
  <c r="L303" i="1"/>
  <c r="R303" i="1"/>
  <c r="V303" i="1"/>
  <c r="W303" i="1" s="1"/>
  <c r="X303" i="1"/>
  <c r="Y303" i="1" s="1"/>
  <c r="Z303" i="1"/>
  <c r="AB303" i="1" s="1"/>
  <c r="B304" i="1"/>
  <c r="G304" i="1"/>
  <c r="L304" i="1"/>
  <c r="R304" i="1"/>
  <c r="V304" i="1"/>
  <c r="W304" i="1" s="1"/>
  <c r="X304" i="1"/>
  <c r="Y304" i="1" s="1"/>
  <c r="Z304" i="1"/>
  <c r="AA304" i="1" s="1"/>
  <c r="AB304" i="1"/>
  <c r="AC304" i="1" s="1"/>
  <c r="B305" i="1"/>
  <c r="G305" i="1"/>
  <c r="L305" i="1"/>
  <c r="R305" i="1"/>
  <c r="V305" i="1"/>
  <c r="W305" i="1" s="1"/>
  <c r="X305" i="1"/>
  <c r="Y305" i="1" s="1"/>
  <c r="Z305" i="1"/>
  <c r="AB305" i="1" s="1"/>
  <c r="AD305" i="1" s="1"/>
  <c r="AA305" i="1"/>
  <c r="B306" i="1"/>
  <c r="G306" i="1"/>
  <c r="L306" i="1"/>
  <c r="R306" i="1"/>
  <c r="V306" i="1"/>
  <c r="W306" i="1" s="1"/>
  <c r="X306" i="1"/>
  <c r="Y306" i="1" s="1"/>
  <c r="Z306" i="1"/>
  <c r="B307" i="1"/>
  <c r="G307" i="1"/>
  <c r="L307" i="1"/>
  <c r="R307" i="1"/>
  <c r="V307" i="1"/>
  <c r="W307" i="1" s="1"/>
  <c r="X307" i="1"/>
  <c r="Y307" i="1" s="1"/>
  <c r="Z307" i="1"/>
  <c r="AB307" i="1" s="1"/>
  <c r="B308" i="1"/>
  <c r="G308" i="1"/>
  <c r="L308" i="1"/>
  <c r="R308" i="1"/>
  <c r="V308" i="1"/>
  <c r="W308" i="1" s="1"/>
  <c r="X308" i="1"/>
  <c r="Y308" i="1" s="1"/>
  <c r="Z308" i="1"/>
  <c r="B309" i="1"/>
  <c r="G309" i="1"/>
  <c r="L309" i="1"/>
  <c r="R309" i="1"/>
  <c r="V309" i="1"/>
  <c r="W309" i="1" s="1"/>
  <c r="X309" i="1"/>
  <c r="Y309" i="1" s="1"/>
  <c r="Z309" i="1"/>
  <c r="B310" i="1"/>
  <c r="G310" i="1"/>
  <c r="L310" i="1"/>
  <c r="R310" i="1"/>
  <c r="V310" i="1"/>
  <c r="W310" i="1" s="1"/>
  <c r="X310" i="1"/>
  <c r="Y310" i="1" s="1"/>
  <c r="Z310" i="1"/>
  <c r="AA310" i="1" s="1"/>
  <c r="B311" i="1"/>
  <c r="G311" i="1"/>
  <c r="L311" i="1"/>
  <c r="R311" i="1"/>
  <c r="V311" i="1"/>
  <c r="W311" i="1" s="1"/>
  <c r="X311" i="1"/>
  <c r="Y311" i="1" s="1"/>
  <c r="Z311" i="1"/>
  <c r="B312" i="1"/>
  <c r="G312" i="1"/>
  <c r="L312" i="1"/>
  <c r="R312" i="1"/>
  <c r="V312" i="1"/>
  <c r="W312" i="1" s="1"/>
  <c r="X312" i="1"/>
  <c r="Y312" i="1" s="1"/>
  <c r="Z312" i="1"/>
  <c r="AB312" i="1" s="1"/>
  <c r="AC312" i="1" s="1"/>
  <c r="B313" i="1"/>
  <c r="G313" i="1"/>
  <c r="L313" i="1"/>
  <c r="R313" i="1"/>
  <c r="V313" i="1"/>
  <c r="W313" i="1" s="1"/>
  <c r="X313" i="1"/>
  <c r="Y313" i="1"/>
  <c r="Z313" i="1"/>
  <c r="AA313" i="1" s="1"/>
  <c r="B314" i="1"/>
  <c r="G314" i="1"/>
  <c r="L314" i="1"/>
  <c r="R314" i="1"/>
  <c r="V314" i="1"/>
  <c r="W314" i="1" s="1"/>
  <c r="X314" i="1"/>
  <c r="Y314" i="1" s="1"/>
  <c r="Z314" i="1"/>
  <c r="AA314" i="1" s="1"/>
  <c r="B315" i="1"/>
  <c r="G315" i="1"/>
  <c r="L315" i="1"/>
  <c r="R315" i="1"/>
  <c r="V315" i="1"/>
  <c r="W315" i="1" s="1"/>
  <c r="X315" i="1"/>
  <c r="Y315" i="1" s="1"/>
  <c r="Z315" i="1"/>
  <c r="AB315" i="1" s="1"/>
  <c r="AD315" i="1" s="1"/>
  <c r="AC315" i="1"/>
  <c r="B316" i="1"/>
  <c r="G316" i="1"/>
  <c r="L316" i="1"/>
  <c r="R316" i="1"/>
  <c r="V316" i="1"/>
  <c r="W316" i="1" s="1"/>
  <c r="X316" i="1"/>
  <c r="Y316" i="1" s="1"/>
  <c r="Z316" i="1"/>
  <c r="AA316" i="1" s="1"/>
  <c r="B317" i="1"/>
  <c r="G317" i="1"/>
  <c r="L317" i="1"/>
  <c r="R317" i="1"/>
  <c r="V317" i="1"/>
  <c r="W317" i="1" s="1"/>
  <c r="X317" i="1"/>
  <c r="Y317" i="1" s="1"/>
  <c r="Z317" i="1"/>
  <c r="AA317" i="1" s="1"/>
  <c r="B318" i="1"/>
  <c r="G318" i="1"/>
  <c r="L318" i="1"/>
  <c r="R318" i="1"/>
  <c r="V318" i="1"/>
  <c r="W318" i="1" s="1"/>
  <c r="X318" i="1"/>
  <c r="Y318" i="1" s="1"/>
  <c r="Z318" i="1"/>
  <c r="AA318" i="1" s="1"/>
  <c r="B319" i="1"/>
  <c r="G319" i="1"/>
  <c r="L319" i="1"/>
  <c r="R319" i="1"/>
  <c r="V319" i="1"/>
  <c r="W319" i="1" s="1"/>
  <c r="X319" i="1"/>
  <c r="Y319" i="1" s="1"/>
  <c r="Z319" i="1"/>
  <c r="AB319" i="1" s="1"/>
  <c r="B320" i="1"/>
  <c r="G320" i="1"/>
  <c r="L320" i="1"/>
  <c r="R320" i="1"/>
  <c r="V320" i="1"/>
  <c r="W320" i="1" s="1"/>
  <c r="X320" i="1"/>
  <c r="Y320" i="1" s="1"/>
  <c r="Z320" i="1"/>
  <c r="AA320" i="1" s="1"/>
  <c r="AB320" i="1"/>
  <c r="AC320" i="1" s="1"/>
  <c r="B321" i="1"/>
  <c r="G321" i="1"/>
  <c r="L321" i="1"/>
  <c r="R321" i="1"/>
  <c r="V321" i="1"/>
  <c r="W321" i="1" s="1"/>
  <c r="X321" i="1"/>
  <c r="Y321" i="1" s="1"/>
  <c r="Z321" i="1"/>
  <c r="AB321" i="1" s="1"/>
  <c r="AD321" i="1" s="1"/>
  <c r="B322" i="1"/>
  <c r="G322" i="1"/>
  <c r="L322" i="1"/>
  <c r="R322" i="1"/>
  <c r="V322" i="1"/>
  <c r="W322" i="1" s="1"/>
  <c r="X322" i="1"/>
  <c r="Y322" i="1" s="1"/>
  <c r="Z322" i="1"/>
  <c r="B323" i="1"/>
  <c r="G323" i="1"/>
  <c r="L323" i="1"/>
  <c r="R323" i="1"/>
  <c r="V323" i="1"/>
  <c r="W323" i="1" s="1"/>
  <c r="X323" i="1"/>
  <c r="Y323" i="1" s="1"/>
  <c r="Z323" i="1"/>
  <c r="AB323" i="1" s="1"/>
  <c r="B324" i="1"/>
  <c r="G324" i="1"/>
  <c r="L324" i="1"/>
  <c r="R324" i="1"/>
  <c r="V324" i="1"/>
  <c r="W324" i="1" s="1"/>
  <c r="X324" i="1"/>
  <c r="Y324" i="1" s="1"/>
  <c r="Z324" i="1"/>
  <c r="B325" i="1"/>
  <c r="G325" i="1"/>
  <c r="L325" i="1"/>
  <c r="R325" i="1"/>
  <c r="V325" i="1"/>
  <c r="W325" i="1" s="1"/>
  <c r="X325" i="1"/>
  <c r="Y325" i="1" s="1"/>
  <c r="Z325" i="1"/>
  <c r="B326" i="1"/>
  <c r="G326" i="1"/>
  <c r="L326" i="1"/>
  <c r="R326" i="1"/>
  <c r="V326" i="1"/>
  <c r="W326" i="1" s="1"/>
  <c r="X326" i="1"/>
  <c r="Y326" i="1" s="1"/>
  <c r="Z326" i="1"/>
  <c r="AA326" i="1" s="1"/>
  <c r="B327" i="1"/>
  <c r="G327" i="1"/>
  <c r="L327" i="1"/>
  <c r="R327" i="1"/>
  <c r="V327" i="1"/>
  <c r="W327" i="1" s="1"/>
  <c r="X327" i="1"/>
  <c r="Y327" i="1" s="1"/>
  <c r="Z327" i="1"/>
  <c r="B328" i="1"/>
  <c r="G328" i="1"/>
  <c r="L328" i="1"/>
  <c r="R328" i="1"/>
  <c r="V328" i="1"/>
  <c r="W328" i="1" s="1"/>
  <c r="X328" i="1"/>
  <c r="Y328" i="1" s="1"/>
  <c r="Z328" i="1"/>
  <c r="AB328" i="1" s="1"/>
  <c r="AC328" i="1" s="1"/>
  <c r="B329" i="1"/>
  <c r="G329" i="1"/>
  <c r="L329" i="1"/>
  <c r="R329" i="1"/>
  <c r="V329" i="1"/>
  <c r="W329" i="1" s="1"/>
  <c r="X329" i="1"/>
  <c r="Y329" i="1"/>
  <c r="Z329" i="1"/>
  <c r="AA329" i="1" s="1"/>
  <c r="B330" i="1"/>
  <c r="G330" i="1"/>
  <c r="L330" i="1"/>
  <c r="R330" i="1"/>
  <c r="V330" i="1"/>
  <c r="W330" i="1" s="1"/>
  <c r="X330" i="1"/>
  <c r="Y330" i="1" s="1"/>
  <c r="Z330" i="1"/>
  <c r="AA330" i="1" s="1"/>
  <c r="B331" i="1"/>
  <c r="G331" i="1"/>
  <c r="L331" i="1"/>
  <c r="R331" i="1"/>
  <c r="V331" i="1"/>
  <c r="W331" i="1" s="1"/>
  <c r="X331" i="1"/>
  <c r="Y331" i="1" s="1"/>
  <c r="Z331" i="1"/>
  <c r="AA331" i="1" s="1"/>
  <c r="B332" i="1"/>
  <c r="G332" i="1"/>
  <c r="L332" i="1"/>
  <c r="R332" i="1"/>
  <c r="V332" i="1"/>
  <c r="W332" i="1" s="1"/>
  <c r="X332" i="1"/>
  <c r="Y332" i="1" s="1"/>
  <c r="Z332" i="1"/>
  <c r="AA332" i="1" s="1"/>
  <c r="AB332" i="1"/>
  <c r="AC332" i="1" s="1"/>
  <c r="B333" i="1"/>
  <c r="G333" i="1"/>
  <c r="L333" i="1"/>
  <c r="R333" i="1"/>
  <c r="V333" i="1"/>
  <c r="W333" i="1" s="1"/>
  <c r="X333" i="1"/>
  <c r="Y333" i="1" s="1"/>
  <c r="Z333" i="1"/>
  <c r="AA333" i="1" s="1"/>
  <c r="AB333" i="1"/>
  <c r="AD333" i="1" s="1"/>
  <c r="B334" i="1"/>
  <c r="G334" i="1"/>
  <c r="L334" i="1"/>
  <c r="R334" i="1"/>
  <c r="V334" i="1"/>
  <c r="W334" i="1" s="1"/>
  <c r="X334" i="1"/>
  <c r="Y334" i="1"/>
  <c r="Z334" i="1"/>
  <c r="AA334" i="1" s="1"/>
  <c r="B335" i="1"/>
  <c r="G335" i="1"/>
  <c r="L335" i="1"/>
  <c r="R335" i="1"/>
  <c r="V335" i="1"/>
  <c r="W335" i="1" s="1"/>
  <c r="X335" i="1"/>
  <c r="Y335" i="1" s="1"/>
  <c r="Z335" i="1"/>
  <c r="AB335" i="1" s="1"/>
  <c r="B336" i="1"/>
  <c r="G336" i="1"/>
  <c r="L336" i="1"/>
  <c r="R336" i="1"/>
  <c r="V336" i="1"/>
  <c r="W336" i="1" s="1"/>
  <c r="X336" i="1"/>
  <c r="Y336" i="1" s="1"/>
  <c r="Z336" i="1"/>
  <c r="AA336" i="1"/>
  <c r="AB336" i="1"/>
  <c r="AC336" i="1" s="1"/>
  <c r="B337" i="1"/>
  <c r="G337" i="1"/>
  <c r="L337" i="1"/>
  <c r="R337" i="1"/>
  <c r="V337" i="1"/>
  <c r="W337" i="1" s="1"/>
  <c r="X337" i="1"/>
  <c r="Y337" i="1" s="1"/>
  <c r="Z337" i="1"/>
  <c r="AA337" i="1" s="1"/>
  <c r="B338" i="1"/>
  <c r="G338" i="1"/>
  <c r="L338" i="1"/>
  <c r="R338" i="1"/>
  <c r="V338" i="1"/>
  <c r="W338" i="1" s="1"/>
  <c r="X338" i="1"/>
  <c r="Y338" i="1"/>
  <c r="Z338" i="1"/>
  <c r="AA338" i="1" s="1"/>
  <c r="B339" i="1"/>
  <c r="G339" i="1"/>
  <c r="L339" i="1"/>
  <c r="R339" i="1"/>
  <c r="V339" i="1"/>
  <c r="W339" i="1" s="1"/>
  <c r="X339" i="1"/>
  <c r="Y339" i="1" s="1"/>
  <c r="Z339" i="1"/>
  <c r="AB339" i="1" s="1"/>
  <c r="AD339" i="1" s="1"/>
  <c r="B340" i="1"/>
  <c r="G340" i="1"/>
  <c r="L340" i="1"/>
  <c r="R340" i="1"/>
  <c r="V340" i="1"/>
  <c r="W340" i="1" s="1"/>
  <c r="X340" i="1"/>
  <c r="Y340" i="1" s="1"/>
  <c r="Z340" i="1"/>
  <c r="AA340" i="1" s="1"/>
  <c r="B341" i="1"/>
  <c r="G341" i="1"/>
  <c r="L341" i="1"/>
  <c r="R341" i="1"/>
  <c r="V341" i="1"/>
  <c r="W341" i="1" s="1"/>
  <c r="X341" i="1"/>
  <c r="Y341" i="1" s="1"/>
  <c r="Z341" i="1"/>
  <c r="AA341" i="1" s="1"/>
  <c r="B342" i="1"/>
  <c r="G342" i="1"/>
  <c r="L342" i="1"/>
  <c r="R342" i="1"/>
  <c r="V342" i="1"/>
  <c r="W342" i="1" s="1"/>
  <c r="X342" i="1"/>
  <c r="Y342" i="1" s="1"/>
  <c r="Z342" i="1"/>
  <c r="AA342" i="1" s="1"/>
  <c r="B343" i="1"/>
  <c r="G343" i="1"/>
  <c r="L343" i="1"/>
  <c r="R343" i="1"/>
  <c r="V343" i="1"/>
  <c r="W343" i="1" s="1"/>
  <c r="X343" i="1"/>
  <c r="Y343" i="1" s="1"/>
  <c r="Z343" i="1"/>
  <c r="AB343" i="1" s="1"/>
  <c r="B344" i="1"/>
  <c r="G344" i="1"/>
  <c r="L344" i="1"/>
  <c r="R344" i="1"/>
  <c r="V344" i="1"/>
  <c r="W344" i="1" s="1"/>
  <c r="X344" i="1"/>
  <c r="Y344" i="1" s="1"/>
  <c r="Z344" i="1"/>
  <c r="AA344" i="1" s="1"/>
  <c r="AB344" i="1"/>
  <c r="AC344" i="1" s="1"/>
  <c r="B345" i="1"/>
  <c r="G345" i="1"/>
  <c r="L345" i="1"/>
  <c r="R345" i="1"/>
  <c r="V345" i="1"/>
  <c r="W345" i="1" s="1"/>
  <c r="X345" i="1"/>
  <c r="Y345" i="1"/>
  <c r="Z345" i="1"/>
  <c r="AB345" i="1" s="1"/>
  <c r="AD345" i="1" s="1"/>
  <c r="B346" i="1"/>
  <c r="G346" i="1"/>
  <c r="L346" i="1"/>
  <c r="R346" i="1"/>
  <c r="V346" i="1"/>
  <c r="W346" i="1" s="1"/>
  <c r="X346" i="1"/>
  <c r="Y346" i="1" s="1"/>
  <c r="Z346" i="1"/>
  <c r="B347" i="1"/>
  <c r="G347" i="1"/>
  <c r="L347" i="1"/>
  <c r="R347" i="1"/>
  <c r="V347" i="1"/>
  <c r="W347" i="1" s="1"/>
  <c r="X347" i="1"/>
  <c r="Y347" i="1" s="1"/>
  <c r="Z347" i="1"/>
  <c r="B348" i="1"/>
  <c r="G348" i="1"/>
  <c r="L348" i="1"/>
  <c r="R348" i="1"/>
  <c r="V348" i="1"/>
  <c r="W348" i="1" s="1"/>
  <c r="X348" i="1"/>
  <c r="Y348" i="1" s="1"/>
  <c r="Z348" i="1"/>
  <c r="AB348" i="1" s="1"/>
  <c r="AC348" i="1" s="1"/>
  <c r="AA348" i="1"/>
  <c r="AD348" i="1"/>
  <c r="B349" i="1"/>
  <c r="G349" i="1"/>
  <c r="L349" i="1"/>
  <c r="R349" i="1"/>
  <c r="V349" i="1"/>
  <c r="W349" i="1" s="1"/>
  <c r="X349" i="1"/>
  <c r="Y349" i="1" s="1"/>
  <c r="Z349" i="1"/>
  <c r="AB349" i="1" s="1"/>
  <c r="AD349" i="1" s="1"/>
  <c r="AC349" i="1"/>
  <c r="B350" i="1"/>
  <c r="G350" i="1"/>
  <c r="L350" i="1"/>
  <c r="R350" i="1"/>
  <c r="V350" i="1"/>
  <c r="W350" i="1" s="1"/>
  <c r="X350" i="1"/>
  <c r="Y350" i="1" s="1"/>
  <c r="Z350" i="1"/>
  <c r="AA350" i="1" s="1"/>
  <c r="B351" i="1"/>
  <c r="G351" i="1"/>
  <c r="L351" i="1"/>
  <c r="R351" i="1"/>
  <c r="V351" i="1"/>
  <c r="W351" i="1" s="1"/>
  <c r="X351" i="1"/>
  <c r="Y351" i="1" s="1"/>
  <c r="Z351" i="1"/>
  <c r="AB351" i="1" s="1"/>
  <c r="B352" i="1"/>
  <c r="G352" i="1"/>
  <c r="L352" i="1"/>
  <c r="R352" i="1"/>
  <c r="V352" i="1"/>
  <c r="W352" i="1" s="1"/>
  <c r="X352" i="1"/>
  <c r="Y352" i="1" s="1"/>
  <c r="Z352" i="1"/>
  <c r="AA352" i="1" s="1"/>
  <c r="B353" i="1"/>
  <c r="G353" i="1"/>
  <c r="L353" i="1"/>
  <c r="R353" i="1"/>
  <c r="V353" i="1"/>
  <c r="W353" i="1"/>
  <c r="X353" i="1"/>
  <c r="Y353" i="1" s="1"/>
  <c r="Z353" i="1"/>
  <c r="AB353" i="1" s="1"/>
  <c r="AD353" i="1" s="1"/>
  <c r="AA353" i="1"/>
  <c r="AC353" i="1"/>
  <c r="B354" i="1"/>
  <c r="G354" i="1"/>
  <c r="L354" i="1"/>
  <c r="R354" i="1"/>
  <c r="V354" i="1"/>
  <c r="W354" i="1" s="1"/>
  <c r="X354" i="1"/>
  <c r="Y354" i="1" s="1"/>
  <c r="Z354" i="1"/>
  <c r="B355" i="1"/>
  <c r="G355" i="1"/>
  <c r="L355" i="1"/>
  <c r="R355" i="1"/>
  <c r="V355" i="1"/>
  <c r="W355" i="1" s="1"/>
  <c r="X355" i="1"/>
  <c r="Y355" i="1" s="1"/>
  <c r="Z355" i="1"/>
  <c r="B356" i="1"/>
  <c r="G356" i="1"/>
  <c r="L356" i="1"/>
  <c r="R356" i="1"/>
  <c r="V356" i="1"/>
  <c r="W356" i="1" s="1"/>
  <c r="X356" i="1"/>
  <c r="Y356" i="1" s="1"/>
  <c r="Z356" i="1"/>
  <c r="AB356" i="1" s="1"/>
  <c r="AC356" i="1" s="1"/>
  <c r="AD356" i="1"/>
  <c r="B357" i="1"/>
  <c r="G357" i="1"/>
  <c r="L357" i="1"/>
  <c r="R357" i="1"/>
  <c r="V357" i="1"/>
  <c r="W357" i="1" s="1"/>
  <c r="X357" i="1"/>
  <c r="Y357" i="1"/>
  <c r="Z357" i="1"/>
  <c r="AB357" i="1" s="1"/>
  <c r="AD357" i="1" s="1"/>
  <c r="B358" i="1"/>
  <c r="G358" i="1"/>
  <c r="L358" i="1"/>
  <c r="R358" i="1"/>
  <c r="V358" i="1"/>
  <c r="W358" i="1" s="1"/>
  <c r="X358" i="1"/>
  <c r="Y358" i="1" s="1"/>
  <c r="Z358" i="1"/>
  <c r="AA358" i="1" s="1"/>
  <c r="B359" i="1"/>
  <c r="G359" i="1"/>
  <c r="L359" i="1"/>
  <c r="R359" i="1"/>
  <c r="V359" i="1"/>
  <c r="W359" i="1" s="1"/>
  <c r="X359" i="1"/>
  <c r="Y359" i="1" s="1"/>
  <c r="Z359" i="1"/>
  <c r="AB359" i="1" s="1"/>
  <c r="B360" i="1"/>
  <c r="G360" i="1"/>
  <c r="L360" i="1"/>
  <c r="R360" i="1"/>
  <c r="V360" i="1"/>
  <c r="W360" i="1" s="1"/>
  <c r="X360" i="1"/>
  <c r="Y360" i="1" s="1"/>
  <c r="Z360" i="1"/>
  <c r="AA360" i="1" s="1"/>
  <c r="AB360" i="1"/>
  <c r="AC360" i="1" s="1"/>
  <c r="B361" i="1"/>
  <c r="G361" i="1"/>
  <c r="L361" i="1"/>
  <c r="R361" i="1"/>
  <c r="V361" i="1"/>
  <c r="W361" i="1" s="1"/>
  <c r="X361" i="1"/>
  <c r="Y361" i="1"/>
  <c r="Z361" i="1"/>
  <c r="AB361" i="1" s="1"/>
  <c r="AD361" i="1" s="1"/>
  <c r="B362" i="1"/>
  <c r="G362" i="1"/>
  <c r="L362" i="1"/>
  <c r="R362" i="1"/>
  <c r="V362" i="1"/>
  <c r="W362" i="1" s="1"/>
  <c r="X362" i="1"/>
  <c r="Y362" i="1" s="1"/>
  <c r="Z362" i="1"/>
  <c r="B363" i="1"/>
  <c r="G363" i="1"/>
  <c r="L363" i="1"/>
  <c r="R363" i="1"/>
  <c r="V363" i="1"/>
  <c r="W363" i="1" s="1"/>
  <c r="X363" i="1"/>
  <c r="Y363" i="1" s="1"/>
  <c r="Z363" i="1"/>
  <c r="B364" i="1"/>
  <c r="G364" i="1"/>
  <c r="L364" i="1"/>
  <c r="R364" i="1"/>
  <c r="V364" i="1"/>
  <c r="W364" i="1" s="1"/>
  <c r="X364" i="1"/>
  <c r="Y364" i="1" s="1"/>
  <c r="Z364" i="1"/>
  <c r="AB364" i="1" s="1"/>
  <c r="AC364" i="1" s="1"/>
  <c r="B365" i="1"/>
  <c r="G365" i="1"/>
  <c r="L365" i="1"/>
  <c r="R365" i="1"/>
  <c r="V365" i="1"/>
  <c r="W365" i="1" s="1"/>
  <c r="X365" i="1"/>
  <c r="Y365" i="1" s="1"/>
  <c r="Z365" i="1"/>
  <c r="AB365" i="1" s="1"/>
  <c r="AD365" i="1" s="1"/>
  <c r="B366" i="1"/>
  <c r="G366" i="1"/>
  <c r="L366" i="1"/>
  <c r="R366" i="1"/>
  <c r="V366" i="1"/>
  <c r="W366" i="1" s="1"/>
  <c r="X366" i="1"/>
  <c r="Y366" i="1" s="1"/>
  <c r="Z366" i="1"/>
  <c r="AA366" i="1" s="1"/>
  <c r="B367" i="1"/>
  <c r="G367" i="1"/>
  <c r="L367" i="1"/>
  <c r="R367" i="1"/>
  <c r="V367" i="1"/>
  <c r="W367" i="1"/>
  <c r="X367" i="1"/>
  <c r="Y367" i="1" s="1"/>
  <c r="Z367" i="1"/>
  <c r="AB367" i="1" s="1"/>
  <c r="AA367" i="1"/>
  <c r="B368" i="1"/>
  <c r="G368" i="1"/>
  <c r="L368" i="1"/>
  <c r="R368" i="1"/>
  <c r="V368" i="1"/>
  <c r="W368" i="1" s="1"/>
  <c r="X368" i="1"/>
  <c r="Y368" i="1" s="1"/>
  <c r="Z368" i="1"/>
  <c r="AA368" i="1" s="1"/>
  <c r="B369" i="1"/>
  <c r="G369" i="1"/>
  <c r="L369" i="1"/>
  <c r="R369" i="1"/>
  <c r="V369" i="1"/>
  <c r="W369" i="1" s="1"/>
  <c r="X369" i="1"/>
  <c r="Y369" i="1" s="1"/>
  <c r="Z369" i="1"/>
  <c r="AB369" i="1" s="1"/>
  <c r="AD369" i="1" s="1"/>
  <c r="B370" i="1"/>
  <c r="G370" i="1"/>
  <c r="L370" i="1"/>
  <c r="R370" i="1"/>
  <c r="V370" i="1"/>
  <c r="W370" i="1" s="1"/>
  <c r="X370" i="1"/>
  <c r="Y370" i="1" s="1"/>
  <c r="Z370" i="1"/>
  <c r="B371" i="1"/>
  <c r="G371" i="1"/>
  <c r="L371" i="1"/>
  <c r="R371" i="1"/>
  <c r="V371" i="1"/>
  <c r="W371" i="1" s="1"/>
  <c r="X371" i="1"/>
  <c r="Y371" i="1" s="1"/>
  <c r="Z371" i="1"/>
  <c r="B372" i="1"/>
  <c r="G372" i="1"/>
  <c r="L372" i="1"/>
  <c r="R372" i="1"/>
  <c r="V372" i="1"/>
  <c r="W372" i="1" s="1"/>
  <c r="X372" i="1"/>
  <c r="Y372" i="1" s="1"/>
  <c r="Z372" i="1"/>
  <c r="AB372" i="1" s="1"/>
  <c r="AC372" i="1" s="1"/>
  <c r="B373" i="1"/>
  <c r="G373" i="1"/>
  <c r="L373" i="1"/>
  <c r="R373" i="1"/>
  <c r="V373" i="1"/>
  <c r="W373" i="1" s="1"/>
  <c r="X373" i="1"/>
  <c r="Y373" i="1" s="1"/>
  <c r="Z373" i="1"/>
  <c r="AB373" i="1" s="1"/>
  <c r="AD373" i="1" s="1"/>
  <c r="AC373" i="1"/>
  <c r="B374" i="1"/>
  <c r="G374" i="1"/>
  <c r="L374" i="1"/>
  <c r="R374" i="1"/>
  <c r="V374" i="1"/>
  <c r="W374" i="1" s="1"/>
  <c r="X374" i="1"/>
  <c r="Y374" i="1" s="1"/>
  <c r="Z374" i="1"/>
  <c r="B375" i="1"/>
  <c r="G375" i="1"/>
  <c r="L375" i="1"/>
  <c r="R375" i="1"/>
  <c r="V375" i="1"/>
  <c r="W375" i="1" s="1"/>
  <c r="X375" i="1"/>
  <c r="Y375" i="1" s="1"/>
  <c r="Z375" i="1"/>
  <c r="AB375" i="1" s="1"/>
  <c r="B376" i="1"/>
  <c r="G376" i="1"/>
  <c r="L376" i="1"/>
  <c r="R376" i="1"/>
  <c r="V376" i="1"/>
  <c r="W376" i="1" s="1"/>
  <c r="X376" i="1"/>
  <c r="Y376" i="1" s="1"/>
  <c r="Z376" i="1"/>
  <c r="AA376" i="1" s="1"/>
  <c r="B377" i="1"/>
  <c r="G377" i="1"/>
  <c r="L377" i="1"/>
  <c r="R377" i="1"/>
  <c r="V377" i="1"/>
  <c r="W377" i="1"/>
  <c r="X377" i="1"/>
  <c r="Y377" i="1" s="1"/>
  <c r="Z377" i="1"/>
  <c r="AB377" i="1" s="1"/>
  <c r="AD377" i="1" s="1"/>
  <c r="AA377" i="1"/>
  <c r="B378" i="1"/>
  <c r="G378" i="1"/>
  <c r="L378" i="1"/>
  <c r="R378" i="1"/>
  <c r="V378" i="1"/>
  <c r="W378" i="1" s="1"/>
  <c r="X378" i="1"/>
  <c r="Y378" i="1" s="1"/>
  <c r="Z378" i="1"/>
  <c r="B379" i="1"/>
  <c r="G379" i="1"/>
  <c r="L379" i="1"/>
  <c r="R379" i="1"/>
  <c r="V379" i="1"/>
  <c r="W379" i="1" s="1"/>
  <c r="X379" i="1"/>
  <c r="Y379" i="1" s="1"/>
  <c r="Z379" i="1"/>
  <c r="B380" i="1"/>
  <c r="G380" i="1"/>
  <c r="L380" i="1"/>
  <c r="R380" i="1"/>
  <c r="V380" i="1"/>
  <c r="W380" i="1" s="1"/>
  <c r="X380" i="1"/>
  <c r="Y380" i="1" s="1"/>
  <c r="Z380" i="1"/>
  <c r="AB380" i="1" s="1"/>
  <c r="AC380" i="1" s="1"/>
  <c r="B381" i="1"/>
  <c r="G381" i="1"/>
  <c r="L381" i="1"/>
  <c r="R381" i="1"/>
  <c r="V381" i="1"/>
  <c r="W381" i="1" s="1"/>
  <c r="X381" i="1"/>
  <c r="Y381" i="1" s="1"/>
  <c r="Z381" i="1"/>
  <c r="AA381" i="1" s="1"/>
  <c r="B382" i="1"/>
  <c r="G382" i="1"/>
  <c r="L382" i="1"/>
  <c r="R382" i="1"/>
  <c r="V382" i="1"/>
  <c r="W382" i="1" s="1"/>
  <c r="X382" i="1"/>
  <c r="Y382" i="1" s="1"/>
  <c r="Z382" i="1"/>
  <c r="B383" i="1"/>
  <c r="G383" i="1"/>
  <c r="L383" i="1"/>
  <c r="R383" i="1"/>
  <c r="V383" i="1"/>
  <c r="W383" i="1" s="1"/>
  <c r="X383" i="1"/>
  <c r="Y383" i="1" s="1"/>
  <c r="Z383" i="1"/>
  <c r="E3" i="4"/>
  <c r="G3" i="4" s="1"/>
  <c r="O3" i="4" s="1"/>
  <c r="N4" i="4"/>
  <c r="E4" i="4"/>
  <c r="G4" i="4" s="1"/>
  <c r="N5" i="4"/>
  <c r="E5" i="4"/>
  <c r="G5" i="4" s="1"/>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B17" i="2"/>
  <c r="E19" i="4" s="1"/>
  <c r="G19" i="4" s="1"/>
  <c r="B24" i="2"/>
  <c r="B20" i="2"/>
  <c r="B18" i="2"/>
  <c r="B4" i="2"/>
  <c r="G4" i="2"/>
  <c r="M4" i="2"/>
  <c r="S4" i="2"/>
  <c r="W4" i="2"/>
  <c r="X4" i="2" s="1"/>
  <c r="Y4" i="2"/>
  <c r="Z4" i="2" s="1"/>
  <c r="AA4" i="2"/>
  <c r="AB4" i="2" s="1"/>
  <c r="B5" i="2"/>
  <c r="G5" i="2"/>
  <c r="M5" i="2"/>
  <c r="S5" i="2"/>
  <c r="W5" i="2"/>
  <c r="X5" i="2" s="1"/>
  <c r="Y5" i="2"/>
  <c r="Z5" i="2" s="1"/>
  <c r="AA5" i="2"/>
  <c r="AC5" i="2" s="1"/>
  <c r="AB5" i="2"/>
  <c r="B6" i="2"/>
  <c r="G6" i="2"/>
  <c r="M6" i="2"/>
  <c r="S6" i="2"/>
  <c r="W6" i="2"/>
  <c r="X6" i="2" s="1"/>
  <c r="Y6" i="2"/>
  <c r="Z6" i="2"/>
  <c r="AA6" i="2"/>
  <c r="AB6" i="2" s="1"/>
  <c r="B7" i="2"/>
  <c r="G7" i="2"/>
  <c r="M7" i="2"/>
  <c r="S7" i="2"/>
  <c r="W7" i="2"/>
  <c r="X7" i="2"/>
  <c r="Y7" i="2"/>
  <c r="Z7" i="2"/>
  <c r="AA7" i="2"/>
  <c r="AC7" i="2" s="1"/>
  <c r="AB7" i="2"/>
  <c r="B8" i="2"/>
  <c r="G8" i="2"/>
  <c r="M8" i="2"/>
  <c r="S8" i="2"/>
  <c r="W8" i="2"/>
  <c r="X8" i="2" s="1"/>
  <c r="Y8" i="2"/>
  <c r="Z8" i="2" s="1"/>
  <c r="AA8" i="2"/>
  <c r="AB8" i="2"/>
  <c r="AC8" i="2"/>
  <c r="AD8" i="2" s="1"/>
  <c r="B9" i="2"/>
  <c r="G9" i="2"/>
  <c r="M9" i="2"/>
  <c r="S9" i="2"/>
  <c r="W9" i="2"/>
  <c r="X9" i="2" s="1"/>
  <c r="Y9" i="2"/>
  <c r="Z9" i="2"/>
  <c r="AA9" i="2"/>
  <c r="AB9" i="2" s="1"/>
  <c r="B10" i="2"/>
  <c r="G10" i="2"/>
  <c r="M10" i="2"/>
  <c r="S10" i="2"/>
  <c r="W10" i="2"/>
  <c r="X10" i="2" s="1"/>
  <c r="Y10" i="2"/>
  <c r="Z10" i="2" s="1"/>
  <c r="AA10" i="2"/>
  <c r="AC10" i="2" s="1"/>
  <c r="AE10" i="2" s="1"/>
  <c r="AB10" i="2"/>
  <c r="AD10" i="2"/>
  <c r="B11" i="2"/>
  <c r="G11" i="2"/>
  <c r="M11" i="2"/>
  <c r="S11" i="2"/>
  <c r="W11" i="2"/>
  <c r="X11" i="2" s="1"/>
  <c r="Y11" i="2"/>
  <c r="Z11" i="2"/>
  <c r="AA11" i="2"/>
  <c r="AB11" i="2" s="1"/>
  <c r="B12" i="2"/>
  <c r="G12" i="2"/>
  <c r="M12" i="2"/>
  <c r="S12" i="2"/>
  <c r="W12" i="2"/>
  <c r="X12" i="2" s="1"/>
  <c r="Y12" i="2"/>
  <c r="Z12" i="2" s="1"/>
  <c r="AA12" i="2"/>
  <c r="AB12" i="2" s="1"/>
  <c r="B13" i="2"/>
  <c r="G13" i="2"/>
  <c r="M13" i="2"/>
  <c r="S13" i="2"/>
  <c r="W13" i="2"/>
  <c r="X13" i="2" s="1"/>
  <c r="Y13" i="2"/>
  <c r="Z13" i="2" s="1"/>
  <c r="AA13" i="2"/>
  <c r="AC13" i="2" s="1"/>
  <c r="B14" i="2"/>
  <c r="G14" i="2"/>
  <c r="M14" i="2"/>
  <c r="S14" i="2"/>
  <c r="W14" i="2"/>
  <c r="X14" i="2" s="1"/>
  <c r="Y14" i="2"/>
  <c r="Z14" i="2"/>
  <c r="AA14" i="2"/>
  <c r="AB14" i="2" s="1"/>
  <c r="B15" i="2"/>
  <c r="G15" i="2"/>
  <c r="M15" i="2"/>
  <c r="S15" i="2"/>
  <c r="W15" i="2"/>
  <c r="X15" i="2" s="1"/>
  <c r="Y15" i="2"/>
  <c r="Z15" i="2" s="1"/>
  <c r="AA15" i="2"/>
  <c r="AC15" i="2" s="1"/>
  <c r="B16" i="2"/>
  <c r="G16" i="2"/>
  <c r="M16" i="2"/>
  <c r="S16" i="2"/>
  <c r="W16" i="2"/>
  <c r="X16" i="2" s="1"/>
  <c r="Y16" i="2"/>
  <c r="Z16" i="2" s="1"/>
  <c r="AA16" i="2"/>
  <c r="AB16" i="2" s="1"/>
  <c r="G17" i="2"/>
  <c r="M17" i="2"/>
  <c r="S17" i="2"/>
  <c r="W17" i="2"/>
  <c r="X17" i="2" s="1"/>
  <c r="Y17" i="2"/>
  <c r="Z17" i="2" s="1"/>
  <c r="AA17" i="2"/>
  <c r="AB17" i="2" s="1"/>
  <c r="G18" i="2"/>
  <c r="M18" i="2"/>
  <c r="S18" i="2"/>
  <c r="W18" i="2"/>
  <c r="X18" i="2"/>
  <c r="Y18" i="2"/>
  <c r="Z18" i="2" s="1"/>
  <c r="AA18" i="2"/>
  <c r="AB18" i="2" s="1"/>
  <c r="B19" i="2"/>
  <c r="G19" i="2"/>
  <c r="M19" i="2"/>
  <c r="S19" i="2"/>
  <c r="W19" i="2"/>
  <c r="X19" i="2"/>
  <c r="Y19" i="2"/>
  <c r="Z19" i="2" s="1"/>
  <c r="AA19" i="2"/>
  <c r="AC19" i="2" s="1"/>
  <c r="G20" i="2"/>
  <c r="M20" i="2"/>
  <c r="S20" i="2"/>
  <c r="W20" i="2"/>
  <c r="X20" i="2" s="1"/>
  <c r="Y20" i="2"/>
  <c r="Z20" i="2"/>
  <c r="AA20" i="2"/>
  <c r="AC20" i="2" s="1"/>
  <c r="B21" i="2"/>
  <c r="G21" i="2"/>
  <c r="M21" i="2"/>
  <c r="S21" i="2"/>
  <c r="W21" i="2"/>
  <c r="X21" i="2" s="1"/>
  <c r="Y21" i="2"/>
  <c r="Z21" i="2" s="1"/>
  <c r="AA21" i="2"/>
  <c r="AB21" i="2" s="1"/>
  <c r="B22" i="2"/>
  <c r="G22" i="2"/>
  <c r="M22" i="2"/>
  <c r="S22" i="2"/>
  <c r="W22" i="2"/>
  <c r="X22" i="2" s="1"/>
  <c r="Y22" i="2"/>
  <c r="Z22" i="2"/>
  <c r="AA22" i="2"/>
  <c r="AC22" i="2" s="1"/>
  <c r="AE22" i="2" s="1"/>
  <c r="B23" i="2"/>
  <c r="G23" i="2"/>
  <c r="M23" i="2"/>
  <c r="S23" i="2"/>
  <c r="W23" i="2"/>
  <c r="X23" i="2" s="1"/>
  <c r="Y23" i="2"/>
  <c r="Z23" i="2" s="1"/>
  <c r="AA23" i="2"/>
  <c r="AB23" i="2" s="1"/>
  <c r="G24" i="2"/>
  <c r="M24" i="2"/>
  <c r="S24" i="2"/>
  <c r="W24" i="2"/>
  <c r="X24" i="2" s="1"/>
  <c r="Y24" i="2"/>
  <c r="Z24" i="2" s="1"/>
  <c r="AA24" i="2"/>
  <c r="AB24" i="2" s="1"/>
  <c r="G25" i="2"/>
  <c r="G26" i="2"/>
  <c r="G27" i="2"/>
  <c r="G28" i="2"/>
  <c r="G29" i="2"/>
  <c r="G30" i="2"/>
  <c r="G31" i="2"/>
  <c r="H19" i="4"/>
  <c r="H20" i="4"/>
  <c r="E20" i="4"/>
  <c r="G20" i="4" s="1"/>
  <c r="H21" i="4"/>
  <c r="E21" i="4"/>
  <c r="G21" i="4" s="1"/>
  <c r="H22" i="4"/>
  <c r="E22" i="4"/>
  <c r="G22" i="4" s="1"/>
  <c r="H23" i="4"/>
  <c r="I23" i="4" s="1"/>
  <c r="E23" i="4"/>
  <c r="G23" i="4" s="1"/>
  <c r="M23" i="4" s="1"/>
  <c r="H3" i="4"/>
  <c r="P3" i="4"/>
  <c r="H4" i="4"/>
  <c r="I4" i="4" s="1"/>
  <c r="P5" i="4"/>
  <c r="Q5" i="4" s="1"/>
  <c r="H6" i="4"/>
  <c r="H7" i="4"/>
  <c r="I7" i="4" s="1"/>
  <c r="H8" i="4"/>
  <c r="P8" i="4"/>
  <c r="H9" i="4"/>
  <c r="I9" i="4" s="1"/>
  <c r="P9" i="4"/>
  <c r="H10" i="4"/>
  <c r="P10" i="4"/>
  <c r="H11" i="4"/>
  <c r="P11" i="4"/>
  <c r="H12" i="4"/>
  <c r="P12" i="4"/>
  <c r="H13" i="4"/>
  <c r="I13" i="4" s="1"/>
  <c r="P13" i="4"/>
  <c r="H14" i="4"/>
  <c r="P14" i="4"/>
  <c r="J20" i="4"/>
  <c r="J21" i="4"/>
  <c r="J22" i="4"/>
  <c r="J23" i="4"/>
  <c r="E28" i="6"/>
  <c r="N4" i="8"/>
  <c r="B428" i="1"/>
  <c r="B449" i="1"/>
  <c r="B460" i="1"/>
  <c r="C4" i="8" s="1"/>
  <c r="B465" i="1"/>
  <c r="B386" i="1"/>
  <c r="G386" i="1"/>
  <c r="L386" i="1"/>
  <c r="R386" i="1"/>
  <c r="V386" i="1"/>
  <c r="W386" i="1" s="1"/>
  <c r="X386" i="1"/>
  <c r="Y386" i="1" s="1"/>
  <c r="Z386" i="1"/>
  <c r="AB386" i="1" s="1"/>
  <c r="AC386" i="1" s="1"/>
  <c r="B387" i="1"/>
  <c r="G387" i="1"/>
  <c r="L387" i="1"/>
  <c r="R387" i="1"/>
  <c r="V387" i="1"/>
  <c r="W387" i="1" s="1"/>
  <c r="X387" i="1"/>
  <c r="Y387" i="1" s="1"/>
  <c r="Z387" i="1"/>
  <c r="AA387" i="1" s="1"/>
  <c r="B388" i="1"/>
  <c r="G388" i="1"/>
  <c r="L388" i="1"/>
  <c r="R388" i="1"/>
  <c r="V388" i="1"/>
  <c r="W388" i="1"/>
  <c r="X388" i="1"/>
  <c r="Y388" i="1" s="1"/>
  <c r="Z388" i="1"/>
  <c r="AB388" i="1" s="1"/>
  <c r="AD388" i="1" s="1"/>
  <c r="AC388" i="1"/>
  <c r="B389" i="1"/>
  <c r="G389" i="1"/>
  <c r="L389" i="1"/>
  <c r="R389" i="1"/>
  <c r="V389" i="1"/>
  <c r="W389" i="1" s="1"/>
  <c r="X389" i="1"/>
  <c r="Y389" i="1" s="1"/>
  <c r="Z389" i="1"/>
  <c r="AB389" i="1" s="1"/>
  <c r="AA389" i="1"/>
  <c r="B390" i="1"/>
  <c r="G390" i="1"/>
  <c r="L390" i="1"/>
  <c r="R390" i="1"/>
  <c r="V390" i="1"/>
  <c r="W390" i="1" s="1"/>
  <c r="X390" i="1"/>
  <c r="Y390" i="1" s="1"/>
  <c r="Z390" i="1"/>
  <c r="AA390" i="1" s="1"/>
  <c r="B391" i="1"/>
  <c r="G391" i="1"/>
  <c r="L391" i="1"/>
  <c r="R391" i="1"/>
  <c r="V391" i="1"/>
  <c r="W391" i="1" s="1"/>
  <c r="X391" i="1"/>
  <c r="Y391" i="1" s="1"/>
  <c r="Z391" i="1"/>
  <c r="AB391" i="1" s="1"/>
  <c r="AA391" i="1"/>
  <c r="B392" i="1"/>
  <c r="G392" i="1"/>
  <c r="L392" i="1"/>
  <c r="R392" i="1"/>
  <c r="V392" i="1"/>
  <c r="W392" i="1" s="1"/>
  <c r="X392" i="1"/>
  <c r="Y392" i="1" s="1"/>
  <c r="Z392" i="1"/>
  <c r="B393" i="1"/>
  <c r="G393" i="1"/>
  <c r="L393" i="1"/>
  <c r="R393" i="1"/>
  <c r="V393" i="1"/>
  <c r="W393" i="1" s="1"/>
  <c r="X393" i="1"/>
  <c r="Y393" i="1" s="1"/>
  <c r="Z393" i="1"/>
  <c r="AA393" i="1" s="1"/>
  <c r="B394" i="1"/>
  <c r="G394" i="1"/>
  <c r="L394" i="1"/>
  <c r="R394" i="1"/>
  <c r="V394" i="1"/>
  <c r="W394" i="1" s="1"/>
  <c r="X394" i="1"/>
  <c r="Y394" i="1" s="1"/>
  <c r="Z394" i="1"/>
  <c r="AA394" i="1" s="1"/>
  <c r="B395" i="1"/>
  <c r="G395" i="1"/>
  <c r="L395" i="1"/>
  <c r="R395" i="1"/>
  <c r="V395" i="1"/>
  <c r="W395" i="1" s="1"/>
  <c r="X395" i="1"/>
  <c r="Y395" i="1" s="1"/>
  <c r="Z395" i="1"/>
  <c r="AA395" i="1" s="1"/>
  <c r="B396" i="1"/>
  <c r="G396" i="1"/>
  <c r="L396" i="1"/>
  <c r="R396" i="1"/>
  <c r="V396" i="1"/>
  <c r="W396" i="1"/>
  <c r="X396" i="1"/>
  <c r="Y396" i="1" s="1"/>
  <c r="Z396" i="1"/>
  <c r="AA396" i="1" s="1"/>
  <c r="B397" i="1"/>
  <c r="G397" i="1"/>
  <c r="L397" i="1"/>
  <c r="R397" i="1"/>
  <c r="V397" i="1"/>
  <c r="W397" i="1" s="1"/>
  <c r="X397" i="1"/>
  <c r="Y397" i="1" s="1"/>
  <c r="Z397" i="1"/>
  <c r="AB397" i="1" s="1"/>
  <c r="B398" i="1"/>
  <c r="G398" i="1"/>
  <c r="L398" i="1"/>
  <c r="R398" i="1"/>
  <c r="V398" i="1"/>
  <c r="W398" i="1" s="1"/>
  <c r="X398" i="1"/>
  <c r="Y398" i="1" s="1"/>
  <c r="Z398" i="1"/>
  <c r="AB398" i="1" s="1"/>
  <c r="AC398" i="1" s="1"/>
  <c r="B399" i="1"/>
  <c r="G399" i="1"/>
  <c r="L399" i="1"/>
  <c r="R399" i="1"/>
  <c r="V399" i="1"/>
  <c r="W399" i="1" s="1"/>
  <c r="X399" i="1"/>
  <c r="Y399" i="1" s="1"/>
  <c r="Z399" i="1"/>
  <c r="B400" i="1"/>
  <c r="G400" i="1"/>
  <c r="L400" i="1"/>
  <c r="R400" i="1"/>
  <c r="V400" i="1"/>
  <c r="W400" i="1" s="1"/>
  <c r="X400" i="1"/>
  <c r="Y400" i="1"/>
  <c r="Z400" i="1"/>
  <c r="AB400" i="1" s="1"/>
  <c r="B401" i="1"/>
  <c r="G401" i="1"/>
  <c r="L401" i="1"/>
  <c r="R401" i="1"/>
  <c r="V401" i="1"/>
  <c r="W401" i="1" s="1"/>
  <c r="X401" i="1"/>
  <c r="Y401" i="1" s="1"/>
  <c r="Z401" i="1"/>
  <c r="AA401" i="1" s="1"/>
  <c r="B402" i="1"/>
  <c r="G402" i="1"/>
  <c r="L402" i="1"/>
  <c r="R402" i="1"/>
  <c r="V402" i="1"/>
  <c r="W402" i="1"/>
  <c r="X402" i="1"/>
  <c r="Y402" i="1" s="1"/>
  <c r="Z402" i="1"/>
  <c r="AA402" i="1" s="1"/>
  <c r="B403" i="1"/>
  <c r="G403" i="1"/>
  <c r="L403" i="1"/>
  <c r="R403" i="1"/>
  <c r="V403" i="1"/>
  <c r="W403" i="1" s="1"/>
  <c r="X403" i="1"/>
  <c r="Y403" i="1" s="1"/>
  <c r="Z403" i="1"/>
  <c r="AA403" i="1" s="1"/>
  <c r="AB403" i="1"/>
  <c r="AC403" i="1" s="1"/>
  <c r="B404" i="1"/>
  <c r="G404" i="1"/>
  <c r="L404" i="1"/>
  <c r="R404" i="1"/>
  <c r="V404" i="1"/>
  <c r="W404" i="1" s="1"/>
  <c r="X404" i="1"/>
  <c r="Y404" i="1"/>
  <c r="Z404" i="1"/>
  <c r="AA404" i="1" s="1"/>
  <c r="B405" i="1"/>
  <c r="G405" i="1"/>
  <c r="L405" i="1"/>
  <c r="R405" i="1"/>
  <c r="V405" i="1"/>
  <c r="W405" i="1" s="1"/>
  <c r="X405" i="1"/>
  <c r="Y405" i="1" s="1"/>
  <c r="Z405" i="1"/>
  <c r="AB405" i="1" s="1"/>
  <c r="B406" i="1"/>
  <c r="G406" i="1"/>
  <c r="L406" i="1"/>
  <c r="R406" i="1"/>
  <c r="V406" i="1"/>
  <c r="W406" i="1" s="1"/>
  <c r="X406" i="1"/>
  <c r="Y406" i="1"/>
  <c r="Z406" i="1"/>
  <c r="AA406" i="1" s="1"/>
  <c r="B407" i="1"/>
  <c r="G407" i="1"/>
  <c r="L407" i="1"/>
  <c r="R407" i="1"/>
  <c r="V407" i="1"/>
  <c r="W407" i="1" s="1"/>
  <c r="X407" i="1"/>
  <c r="Y407" i="1" s="1"/>
  <c r="Z407" i="1"/>
  <c r="B408" i="1"/>
  <c r="G408" i="1"/>
  <c r="R408" i="1"/>
  <c r="V408" i="1"/>
  <c r="W408" i="1" s="1"/>
  <c r="X408" i="1"/>
  <c r="Y408" i="1" s="1"/>
  <c r="Z408" i="1"/>
  <c r="AA408" i="1" s="1"/>
  <c r="B409" i="1"/>
  <c r="G409" i="1"/>
  <c r="R409" i="1"/>
  <c r="V409" i="1"/>
  <c r="W409" i="1" s="1"/>
  <c r="X409" i="1"/>
  <c r="Y409" i="1" s="1"/>
  <c r="Z409" i="1"/>
  <c r="AA409" i="1" s="1"/>
  <c r="B410" i="1"/>
  <c r="B7" i="8" s="1"/>
  <c r="G410" i="1"/>
  <c r="R410" i="1"/>
  <c r="V410" i="1"/>
  <c r="W410" i="1" s="1"/>
  <c r="X410" i="1"/>
  <c r="Y410" i="1" s="1"/>
  <c r="Z410" i="1"/>
  <c r="AB410" i="1" s="1"/>
  <c r="B411" i="1"/>
  <c r="G411" i="1"/>
  <c r="R411" i="1"/>
  <c r="V411" i="1"/>
  <c r="W411" i="1" s="1"/>
  <c r="X411" i="1"/>
  <c r="Y411" i="1" s="1"/>
  <c r="Z411" i="1"/>
  <c r="B412" i="1"/>
  <c r="G412" i="1"/>
  <c r="R412" i="1"/>
  <c r="V412" i="1"/>
  <c r="W412" i="1" s="1"/>
  <c r="X412" i="1"/>
  <c r="Y412" i="1" s="1"/>
  <c r="Z412" i="1"/>
  <c r="AA412" i="1" s="1"/>
  <c r="B413" i="1"/>
  <c r="G413" i="1"/>
  <c r="R413" i="1"/>
  <c r="V413" i="1"/>
  <c r="W413" i="1" s="1"/>
  <c r="X413" i="1"/>
  <c r="Y413" i="1" s="1"/>
  <c r="Z413" i="1"/>
  <c r="AA413" i="1" s="1"/>
  <c r="B414" i="1"/>
  <c r="G414" i="1"/>
  <c r="R414" i="1"/>
  <c r="V414" i="1"/>
  <c r="W414" i="1" s="1"/>
  <c r="X414" i="1"/>
  <c r="Y414" i="1" s="1"/>
  <c r="Z414" i="1"/>
  <c r="AA414" i="1" s="1"/>
  <c r="B415" i="1"/>
  <c r="G415" i="1"/>
  <c r="R415" i="1"/>
  <c r="V415" i="1"/>
  <c r="W415" i="1" s="1"/>
  <c r="X415" i="1"/>
  <c r="Y415" i="1" s="1"/>
  <c r="Z415" i="1"/>
  <c r="B416" i="1"/>
  <c r="G416" i="1"/>
  <c r="R416" i="1"/>
  <c r="V416" i="1"/>
  <c r="W416" i="1" s="1"/>
  <c r="X416" i="1"/>
  <c r="Y416" i="1" s="1"/>
  <c r="Z416" i="1"/>
  <c r="AA416" i="1" s="1"/>
  <c r="B417" i="1"/>
  <c r="G417" i="1"/>
  <c r="L417" i="1"/>
  <c r="R417" i="1"/>
  <c r="V417" i="1"/>
  <c r="W417" i="1"/>
  <c r="X417" i="1"/>
  <c r="Y417" i="1" s="1"/>
  <c r="Z417" i="1"/>
  <c r="AA417" i="1"/>
  <c r="AB417" i="1"/>
  <c r="AD417" i="1" s="1"/>
  <c r="B418" i="1"/>
  <c r="G418" i="1"/>
  <c r="L418" i="1"/>
  <c r="R418" i="1"/>
  <c r="V418" i="1"/>
  <c r="W418" i="1" s="1"/>
  <c r="X418" i="1"/>
  <c r="Y418" i="1" s="1"/>
  <c r="Z418" i="1"/>
  <c r="AA418" i="1" s="1"/>
  <c r="B419" i="1"/>
  <c r="G419" i="1"/>
  <c r="L419" i="1"/>
  <c r="R419" i="1"/>
  <c r="V419" i="1"/>
  <c r="W419" i="1" s="1"/>
  <c r="X419" i="1"/>
  <c r="Y419" i="1" s="1"/>
  <c r="Z419" i="1"/>
  <c r="AA419" i="1" s="1"/>
  <c r="B420" i="1"/>
  <c r="G420" i="1"/>
  <c r="L420" i="1"/>
  <c r="R420" i="1"/>
  <c r="V420" i="1"/>
  <c r="W420" i="1" s="1"/>
  <c r="X420" i="1"/>
  <c r="Y420" i="1" s="1"/>
  <c r="Z420" i="1"/>
  <c r="AA420" i="1" s="1"/>
  <c r="B421" i="1"/>
  <c r="G421" i="1"/>
  <c r="L421" i="1"/>
  <c r="R421" i="1"/>
  <c r="V421" i="1"/>
  <c r="W421" i="1"/>
  <c r="X421" i="1"/>
  <c r="Y421" i="1" s="1"/>
  <c r="Z421" i="1"/>
  <c r="AB421" i="1" s="1"/>
  <c r="AC421" i="1" s="1"/>
  <c r="AA421" i="1"/>
  <c r="B422" i="1"/>
  <c r="G422" i="1"/>
  <c r="L422" i="1"/>
  <c r="R422" i="1"/>
  <c r="V422" i="1"/>
  <c r="W422" i="1" s="1"/>
  <c r="X422" i="1"/>
  <c r="Y422" i="1" s="1"/>
  <c r="Z422" i="1"/>
  <c r="B423" i="1"/>
  <c r="G423" i="1"/>
  <c r="L423" i="1"/>
  <c r="R423" i="1"/>
  <c r="V423" i="1"/>
  <c r="W423" i="1" s="1"/>
  <c r="X423" i="1"/>
  <c r="Y423" i="1" s="1"/>
  <c r="Z423" i="1"/>
  <c r="AB423" i="1" s="1"/>
  <c r="B424" i="1"/>
  <c r="G424" i="1"/>
  <c r="L424" i="1"/>
  <c r="R424" i="1"/>
  <c r="V424" i="1"/>
  <c r="W424" i="1" s="1"/>
  <c r="X424" i="1"/>
  <c r="Y424" i="1" s="1"/>
  <c r="Z424" i="1"/>
  <c r="AA424" i="1" s="1"/>
  <c r="B425" i="1"/>
  <c r="G425" i="1"/>
  <c r="L425" i="1"/>
  <c r="R425" i="1"/>
  <c r="V425" i="1"/>
  <c r="W425" i="1"/>
  <c r="X425" i="1"/>
  <c r="Y425" i="1" s="1"/>
  <c r="Z425" i="1"/>
  <c r="AA425" i="1" s="1"/>
  <c r="AB425" i="1"/>
  <c r="AD425" i="1" s="1"/>
  <c r="AC425" i="1"/>
  <c r="B426" i="1"/>
  <c r="G426" i="1"/>
  <c r="L426" i="1"/>
  <c r="R426" i="1"/>
  <c r="V426" i="1"/>
  <c r="W426" i="1" s="1"/>
  <c r="X426" i="1"/>
  <c r="Y426" i="1" s="1"/>
  <c r="Z426" i="1"/>
  <c r="AB426" i="1" s="1"/>
  <c r="AA426" i="1"/>
  <c r="B427" i="1"/>
  <c r="G427" i="1"/>
  <c r="L427" i="1"/>
  <c r="R427" i="1"/>
  <c r="V427" i="1"/>
  <c r="W427" i="1" s="1"/>
  <c r="X427" i="1"/>
  <c r="Y427" i="1" s="1"/>
  <c r="Z427" i="1"/>
  <c r="AA427" i="1" s="1"/>
  <c r="G428" i="1"/>
  <c r="L428" i="1"/>
  <c r="R428" i="1"/>
  <c r="V428" i="1"/>
  <c r="W428" i="1" s="1"/>
  <c r="X428" i="1"/>
  <c r="Y428" i="1" s="1"/>
  <c r="Z428" i="1"/>
  <c r="AB428" i="1" s="1"/>
  <c r="AC428" i="1" s="1"/>
  <c r="AA428" i="1"/>
  <c r="B429" i="1"/>
  <c r="G429" i="1"/>
  <c r="L429" i="1"/>
  <c r="R429" i="1"/>
  <c r="V429" i="1"/>
  <c r="W429" i="1" s="1"/>
  <c r="X429" i="1"/>
  <c r="Y429" i="1" s="1"/>
  <c r="Z429" i="1"/>
  <c r="B430" i="1"/>
  <c r="G430" i="1"/>
  <c r="L430" i="1"/>
  <c r="R430" i="1"/>
  <c r="V430" i="1"/>
  <c r="W430" i="1" s="1"/>
  <c r="X430" i="1"/>
  <c r="Y430" i="1" s="1"/>
  <c r="Z430" i="1"/>
  <c r="AB430" i="1" s="1"/>
  <c r="B431" i="1"/>
  <c r="G431" i="1"/>
  <c r="L431" i="1"/>
  <c r="R431" i="1"/>
  <c r="V431" i="1"/>
  <c r="W431" i="1" s="1"/>
  <c r="X431" i="1"/>
  <c r="Y431" i="1" s="1"/>
  <c r="Z431" i="1"/>
  <c r="AA431" i="1" s="1"/>
  <c r="B432" i="1"/>
  <c r="G432" i="1"/>
  <c r="L432" i="1"/>
  <c r="R432" i="1"/>
  <c r="V432" i="1"/>
  <c r="W432" i="1" s="1"/>
  <c r="X432" i="1"/>
  <c r="Y432" i="1" s="1"/>
  <c r="Z432" i="1"/>
  <c r="AA432" i="1" s="1"/>
  <c r="B433" i="1"/>
  <c r="G433" i="1"/>
  <c r="L433" i="1"/>
  <c r="R433" i="1"/>
  <c r="V433" i="1"/>
  <c r="W433" i="1" s="1"/>
  <c r="X433" i="1"/>
  <c r="Y433" i="1" s="1"/>
  <c r="Z433" i="1"/>
  <c r="AA433" i="1" s="1"/>
  <c r="B434" i="1"/>
  <c r="G434" i="1"/>
  <c r="L434" i="1"/>
  <c r="R434" i="1"/>
  <c r="V434" i="1"/>
  <c r="W434" i="1" s="1"/>
  <c r="X434" i="1"/>
  <c r="Y434" i="1"/>
  <c r="Z434" i="1"/>
  <c r="AA434" i="1" s="1"/>
  <c r="B435" i="1"/>
  <c r="G435" i="1"/>
  <c r="L435" i="1"/>
  <c r="R435" i="1"/>
  <c r="V435" i="1"/>
  <c r="W435" i="1" s="1"/>
  <c r="X435" i="1"/>
  <c r="Y435" i="1" s="1"/>
  <c r="Z435" i="1"/>
  <c r="AA435" i="1" s="1"/>
  <c r="B436" i="1"/>
  <c r="G436" i="1"/>
  <c r="L436" i="1"/>
  <c r="R436" i="1"/>
  <c r="V436" i="1"/>
  <c r="W436" i="1" s="1"/>
  <c r="X436" i="1"/>
  <c r="Y436" i="1"/>
  <c r="Z436" i="1"/>
  <c r="AA436" i="1" s="1"/>
  <c r="B437" i="1"/>
  <c r="G437" i="1"/>
  <c r="L437" i="1"/>
  <c r="R437" i="1"/>
  <c r="V437" i="1"/>
  <c r="W437" i="1" s="1"/>
  <c r="X437" i="1"/>
  <c r="Y437" i="1" s="1"/>
  <c r="Z437" i="1"/>
  <c r="B438" i="1"/>
  <c r="G438" i="1"/>
  <c r="L438" i="1"/>
  <c r="R438" i="1"/>
  <c r="V438" i="1"/>
  <c r="W438" i="1" s="1"/>
  <c r="X438" i="1"/>
  <c r="Y438" i="1" s="1"/>
  <c r="Z438" i="1"/>
  <c r="AB438" i="1" s="1"/>
  <c r="AA438" i="1"/>
  <c r="B439" i="1"/>
  <c r="G439" i="1"/>
  <c r="L439" i="1"/>
  <c r="R439" i="1"/>
  <c r="V439" i="1"/>
  <c r="W439" i="1" s="1"/>
  <c r="X439" i="1"/>
  <c r="Y439" i="1" s="1"/>
  <c r="Z439" i="1"/>
  <c r="AA439" i="1" s="1"/>
  <c r="B440" i="1"/>
  <c r="G440" i="1"/>
  <c r="L440" i="1"/>
  <c r="R440" i="1"/>
  <c r="V440" i="1"/>
  <c r="W440" i="1" s="1"/>
  <c r="X440" i="1"/>
  <c r="Y440" i="1" s="1"/>
  <c r="Z440" i="1"/>
  <c r="AA440" i="1"/>
  <c r="AB440" i="1"/>
  <c r="AD440" i="1" s="1"/>
  <c r="B441" i="1"/>
  <c r="G441" i="1"/>
  <c r="L441" i="1"/>
  <c r="R441" i="1"/>
  <c r="V441" i="1"/>
  <c r="W441" i="1" s="1"/>
  <c r="X441" i="1"/>
  <c r="Y441" i="1" s="1"/>
  <c r="Z441" i="1"/>
  <c r="AA441" i="1" s="1"/>
  <c r="B442" i="1"/>
  <c r="G442" i="1"/>
  <c r="L442" i="1"/>
  <c r="R442" i="1"/>
  <c r="V442" i="1"/>
  <c r="W442" i="1" s="1"/>
  <c r="X442" i="1"/>
  <c r="Y442" i="1" s="1"/>
  <c r="Z442" i="1"/>
  <c r="AA442" i="1" s="1"/>
  <c r="B443" i="1"/>
  <c r="G443" i="1"/>
  <c r="L443" i="1"/>
  <c r="R443" i="1"/>
  <c r="V443" i="1"/>
  <c r="W443" i="1" s="1"/>
  <c r="X443" i="1"/>
  <c r="Y443" i="1" s="1"/>
  <c r="Z443" i="1"/>
  <c r="B444" i="1"/>
  <c r="G444" i="1"/>
  <c r="L444" i="1"/>
  <c r="R444" i="1"/>
  <c r="V444" i="1"/>
  <c r="W444" i="1" s="1"/>
  <c r="X444" i="1"/>
  <c r="Y444" i="1" s="1"/>
  <c r="Z444" i="1"/>
  <c r="AB444" i="1" s="1"/>
  <c r="AC444" i="1" s="1"/>
  <c r="AA444" i="1"/>
  <c r="B445" i="1"/>
  <c r="G445" i="1"/>
  <c r="L445" i="1"/>
  <c r="R445" i="1"/>
  <c r="V445" i="1"/>
  <c r="W445" i="1" s="1"/>
  <c r="X445" i="1"/>
  <c r="Y445" i="1" s="1"/>
  <c r="Z445" i="1"/>
  <c r="AA445" i="1" s="1"/>
  <c r="B446" i="1"/>
  <c r="G446" i="1"/>
  <c r="L446" i="1"/>
  <c r="R446" i="1"/>
  <c r="V446" i="1"/>
  <c r="W446" i="1" s="1"/>
  <c r="X446" i="1"/>
  <c r="Y446" i="1" s="1"/>
  <c r="Z446" i="1"/>
  <c r="AB446" i="1" s="1"/>
  <c r="AD446" i="1" s="1"/>
  <c r="AA446" i="1"/>
  <c r="B447" i="1"/>
  <c r="G447" i="1"/>
  <c r="L447" i="1"/>
  <c r="R447" i="1"/>
  <c r="V447" i="1"/>
  <c r="W447" i="1" s="1"/>
  <c r="X447" i="1"/>
  <c r="Y447" i="1" s="1"/>
  <c r="Z447" i="1"/>
  <c r="AA447" i="1" s="1"/>
  <c r="AB447" i="1"/>
  <c r="AC447" i="1" s="1"/>
  <c r="B448" i="1"/>
  <c r="G448" i="1"/>
  <c r="L448" i="1"/>
  <c r="R448" i="1"/>
  <c r="V448" i="1"/>
  <c r="W448" i="1" s="1"/>
  <c r="X448" i="1"/>
  <c r="Y448" i="1" s="1"/>
  <c r="Z448" i="1"/>
  <c r="AB448" i="1" s="1"/>
  <c r="AA448" i="1"/>
  <c r="G449" i="1"/>
  <c r="L449" i="1"/>
  <c r="R449" i="1"/>
  <c r="V449" i="1"/>
  <c r="W449" i="1" s="1"/>
  <c r="X449" i="1"/>
  <c r="Y449" i="1" s="1"/>
  <c r="Z449" i="1"/>
  <c r="AA449" i="1" s="1"/>
  <c r="B450" i="1"/>
  <c r="G450" i="1"/>
  <c r="L450" i="1"/>
  <c r="R450" i="1"/>
  <c r="V450" i="1"/>
  <c r="W450" i="1" s="1"/>
  <c r="X450" i="1"/>
  <c r="Y450" i="1" s="1"/>
  <c r="Z450" i="1"/>
  <c r="B451" i="1"/>
  <c r="G451" i="1"/>
  <c r="L451" i="1"/>
  <c r="R451" i="1"/>
  <c r="V451" i="1"/>
  <c r="W451" i="1"/>
  <c r="X451" i="1"/>
  <c r="Y451" i="1" s="1"/>
  <c r="Z451" i="1"/>
  <c r="AA451" i="1"/>
  <c r="AB451" i="1"/>
  <c r="B452" i="1"/>
  <c r="G452" i="1"/>
  <c r="L452" i="1"/>
  <c r="R452" i="1"/>
  <c r="V452" i="1"/>
  <c r="W452" i="1" s="1"/>
  <c r="X452" i="1"/>
  <c r="Y452" i="1"/>
  <c r="Z452" i="1"/>
  <c r="AA452" i="1" s="1"/>
  <c r="B453" i="1"/>
  <c r="G453" i="1"/>
  <c r="L453" i="1"/>
  <c r="R453" i="1"/>
  <c r="V453" i="1"/>
  <c r="W453" i="1" s="1"/>
  <c r="X453" i="1"/>
  <c r="Y453" i="1"/>
  <c r="Z453" i="1"/>
  <c r="AB453" i="1" s="1"/>
  <c r="AC453" i="1" s="1"/>
  <c r="B454" i="1"/>
  <c r="G454" i="1"/>
  <c r="L454" i="1"/>
  <c r="R454" i="1"/>
  <c r="V454" i="1"/>
  <c r="W454" i="1" s="1"/>
  <c r="X454" i="1"/>
  <c r="Y454" i="1"/>
  <c r="Z454" i="1"/>
  <c r="AA454" i="1" s="1"/>
  <c r="B455" i="1"/>
  <c r="G455" i="1"/>
  <c r="L455" i="1"/>
  <c r="R455" i="1"/>
  <c r="V455" i="1"/>
  <c r="W455" i="1"/>
  <c r="X455" i="1"/>
  <c r="Y455" i="1" s="1"/>
  <c r="Z455" i="1"/>
  <c r="AA455" i="1" s="1"/>
  <c r="B456" i="1"/>
  <c r="G456" i="1"/>
  <c r="L456" i="1"/>
  <c r="R456" i="1"/>
  <c r="V456" i="1"/>
  <c r="W456" i="1" s="1"/>
  <c r="X456" i="1"/>
  <c r="Y456" i="1" s="1"/>
  <c r="Z456" i="1"/>
  <c r="AA456" i="1" s="1"/>
  <c r="B457" i="1"/>
  <c r="G457" i="1"/>
  <c r="L457" i="1"/>
  <c r="R457" i="1"/>
  <c r="V457" i="1"/>
  <c r="W457" i="1" s="1"/>
  <c r="X457" i="1"/>
  <c r="Y457" i="1" s="1"/>
  <c r="Z457" i="1"/>
  <c r="B458" i="1"/>
  <c r="G458" i="1"/>
  <c r="L458" i="1"/>
  <c r="R458" i="1"/>
  <c r="V458" i="1"/>
  <c r="W458" i="1" s="1"/>
  <c r="X458" i="1"/>
  <c r="Y458" i="1" s="1"/>
  <c r="Z458" i="1"/>
  <c r="AB458" i="1" s="1"/>
  <c r="AC458" i="1" s="1"/>
  <c r="B459" i="1"/>
  <c r="G459" i="1"/>
  <c r="L459" i="1"/>
  <c r="R459" i="1"/>
  <c r="V459" i="1"/>
  <c r="W459" i="1"/>
  <c r="X459" i="1"/>
  <c r="Y459" i="1" s="1"/>
  <c r="Z459" i="1"/>
  <c r="AA459" i="1"/>
  <c r="AB459" i="1"/>
  <c r="G460" i="1"/>
  <c r="L460" i="1"/>
  <c r="R460" i="1"/>
  <c r="V460" i="1"/>
  <c r="W460" i="1" s="1"/>
  <c r="X460" i="1"/>
  <c r="Y460" i="1" s="1"/>
  <c r="Z460" i="1"/>
  <c r="AA460" i="1" s="1"/>
  <c r="AB460" i="1"/>
  <c r="AC460" i="1" s="1"/>
  <c r="B461" i="1"/>
  <c r="G461" i="1"/>
  <c r="L461" i="1"/>
  <c r="R461" i="1"/>
  <c r="V461" i="1"/>
  <c r="W461" i="1" s="1"/>
  <c r="X461" i="1"/>
  <c r="Y461" i="1" s="1"/>
  <c r="Z461" i="1"/>
  <c r="AA461" i="1" s="1"/>
  <c r="AB461" i="1"/>
  <c r="AD461" i="1" s="1"/>
  <c r="B462" i="1"/>
  <c r="G462" i="1"/>
  <c r="L462" i="1"/>
  <c r="R462" i="1"/>
  <c r="V462" i="1"/>
  <c r="W462" i="1"/>
  <c r="X462" i="1"/>
  <c r="Y462" i="1" s="1"/>
  <c r="Z462" i="1"/>
  <c r="AA462" i="1" s="1"/>
  <c r="B463" i="1"/>
  <c r="G463" i="1"/>
  <c r="L463" i="1"/>
  <c r="R463" i="1"/>
  <c r="V463" i="1"/>
  <c r="W463" i="1"/>
  <c r="X463" i="1"/>
  <c r="Y463" i="1" s="1"/>
  <c r="Z463" i="1"/>
  <c r="AB463" i="1" s="1"/>
  <c r="B464" i="1"/>
  <c r="G464" i="1"/>
  <c r="L464" i="1"/>
  <c r="R464" i="1"/>
  <c r="V464" i="1"/>
  <c r="W464" i="1" s="1"/>
  <c r="X464" i="1"/>
  <c r="Y464" i="1" s="1"/>
  <c r="Z464" i="1"/>
  <c r="AA464" i="1" s="1"/>
  <c r="G465" i="1"/>
  <c r="L465" i="1"/>
  <c r="R465" i="1"/>
  <c r="V465" i="1"/>
  <c r="W465" i="1" s="1"/>
  <c r="X465" i="1"/>
  <c r="Y465" i="1" s="1"/>
  <c r="Z465" i="1"/>
  <c r="AA465" i="1" s="1"/>
  <c r="B466" i="1"/>
  <c r="G466" i="1"/>
  <c r="L466" i="1"/>
  <c r="R466" i="1"/>
  <c r="V466" i="1"/>
  <c r="W466" i="1"/>
  <c r="X466" i="1"/>
  <c r="Y466" i="1" s="1"/>
  <c r="Z466" i="1"/>
  <c r="AA466" i="1" s="1"/>
  <c r="B467" i="1"/>
  <c r="G467" i="1"/>
  <c r="L467" i="1"/>
  <c r="R467" i="1"/>
  <c r="V467" i="1"/>
  <c r="W467" i="1" s="1"/>
  <c r="X467" i="1"/>
  <c r="Y467" i="1" s="1"/>
  <c r="Z467" i="1"/>
  <c r="AA467" i="1" s="1"/>
  <c r="B468" i="1"/>
  <c r="G468" i="1"/>
  <c r="L468" i="1"/>
  <c r="R468" i="1"/>
  <c r="V468" i="1"/>
  <c r="W468" i="1"/>
  <c r="X468" i="1"/>
  <c r="Y468" i="1" s="1"/>
  <c r="H4" i="8" s="1"/>
  <c r="Z468" i="1"/>
  <c r="AB468" i="1" s="1"/>
  <c r="AA468" i="1"/>
  <c r="B469" i="1"/>
  <c r="G469" i="1"/>
  <c r="L469" i="1"/>
  <c r="R469" i="1"/>
  <c r="V469" i="1"/>
  <c r="W469" i="1" s="1"/>
  <c r="X469" i="1"/>
  <c r="Y469" i="1" s="1"/>
  <c r="Z469" i="1"/>
  <c r="AA469" i="1" s="1"/>
  <c r="B470" i="1"/>
  <c r="G470" i="1"/>
  <c r="L470" i="1"/>
  <c r="R470" i="1"/>
  <c r="V470" i="1"/>
  <c r="W470" i="1" s="1"/>
  <c r="X470" i="1"/>
  <c r="Y470" i="1"/>
  <c r="Z470" i="1"/>
  <c r="AB470" i="1" s="1"/>
  <c r="L7" i="8"/>
  <c r="N7" i="8" s="1"/>
  <c r="B15" i="8"/>
  <c r="E15" i="8" s="1"/>
  <c r="G15" i="8" s="1"/>
  <c r="H16" i="8"/>
  <c r="E16" i="8"/>
  <c r="G16" i="8" s="1"/>
  <c r="K16" i="8" s="1"/>
  <c r="H17" i="8"/>
  <c r="I17" i="8" s="1"/>
  <c r="E17" i="8"/>
  <c r="G17" i="8" s="1"/>
  <c r="H18" i="8"/>
  <c r="E18" i="8"/>
  <c r="G18" i="8" s="1"/>
  <c r="H19" i="8"/>
  <c r="I19" i="8" s="1"/>
  <c r="E19" i="8"/>
  <c r="P4" i="8"/>
  <c r="P7" i="8"/>
  <c r="J16" i="8"/>
  <c r="J17" i="8"/>
  <c r="J18" i="8"/>
  <c r="J19" i="8"/>
  <c r="K19" i="8" s="1"/>
  <c r="G19" i="8"/>
  <c r="F31" i="6"/>
  <c r="G31" i="6" s="1"/>
  <c r="F32" i="6"/>
  <c r="G32" i="6" s="1"/>
  <c r="C55" i="7"/>
  <c r="E55" i="7"/>
  <c r="F55" i="7" s="1"/>
  <c r="C56" i="7"/>
  <c r="E56" i="7" s="1"/>
  <c r="F56" i="7" s="1"/>
  <c r="C57" i="7"/>
  <c r="E57" i="7"/>
  <c r="B61" i="6"/>
  <c r="D58" i="7" s="1"/>
  <c r="E58" i="7" s="1"/>
  <c r="C58" i="7"/>
  <c r="C59" i="7"/>
  <c r="E59" i="7"/>
  <c r="F59" i="7" s="1"/>
  <c r="C60" i="7"/>
  <c r="E60" i="7" s="1"/>
  <c r="F60" i="7" s="1"/>
  <c r="S8" i="4"/>
  <c r="T8" i="4" s="1"/>
  <c r="J8" i="4"/>
  <c r="K8" i="4" s="1"/>
  <c r="M8" i="4" s="1"/>
  <c r="S9" i="4"/>
  <c r="T9" i="4" s="1"/>
  <c r="J9" i="4"/>
  <c r="S10" i="4"/>
  <c r="T10" i="4" s="1"/>
  <c r="J10" i="4"/>
  <c r="K10" i="4"/>
  <c r="S11" i="4"/>
  <c r="T11" i="4" s="1"/>
  <c r="U11" i="4" s="1"/>
  <c r="J11" i="4"/>
  <c r="K11" i="4" s="1"/>
  <c r="M11" i="4" s="1"/>
  <c r="S12" i="4"/>
  <c r="T12" i="4" s="1"/>
  <c r="J12" i="4"/>
  <c r="K12" i="4" s="1"/>
  <c r="M12" i="4" s="1"/>
  <c r="S13" i="4"/>
  <c r="T13" i="4"/>
  <c r="J13" i="4"/>
  <c r="K13" i="4" s="1"/>
  <c r="S14" i="4"/>
  <c r="T14" i="4" s="1"/>
  <c r="J14" i="4"/>
  <c r="K14" i="4" s="1"/>
  <c r="M14" i="4" s="1"/>
  <c r="L20" i="4"/>
  <c r="L21" i="4"/>
  <c r="L22" i="4"/>
  <c r="L23" i="4"/>
  <c r="L16" i="8"/>
  <c r="L17" i="8"/>
  <c r="L18" i="8"/>
  <c r="L19" i="8"/>
  <c r="F43" i="6"/>
  <c r="G43" i="6"/>
  <c r="F44" i="6"/>
  <c r="G44" i="6" s="1"/>
  <c r="F57" i="7"/>
  <c r="M7" i="8"/>
  <c r="L6" i="8"/>
  <c r="P6" i="8" s="1"/>
  <c r="S6" i="8"/>
  <c r="B6" i="8"/>
  <c r="J6" i="8" s="1"/>
  <c r="L5" i="8"/>
  <c r="S5" i="8" s="1"/>
  <c r="B5" i="8"/>
  <c r="J5" i="8" s="1"/>
  <c r="M4" i="8"/>
  <c r="C7" i="4"/>
  <c r="F42" i="7"/>
  <c r="F43" i="7"/>
  <c r="N6" i="8"/>
  <c r="M6" i="8"/>
  <c r="N8" i="8"/>
  <c r="P8" i="8"/>
  <c r="S8" i="8"/>
  <c r="N9" i="8"/>
  <c r="P9" i="8"/>
  <c r="S9" i="8"/>
  <c r="C8" i="8"/>
  <c r="D8" i="8"/>
  <c r="E8" i="8"/>
  <c r="G8" i="8" s="1"/>
  <c r="H8" i="8"/>
  <c r="J8" i="8"/>
  <c r="C9" i="8"/>
  <c r="D9" i="8"/>
  <c r="E9" i="8"/>
  <c r="G9" i="8" s="1"/>
  <c r="H9" i="8"/>
  <c r="I9" i="8" s="1"/>
  <c r="J9" i="8"/>
  <c r="C8" i="4"/>
  <c r="C9" i="4"/>
  <c r="C10" i="4"/>
  <c r="C11" i="4"/>
  <c r="C12" i="4"/>
  <c r="C13" i="4"/>
  <c r="C14" i="4"/>
  <c r="D8" i="4"/>
  <c r="D3" i="4"/>
  <c r="D4" i="4"/>
  <c r="D5" i="4"/>
  <c r="D6" i="4"/>
  <c r="D7" i="4"/>
  <c r="D9" i="4"/>
  <c r="D10" i="4"/>
  <c r="D11" i="4"/>
  <c r="D12" i="4"/>
  <c r="D13" i="4"/>
  <c r="D14" i="4"/>
  <c r="M10" i="4"/>
  <c r="F34" i="7"/>
  <c r="G34" i="7" s="1"/>
  <c r="F29" i="7"/>
  <c r="G29" i="7" s="1"/>
  <c r="F48" i="7"/>
  <c r="F49" i="7"/>
  <c r="F50" i="7"/>
  <c r="F47" i="7"/>
  <c r="F28" i="7"/>
  <c r="G28" i="7" s="1"/>
  <c r="F30" i="7"/>
  <c r="G30" i="7" s="1"/>
  <c r="F33" i="7"/>
  <c r="G33" i="7" s="1"/>
  <c r="F32" i="7"/>
  <c r="G32" i="7" s="1"/>
  <c r="F35" i="7"/>
  <c r="G35" i="7" s="1"/>
  <c r="F36" i="7"/>
  <c r="G36" i="7" s="1"/>
  <c r="F27" i="7"/>
  <c r="G27" i="7" s="1"/>
  <c r="G26" i="7"/>
  <c r="D19" i="8"/>
  <c r="C19" i="8"/>
  <c r="D18" i="8"/>
  <c r="C18" i="8"/>
  <c r="D17" i="8"/>
  <c r="C17" i="8"/>
  <c r="D16" i="8"/>
  <c r="C16" i="8"/>
  <c r="G8" i="6"/>
  <c r="G21" i="7"/>
  <c r="G14" i="7"/>
  <c r="G16" i="7"/>
  <c r="G18" i="7"/>
  <c r="G19" i="7"/>
  <c r="C20" i="4"/>
  <c r="G20" i="7"/>
  <c r="E7" i="7"/>
  <c r="F7" i="7" s="1"/>
  <c r="E6" i="7"/>
  <c r="F6" i="7" s="1"/>
  <c r="G35" i="2"/>
  <c r="G34" i="2"/>
  <c r="G33" i="2"/>
  <c r="G32" i="2"/>
  <c r="Z42" i="3"/>
  <c r="AB42" i="3" s="1"/>
  <c r="Z43" i="3"/>
  <c r="AB43" i="3" s="1"/>
  <c r="Z41" i="3"/>
  <c r="AA41" i="3" s="1"/>
  <c r="Z30" i="3"/>
  <c r="AC30" i="3" s="1"/>
  <c r="Z31" i="3"/>
  <c r="AA31" i="3" s="1"/>
  <c r="Z32" i="3"/>
  <c r="AC32" i="3" s="1"/>
  <c r="Z33" i="3"/>
  <c r="AA33" i="3" s="1"/>
  <c r="Z34" i="3"/>
  <c r="AC34" i="3" s="1"/>
  <c r="Z35" i="3"/>
  <c r="AA35" i="3" s="1"/>
  <c r="AC35" i="3"/>
  <c r="Z36" i="3"/>
  <c r="AB36" i="3" s="1"/>
  <c r="Z37" i="3"/>
  <c r="AB37" i="3" s="1"/>
  <c r="AC37" i="3"/>
  <c r="AA37" i="3"/>
  <c r="Z38" i="3"/>
  <c r="AC38" i="3" s="1"/>
  <c r="Z39" i="3"/>
  <c r="AA39" i="3" s="1"/>
  <c r="Z40" i="3"/>
  <c r="AB40" i="3" s="1"/>
  <c r="Z29" i="3"/>
  <c r="Z22" i="3"/>
  <c r="AA22" i="3" s="1"/>
  <c r="Z23" i="3"/>
  <c r="AB23" i="3" s="1"/>
  <c r="Z24" i="3"/>
  <c r="AA24" i="3" s="1"/>
  <c r="Z25" i="3"/>
  <c r="AB25" i="3" s="1"/>
  <c r="Z26" i="3"/>
  <c r="AC26" i="3" s="1"/>
  <c r="Z27" i="3"/>
  <c r="AA27" i="3" s="1"/>
  <c r="Z28" i="3"/>
  <c r="AA28" i="3" s="1"/>
  <c r="Z21" i="3"/>
  <c r="AB21" i="3" s="1"/>
  <c r="Z13" i="3"/>
  <c r="AA13" i="3" s="1"/>
  <c r="Z14" i="3"/>
  <c r="AA14" i="3"/>
  <c r="Z15" i="3"/>
  <c r="AC15" i="3" s="1"/>
  <c r="Z16" i="3"/>
  <c r="AA16" i="3"/>
  <c r="Z17" i="3"/>
  <c r="AA17" i="3" s="1"/>
  <c r="Z18" i="3"/>
  <c r="AA18" i="3" s="1"/>
  <c r="Z19" i="3"/>
  <c r="AB19" i="3" s="1"/>
  <c r="Z20" i="3"/>
  <c r="AC20" i="3" s="1"/>
  <c r="Z12" i="3"/>
  <c r="AA12" i="3"/>
  <c r="Z5" i="3"/>
  <c r="AA5" i="3" s="1"/>
  <c r="Z6" i="3"/>
  <c r="AA6" i="3" s="1"/>
  <c r="Z7" i="3"/>
  <c r="AA7" i="3"/>
  <c r="Z8" i="3"/>
  <c r="AC8" i="3" s="1"/>
  <c r="Z9" i="3"/>
  <c r="AB9" i="3" s="1"/>
  <c r="Z10" i="3"/>
  <c r="AA10" i="3" s="1"/>
  <c r="Z11" i="3"/>
  <c r="AC11" i="3" s="1"/>
  <c r="AA11" i="3"/>
  <c r="AB11" i="3"/>
  <c r="AB35" i="3"/>
  <c r="C21" i="4"/>
  <c r="C22" i="4"/>
  <c r="C23" i="4"/>
  <c r="D20" i="4"/>
  <c r="D21" i="4"/>
  <c r="D22" i="4"/>
  <c r="D23" i="4"/>
  <c r="Z4" i="3"/>
  <c r="AB4" i="3"/>
  <c r="B57" i="6"/>
  <c r="F54" i="7"/>
  <c r="E58" i="6"/>
  <c r="C58" i="6"/>
  <c r="B56" i="6"/>
  <c r="B54" i="6"/>
  <c r="H49" i="6"/>
  <c r="H48" i="6"/>
  <c r="F40" i="7"/>
  <c r="G12" i="7"/>
  <c r="F2" i="7"/>
  <c r="G15" i="7"/>
  <c r="E8" i="7"/>
  <c r="F8" i="7"/>
  <c r="E4" i="7"/>
  <c r="F4" i="7" s="1"/>
  <c r="E5" i="7"/>
  <c r="F5" i="7" s="1"/>
  <c r="E3" i="7"/>
  <c r="AC39" i="3"/>
  <c r="C5" i="4"/>
  <c r="AA36" i="3"/>
  <c r="AB38" i="3"/>
  <c r="C6" i="4"/>
  <c r="AB41" i="3"/>
  <c r="AC17" i="3"/>
  <c r="AB7" i="3"/>
  <c r="AA34" i="3"/>
  <c r="AC16" i="3"/>
  <c r="C4" i="4"/>
  <c r="C3" i="4"/>
  <c r="AB31" i="3"/>
  <c r="AA21" i="3"/>
  <c r="AB15" i="3"/>
  <c r="AC31" i="3"/>
  <c r="AB5" i="3"/>
  <c r="AB18" i="3"/>
  <c r="AC14" i="3"/>
  <c r="AB14" i="3"/>
  <c r="AC42" i="3"/>
  <c r="AA15" i="3"/>
  <c r="AB24" i="3"/>
  <c r="AC22" i="3"/>
  <c r="AB16" i="3"/>
  <c r="AC4" i="3"/>
  <c r="AB8" i="3"/>
  <c r="AA8" i="3"/>
  <c r="AC12" i="3"/>
  <c r="AB12" i="3"/>
  <c r="AC29" i="3"/>
  <c r="AA29" i="3"/>
  <c r="AB29" i="3"/>
  <c r="AC43" i="3"/>
  <c r="AA43" i="3"/>
  <c r="AA4" i="3"/>
  <c r="AA19" i="3"/>
  <c r="AC19" i="3"/>
  <c r="AC10" i="3"/>
  <c r="AB10" i="3"/>
  <c r="AB27" i="3"/>
  <c r="AC23" i="3"/>
  <c r="AA23" i="3"/>
  <c r="AC9" i="3"/>
  <c r="AC7" i="3"/>
  <c r="AC40" i="3"/>
  <c r="AC41" i="3"/>
  <c r="D58" i="6"/>
  <c r="G58" i="6"/>
  <c r="F58" i="6"/>
  <c r="F3" i="7"/>
  <c r="G22" i="7"/>
  <c r="H7" i="8"/>
  <c r="C6" i="8"/>
  <c r="D5" i="8" l="1"/>
  <c r="D6" i="8"/>
  <c r="H6" i="8"/>
  <c r="H5" i="8"/>
  <c r="C15" i="8"/>
  <c r="E6" i="8"/>
  <c r="G6" i="8" s="1"/>
  <c r="K6" i="8" s="1"/>
  <c r="H15" i="8"/>
  <c r="I15" i="8" s="1"/>
  <c r="I20" i="8" s="1"/>
  <c r="I21" i="4"/>
  <c r="M18" i="8"/>
  <c r="M17" i="8"/>
  <c r="M20" i="4"/>
  <c r="AC9" i="2"/>
  <c r="K18" i="8"/>
  <c r="G20" i="8"/>
  <c r="AC23" i="2"/>
  <c r="AC21" i="2"/>
  <c r="AD21" i="2" s="1"/>
  <c r="AB20" i="2"/>
  <c r="AC17" i="2"/>
  <c r="AD17" i="2" s="1"/>
  <c r="AC16" i="2"/>
  <c r="AD16" i="2" s="1"/>
  <c r="AC11" i="2"/>
  <c r="K22" i="4"/>
  <c r="AB15" i="2"/>
  <c r="P6" i="4"/>
  <c r="P7" i="4"/>
  <c r="AD15" i="3"/>
  <c r="AD11" i="3"/>
  <c r="AD19" i="3"/>
  <c r="AD7" i="3"/>
  <c r="AD23" i="3"/>
  <c r="O8" i="4"/>
  <c r="T31" i="3"/>
  <c r="U26" i="3"/>
  <c r="AC5" i="3"/>
  <c r="AC36" i="3"/>
  <c r="U14" i="3"/>
  <c r="V14" i="3" s="1"/>
  <c r="U12" i="3"/>
  <c r="V12" i="3" s="1"/>
  <c r="U10" i="3"/>
  <c r="V10" i="3" s="1"/>
  <c r="U5" i="3"/>
  <c r="V5" i="3" s="1"/>
  <c r="AD43" i="3"/>
  <c r="AA20" i="3"/>
  <c r="AD36" i="3"/>
  <c r="AD41" i="3"/>
  <c r="O9" i="4"/>
  <c r="O7" i="4"/>
  <c r="U41" i="3"/>
  <c r="V41" i="3" s="1"/>
  <c r="U38" i="3"/>
  <c r="V38" i="3" s="1"/>
  <c r="U33" i="3"/>
  <c r="V33" i="3" s="1"/>
  <c r="T25" i="3"/>
  <c r="U7" i="3"/>
  <c r="V7" i="3" s="1"/>
  <c r="AE333" i="1"/>
  <c r="AF333" i="1" s="1"/>
  <c r="AD323" i="1"/>
  <c r="AC323" i="1"/>
  <c r="AD307" i="1"/>
  <c r="AC307" i="1"/>
  <c r="AB465" i="1"/>
  <c r="AC465" i="1" s="1"/>
  <c r="AC461" i="1"/>
  <c r="AB454" i="1"/>
  <c r="AC454" i="1" s="1"/>
  <c r="AB433" i="1"/>
  <c r="AC433" i="1" s="1"/>
  <c r="AA405" i="1"/>
  <c r="AD403" i="1"/>
  <c r="AB401" i="1"/>
  <c r="AA398" i="1"/>
  <c r="AB395" i="1"/>
  <c r="AC395" i="1" s="1"/>
  <c r="AA386" i="1"/>
  <c r="AA375" i="1"/>
  <c r="AA372" i="1"/>
  <c r="AB368" i="1"/>
  <c r="AA364" i="1"/>
  <c r="AA351" i="1"/>
  <c r="AA339" i="1"/>
  <c r="AB337" i="1"/>
  <c r="AC333" i="1"/>
  <c r="AD332" i="1"/>
  <c r="AA328" i="1"/>
  <c r="AA323" i="1"/>
  <c r="AE323" i="1" s="1"/>
  <c r="AF323" i="1" s="1"/>
  <c r="AA321" i="1"/>
  <c r="AB316" i="1"/>
  <c r="AA312" i="1"/>
  <c r="AA307" i="1"/>
  <c r="AA293" i="1"/>
  <c r="AB224" i="1"/>
  <c r="AC224" i="1" s="1"/>
  <c r="AA224" i="1"/>
  <c r="AA220" i="1"/>
  <c r="AB220" i="1"/>
  <c r="AC220" i="1" s="1"/>
  <c r="AD43" i="1"/>
  <c r="AC43" i="1"/>
  <c r="AB466" i="1"/>
  <c r="AC466" i="1" s="1"/>
  <c r="AE461" i="1"/>
  <c r="AF461" i="1" s="1"/>
  <c r="AB455" i="1"/>
  <c r="AD455" i="1" s="1"/>
  <c r="AB402" i="1"/>
  <c r="AD402" i="1" s="1"/>
  <c r="AB381" i="1"/>
  <c r="AD381" i="1" s="1"/>
  <c r="AD380" i="1"/>
  <c r="AA373" i="1"/>
  <c r="AA369" i="1"/>
  <c r="AA365" i="1"/>
  <c r="AC361" i="1"/>
  <c r="AA359" i="1"/>
  <c r="AA356" i="1"/>
  <c r="AA349" i="1"/>
  <c r="AA343" i="1"/>
  <c r="AB331" i="1"/>
  <c r="AB329" i="1"/>
  <c r="AA315" i="1"/>
  <c r="AE315" i="1" s="1"/>
  <c r="AF315" i="1" s="1"/>
  <c r="AB313" i="1"/>
  <c r="AA301" i="1"/>
  <c r="AD243" i="1"/>
  <c r="AB208" i="1"/>
  <c r="AC208" i="1" s="1"/>
  <c r="AA208" i="1"/>
  <c r="AD86" i="1"/>
  <c r="AC86" i="1"/>
  <c r="U8" i="4"/>
  <c r="K9" i="8"/>
  <c r="U10" i="4"/>
  <c r="AA463" i="1"/>
  <c r="AB412" i="1"/>
  <c r="AB406" i="1"/>
  <c r="AC406" i="1" s="1"/>
  <c r="AB393" i="1"/>
  <c r="Q13" i="4"/>
  <c r="I12" i="4"/>
  <c r="I10" i="4"/>
  <c r="I8" i="4"/>
  <c r="I6" i="4"/>
  <c r="I3" i="4"/>
  <c r="AA380" i="1"/>
  <c r="AB376" i="1"/>
  <c r="AA361" i="1"/>
  <c r="AA357" i="1"/>
  <c r="AE357" i="1" s="1"/>
  <c r="AF357" i="1" s="1"/>
  <c r="J7" i="4" s="1"/>
  <c r="K7" i="4" s="1"/>
  <c r="M7" i="4" s="1"/>
  <c r="AB352" i="1"/>
  <c r="AC352" i="1" s="1"/>
  <c r="AA345" i="1"/>
  <c r="AB341" i="1"/>
  <c r="AB340" i="1"/>
  <c r="AC340" i="1" s="1"/>
  <c r="AB338" i="1"/>
  <c r="AC321" i="1"/>
  <c r="AC305" i="1"/>
  <c r="AA297" i="1"/>
  <c r="AB296" i="1"/>
  <c r="AC296" i="1" s="1"/>
  <c r="AE296" i="1" s="1"/>
  <c r="AF296" i="1" s="1"/>
  <c r="AA295" i="1"/>
  <c r="AC287" i="1"/>
  <c r="AB285" i="1"/>
  <c r="AD285" i="1" s="1"/>
  <c r="AD276" i="1"/>
  <c r="AC273" i="1"/>
  <c r="AB272" i="1"/>
  <c r="AD271" i="1"/>
  <c r="AA269" i="1"/>
  <c r="AC261" i="1"/>
  <c r="AA259" i="1"/>
  <c r="AA243" i="1"/>
  <c r="AE243" i="1" s="1"/>
  <c r="AF243" i="1" s="1"/>
  <c r="AC237" i="1"/>
  <c r="AA201" i="1"/>
  <c r="AA197" i="1"/>
  <c r="AA188" i="1"/>
  <c r="AA177" i="1"/>
  <c r="AA171" i="1"/>
  <c r="AA170" i="1"/>
  <c r="AA165" i="1"/>
  <c r="AB148" i="1"/>
  <c r="AD148" i="1" s="1"/>
  <c r="AA140" i="1"/>
  <c r="AA131" i="1"/>
  <c r="AA122" i="1"/>
  <c r="AA117" i="1"/>
  <c r="AD112" i="1"/>
  <c r="AE112" i="1" s="1"/>
  <c r="AF112" i="1" s="1"/>
  <c r="J3" i="4" s="1"/>
  <c r="K3" i="4" s="1"/>
  <c r="M3" i="4" s="1"/>
  <c r="AA109" i="1"/>
  <c r="AA90" i="1"/>
  <c r="AA86" i="1"/>
  <c r="AB85" i="1"/>
  <c r="AC85" i="1" s="1"/>
  <c r="AB69" i="1"/>
  <c r="AC69" i="1" s="1"/>
  <c r="AB67" i="1"/>
  <c r="AB49" i="1"/>
  <c r="AC49" i="1" s="1"/>
  <c r="AA46" i="1"/>
  <c r="AA43" i="1"/>
  <c r="AE43" i="1" s="1"/>
  <c r="AF43" i="1" s="1"/>
  <c r="AB42" i="1"/>
  <c r="AD42" i="1" s="1"/>
  <c r="AC12" i="1"/>
  <c r="AA221" i="1"/>
  <c r="AB200" i="1"/>
  <c r="AC200" i="1" s="1"/>
  <c r="AB190" i="1"/>
  <c r="AB175" i="1"/>
  <c r="AB166" i="1"/>
  <c r="AC166" i="1" s="1"/>
  <c r="AB159" i="1"/>
  <c r="AD159" i="1" s="1"/>
  <c r="AA157" i="1"/>
  <c r="AB155" i="1"/>
  <c r="AA144" i="1"/>
  <c r="AB123" i="1"/>
  <c r="AB113" i="1"/>
  <c r="AC113" i="1" s="1"/>
  <c r="AB110" i="1"/>
  <c r="AB94" i="1"/>
  <c r="AD94" i="1" s="1"/>
  <c r="AA73" i="1"/>
  <c r="AB60" i="1"/>
  <c r="AB59" i="1"/>
  <c r="AB58" i="1"/>
  <c r="AD58" i="1" s="1"/>
  <c r="AB57" i="1"/>
  <c r="AC57" i="1" s="1"/>
  <c r="AB52" i="1"/>
  <c r="AB51" i="1"/>
  <c r="AA50" i="1"/>
  <c r="AA30" i="1"/>
  <c r="AC27" i="1"/>
  <c r="AA211" i="1"/>
  <c r="AA180" i="1"/>
  <c r="AC165" i="1"/>
  <c r="AA153" i="1"/>
  <c r="AD135" i="1"/>
  <c r="AB133" i="1"/>
  <c r="AA127" i="1"/>
  <c r="AB125" i="1"/>
  <c r="AA93" i="1"/>
  <c r="AB75" i="1"/>
  <c r="AA65" i="1"/>
  <c r="AC44" i="1"/>
  <c r="AA27" i="1"/>
  <c r="AB20" i="1"/>
  <c r="AB19" i="1"/>
  <c r="AA18" i="1"/>
  <c r="AC11" i="1"/>
  <c r="AE11" i="1" s="1"/>
  <c r="AF11" i="1" s="1"/>
  <c r="AE386" i="1"/>
  <c r="AF386" i="1" s="1"/>
  <c r="AD448" i="1"/>
  <c r="AC448" i="1"/>
  <c r="AC426" i="1"/>
  <c r="AD426" i="1"/>
  <c r="AE426" i="1" s="1"/>
  <c r="AF426" i="1" s="1"/>
  <c r="D7" i="8"/>
  <c r="E7" i="8"/>
  <c r="G7" i="8" s="1"/>
  <c r="I7" i="8" s="1"/>
  <c r="C7" i="8"/>
  <c r="I19" i="4"/>
  <c r="I24" i="4" s="1"/>
  <c r="AA378" i="1"/>
  <c r="AB378" i="1"/>
  <c r="AA325" i="1"/>
  <c r="AB325" i="1"/>
  <c r="AB311" i="1"/>
  <c r="AA311" i="1"/>
  <c r="AB263" i="1"/>
  <c r="AA263" i="1"/>
  <c r="AB233" i="1"/>
  <c r="AA233" i="1"/>
  <c r="AA172" i="1"/>
  <c r="AB172" i="1"/>
  <c r="AC172" i="1" s="1"/>
  <c r="T32" i="3"/>
  <c r="U32" i="3"/>
  <c r="M5" i="8"/>
  <c r="AA30" i="3"/>
  <c r="AC6" i="3"/>
  <c r="AD8" i="3"/>
  <c r="AB28" i="3"/>
  <c r="AD28" i="3" s="1"/>
  <c r="AB13" i="3"/>
  <c r="AD14" i="3"/>
  <c r="AC21" i="3"/>
  <c r="AA9" i="3"/>
  <c r="AD9" i="3" s="1"/>
  <c r="AD5" i="3"/>
  <c r="AC27" i="3"/>
  <c r="AD27" i="3" s="1"/>
  <c r="D4" i="8"/>
  <c r="B60" i="6"/>
  <c r="B59" i="6" s="1"/>
  <c r="O6" i="8"/>
  <c r="E5" i="8"/>
  <c r="G5" i="8" s="1"/>
  <c r="I5" i="8" s="1"/>
  <c r="U12" i="4"/>
  <c r="I18" i="8"/>
  <c r="AE465" i="1"/>
  <c r="AF465" i="1" s="1"/>
  <c r="I22" i="4"/>
  <c r="J19" i="4"/>
  <c r="K19" i="4" s="1"/>
  <c r="AF10" i="2"/>
  <c r="AG10" i="2" s="1"/>
  <c r="AB383" i="1"/>
  <c r="AA383" i="1"/>
  <c r="AB379" i="1"/>
  <c r="AA379" i="1"/>
  <c r="AA354" i="1"/>
  <c r="AB354" i="1"/>
  <c r="AB347" i="1"/>
  <c r="AA347" i="1"/>
  <c r="AC341" i="1"/>
  <c r="AD341" i="1"/>
  <c r="AD340" i="1"/>
  <c r="AB327" i="1"/>
  <c r="AA327" i="1"/>
  <c r="AA306" i="1"/>
  <c r="AB306" i="1"/>
  <c r="AA300" i="1"/>
  <c r="AB300" i="1"/>
  <c r="AA265" i="1"/>
  <c r="AB265" i="1"/>
  <c r="AD213" i="1"/>
  <c r="AE213" i="1" s="1"/>
  <c r="AF213" i="1" s="1"/>
  <c r="AC213" i="1"/>
  <c r="AD182" i="1"/>
  <c r="AC182" i="1"/>
  <c r="AD164" i="1"/>
  <c r="AC164" i="1"/>
  <c r="AA163" i="1"/>
  <c r="AB163" i="1"/>
  <c r="AD163" i="1" s="1"/>
  <c r="AB139" i="1"/>
  <c r="AA139" i="1"/>
  <c r="AA116" i="1"/>
  <c r="AB116" i="1"/>
  <c r="AD116" i="1" s="1"/>
  <c r="AE448" i="1"/>
  <c r="AF448" i="1" s="1"/>
  <c r="K20" i="4"/>
  <c r="AA286" i="1"/>
  <c r="AB286" i="1"/>
  <c r="AC286" i="1" s="1"/>
  <c r="AA284" i="1"/>
  <c r="AB284" i="1"/>
  <c r="M22" i="4"/>
  <c r="K9" i="4"/>
  <c r="M9" i="4" s="1"/>
  <c r="I16" i="8"/>
  <c r="E4" i="8"/>
  <c r="G4" i="8" s="1"/>
  <c r="I4" i="8" s="1"/>
  <c r="AB456" i="1"/>
  <c r="AB439" i="1"/>
  <c r="AB436" i="1"/>
  <c r="AC436" i="1" s="1"/>
  <c r="AB432" i="1"/>
  <c r="AB416" i="1"/>
  <c r="AD416" i="1" s="1"/>
  <c r="AB413" i="1"/>
  <c r="AA410" i="1"/>
  <c r="AB409" i="1"/>
  <c r="AB408" i="1"/>
  <c r="AD408" i="1" s="1"/>
  <c r="AA397" i="1"/>
  <c r="AB394" i="1"/>
  <c r="AB390" i="1"/>
  <c r="K23" i="4"/>
  <c r="Q7" i="4"/>
  <c r="R7" i="4" s="1"/>
  <c r="I20" i="4"/>
  <c r="AD22" i="2"/>
  <c r="AE380" i="1"/>
  <c r="AF380" i="1" s="1"/>
  <c r="AE373" i="1"/>
  <c r="AF373" i="1" s="1"/>
  <c r="AC369" i="1"/>
  <c r="AD364" i="1"/>
  <c r="AE364" i="1" s="1"/>
  <c r="AF364" i="1" s="1"/>
  <c r="AA362" i="1"/>
  <c r="AB362" i="1"/>
  <c r="AC357" i="1"/>
  <c r="AB355" i="1"/>
  <c r="AA355" i="1"/>
  <c r="AE348" i="1"/>
  <c r="AF348" i="1" s="1"/>
  <c r="AC339" i="1"/>
  <c r="AC331" i="1"/>
  <c r="AD331" i="1"/>
  <c r="AA322" i="1"/>
  <c r="AB322" i="1"/>
  <c r="AA308" i="1"/>
  <c r="AB308" i="1"/>
  <c r="AC297" i="1"/>
  <c r="AC277" i="1"/>
  <c r="AC269" i="1"/>
  <c r="AB267" i="1"/>
  <c r="AA267" i="1"/>
  <c r="AA240" i="1"/>
  <c r="AB240" i="1"/>
  <c r="AD240" i="1" s="1"/>
  <c r="AD190" i="1"/>
  <c r="AC190" i="1"/>
  <c r="AB143" i="1"/>
  <c r="AA143" i="1"/>
  <c r="AC141" i="1"/>
  <c r="AD141" i="1"/>
  <c r="AC381" i="1"/>
  <c r="AB371" i="1"/>
  <c r="AA371" i="1"/>
  <c r="AA346" i="1"/>
  <c r="AB346" i="1"/>
  <c r="AA256" i="1"/>
  <c r="AB256" i="1"/>
  <c r="AC256" i="1" s="1"/>
  <c r="AB251" i="1"/>
  <c r="AA251" i="1"/>
  <c r="AD205" i="1"/>
  <c r="AC205" i="1"/>
  <c r="AB150" i="1"/>
  <c r="AA150" i="1"/>
  <c r="V30" i="3"/>
  <c r="X30" i="3" s="1"/>
  <c r="Y30" i="3" s="1"/>
  <c r="W30" i="3"/>
  <c r="B62" i="6"/>
  <c r="B63" i="6" s="1"/>
  <c r="AB30" i="3"/>
  <c r="AD30" i="3" s="1"/>
  <c r="AD10" i="3"/>
  <c r="AD29" i="3"/>
  <c r="AC13" i="3"/>
  <c r="AD13" i="3" s="1"/>
  <c r="AD21" i="3"/>
  <c r="AD4" i="3"/>
  <c r="AD12" i="3"/>
  <c r="AD16" i="3"/>
  <c r="F51" i="7"/>
  <c r="C5" i="8"/>
  <c r="N5" i="8"/>
  <c r="D15" i="8"/>
  <c r="D19" i="4"/>
  <c r="AB22" i="3"/>
  <c r="AD22" i="3" s="1"/>
  <c r="AC28" i="3"/>
  <c r="AA42" i="3"/>
  <c r="AD42" i="3" s="1"/>
  <c r="AC18" i="3"/>
  <c r="AD18" i="3" s="1"/>
  <c r="AB17" i="3"/>
  <c r="AD17" i="3" s="1"/>
  <c r="AA38" i="3"/>
  <c r="AD38" i="3" s="1"/>
  <c r="AB33" i="3"/>
  <c r="AA32" i="3"/>
  <c r="AD35" i="3"/>
  <c r="AD31" i="3"/>
  <c r="P5" i="8"/>
  <c r="C19" i="4"/>
  <c r="M19" i="8"/>
  <c r="M16" i="8"/>
  <c r="U14" i="4"/>
  <c r="G15" i="4"/>
  <c r="K17" i="8"/>
  <c r="J15" i="8"/>
  <c r="K15" i="8" s="1"/>
  <c r="K20" i="8" s="1"/>
  <c r="AA470" i="1"/>
  <c r="AD465" i="1"/>
  <c r="AB464" i="1"/>
  <c r="AC464" i="1" s="1"/>
  <c r="AD458" i="1"/>
  <c r="AB452" i="1"/>
  <c r="AD452" i="1" s="1"/>
  <c r="AB445" i="1"/>
  <c r="AB441" i="1"/>
  <c r="AC440" i="1"/>
  <c r="AA430" i="1"/>
  <c r="AA423" i="1"/>
  <c r="AB418" i="1"/>
  <c r="AC417" i="1"/>
  <c r="AE417" i="1" s="1"/>
  <c r="AF417" i="1" s="1"/>
  <c r="AC402" i="1"/>
  <c r="AA400" i="1"/>
  <c r="AD395" i="1"/>
  <c r="AB387" i="1"/>
  <c r="AD386" i="1"/>
  <c r="AB22" i="2"/>
  <c r="AB19" i="2"/>
  <c r="AE17" i="2"/>
  <c r="AF17" i="2" s="1"/>
  <c r="AG17" i="2" s="1"/>
  <c r="AB13" i="2"/>
  <c r="O13" i="4"/>
  <c r="I11" i="4"/>
  <c r="AC377" i="1"/>
  <c r="AD372" i="1"/>
  <c r="AE372" i="1" s="1"/>
  <c r="AF372" i="1" s="1"/>
  <c r="AA370" i="1"/>
  <c r="AB370" i="1"/>
  <c r="AC365" i="1"/>
  <c r="AE365" i="1" s="1"/>
  <c r="AF365" i="1" s="1"/>
  <c r="AB363" i="1"/>
  <c r="AA363" i="1"/>
  <c r="AE356" i="1"/>
  <c r="AF356" i="1" s="1"/>
  <c r="AE349" i="1"/>
  <c r="AF349" i="1" s="1"/>
  <c r="AC345" i="1"/>
  <c r="AD337" i="1"/>
  <c r="AC337" i="1"/>
  <c r="AA324" i="1"/>
  <c r="AB324" i="1"/>
  <c r="AC316" i="1"/>
  <c r="AD316" i="1"/>
  <c r="AA309" i="1"/>
  <c r="AB309" i="1"/>
  <c r="AD301" i="1"/>
  <c r="AE301" i="1" s="1"/>
  <c r="AF301" i="1" s="1"/>
  <c r="AE297" i="1"/>
  <c r="AF297" i="1" s="1"/>
  <c r="AD296" i="1"/>
  <c r="AA281" i="1"/>
  <c r="AB281" i="1"/>
  <c r="AD281" i="1" s="1"/>
  <c r="AE277" i="1"/>
  <c r="AF277" i="1" s="1"/>
  <c r="AA260" i="1"/>
  <c r="AB260" i="1"/>
  <c r="AA253" i="1"/>
  <c r="AB253" i="1"/>
  <c r="AA249" i="1"/>
  <c r="AB249" i="1"/>
  <c r="AA245" i="1"/>
  <c r="AB245" i="1"/>
  <c r="AA229" i="1"/>
  <c r="AB229" i="1"/>
  <c r="AD197" i="1"/>
  <c r="AC197" i="1"/>
  <c r="O5" i="4"/>
  <c r="AA335" i="1"/>
  <c r="AB330" i="1"/>
  <c r="AA319" i="1"/>
  <c r="AB317" i="1"/>
  <c r="AB314" i="1"/>
  <c r="AA303" i="1"/>
  <c r="AB282" i="1"/>
  <c r="H5" i="4"/>
  <c r="I5" i="4" s="1"/>
  <c r="AA275" i="1"/>
  <c r="AE275" i="1" s="1"/>
  <c r="AF275" i="1" s="1"/>
  <c r="AB274" i="1"/>
  <c r="AA271" i="1"/>
  <c r="AE271" i="1" s="1"/>
  <c r="AF271" i="1" s="1"/>
  <c r="AD259" i="1"/>
  <c r="AE259" i="1" s="1"/>
  <c r="AF259" i="1" s="1"/>
  <c r="AA236" i="1"/>
  <c r="AB232" i="1"/>
  <c r="AC232" i="1" s="1"/>
  <c r="AD221" i="1"/>
  <c r="AC221" i="1"/>
  <c r="AA151" i="1"/>
  <c r="AB105" i="1"/>
  <c r="AC105" i="1" s="1"/>
  <c r="AA105" i="1"/>
  <c r="AE104" i="1"/>
  <c r="AF104" i="1" s="1"/>
  <c r="AB62" i="1"/>
  <c r="AA62" i="1"/>
  <c r="V34" i="3"/>
  <c r="W34" i="3"/>
  <c r="AE276" i="1"/>
  <c r="AF276" i="1" s="1"/>
  <c r="AE261" i="1"/>
  <c r="AF261" i="1" s="1"/>
  <c r="AE237" i="1"/>
  <c r="AF237" i="1" s="1"/>
  <c r="AB227" i="1"/>
  <c r="AA227" i="1"/>
  <c r="AA212" i="1"/>
  <c r="AB212" i="1"/>
  <c r="AC212" i="1" s="1"/>
  <c r="AA204" i="1"/>
  <c r="AB204" i="1"/>
  <c r="AC204" i="1" s="1"/>
  <c r="AA196" i="1"/>
  <c r="AB196" i="1"/>
  <c r="AC196" i="1" s="1"/>
  <c r="AA189" i="1"/>
  <c r="AB189" i="1"/>
  <c r="AC189" i="1" s="1"/>
  <c r="AA181" i="1"/>
  <c r="AB181" i="1"/>
  <c r="AC181" i="1" s="1"/>
  <c r="AB161" i="1"/>
  <c r="AA161" i="1"/>
  <c r="AA132" i="1"/>
  <c r="AB132" i="1"/>
  <c r="AD132" i="1" s="1"/>
  <c r="AC125" i="1"/>
  <c r="AD125" i="1"/>
  <c r="AA124" i="1"/>
  <c r="AB124" i="1"/>
  <c r="AD117" i="1"/>
  <c r="AC117" i="1"/>
  <c r="AD109" i="1"/>
  <c r="AC109" i="1"/>
  <c r="AE109" i="1" s="1"/>
  <c r="AF109" i="1" s="1"/>
  <c r="AA76" i="1"/>
  <c r="AB76" i="1"/>
  <c r="AA74" i="1"/>
  <c r="AB74" i="1"/>
  <c r="AD74" i="1" s="1"/>
  <c r="AD28" i="1"/>
  <c r="AC28" i="1"/>
  <c r="AE332" i="1"/>
  <c r="AF332" i="1" s="1"/>
  <c r="AC219" i="1"/>
  <c r="AD219" i="1"/>
  <c r="AD174" i="1"/>
  <c r="AC174" i="1"/>
  <c r="AE174" i="1" s="1"/>
  <c r="AF174" i="1" s="1"/>
  <c r="AD171" i="1"/>
  <c r="AC171" i="1"/>
  <c r="AE169" i="1"/>
  <c r="AF169" i="1" s="1"/>
  <c r="AA167" i="1"/>
  <c r="AB167" i="1"/>
  <c r="AC158" i="1"/>
  <c r="AE158" i="1" s="1"/>
  <c r="AF158" i="1" s="1"/>
  <c r="AD158" i="1"/>
  <c r="AE135" i="1"/>
  <c r="AF135" i="1" s="1"/>
  <c r="AC127" i="1"/>
  <c r="AD127" i="1"/>
  <c r="AA121" i="1"/>
  <c r="AB121" i="1"/>
  <c r="AC121" i="1" s="1"/>
  <c r="AA120" i="1"/>
  <c r="AB120" i="1"/>
  <c r="AA81" i="1"/>
  <c r="AB81" i="1"/>
  <c r="AD81" i="1" s="1"/>
  <c r="AA33" i="1"/>
  <c r="AB33" i="1"/>
  <c r="AC33" i="1" s="1"/>
  <c r="AC60" i="1"/>
  <c r="AD60" i="1"/>
  <c r="AC59" i="1"/>
  <c r="AD59" i="1"/>
  <c r="AC52" i="1"/>
  <c r="AD52" i="1"/>
  <c r="AC51" i="1"/>
  <c r="AE51" i="1" s="1"/>
  <c r="AF51" i="1" s="1"/>
  <c r="AD51" i="1"/>
  <c r="AB38" i="1"/>
  <c r="AC38" i="1" s="1"/>
  <c r="AA38" i="1"/>
  <c r="AA26" i="1"/>
  <c r="AB26" i="1"/>
  <c r="AD26" i="1" s="1"/>
  <c r="AC20" i="1"/>
  <c r="AD20" i="1"/>
  <c r="AC19" i="1"/>
  <c r="AE19" i="1" s="1"/>
  <c r="AF19" i="1" s="1"/>
  <c r="AD19" i="1"/>
  <c r="AB6" i="1"/>
  <c r="AC6" i="1" s="1"/>
  <c r="AA6" i="1"/>
  <c r="T39" i="3"/>
  <c r="U39" i="3"/>
  <c r="V39" i="3" s="1"/>
  <c r="W26" i="3"/>
  <c r="X26" i="3" s="1"/>
  <c r="Y26" i="3" s="1"/>
  <c r="S7" i="8" s="1"/>
  <c r="V26" i="3"/>
  <c r="AE165" i="1"/>
  <c r="AF165" i="1" s="1"/>
  <c r="AB100" i="1"/>
  <c r="AC100" i="1" s="1"/>
  <c r="AA89" i="1"/>
  <c r="AB89" i="1"/>
  <c r="AC89" i="1" s="1"/>
  <c r="AE84" i="1"/>
  <c r="AF84" i="1" s="1"/>
  <c r="AA83" i="1"/>
  <c r="AB83" i="1"/>
  <c r="AC83" i="1" s="1"/>
  <c r="AC78" i="1"/>
  <c r="AD78" i="1"/>
  <c r="AB70" i="1"/>
  <c r="AA70" i="1"/>
  <c r="AA68" i="1"/>
  <c r="AB68" i="1"/>
  <c r="AA66" i="1"/>
  <c r="AB66" i="1"/>
  <c r="AA36" i="1"/>
  <c r="AB36" i="1"/>
  <c r="AA35" i="1"/>
  <c r="AB35" i="1"/>
  <c r="T36" i="3"/>
  <c r="U36" i="3"/>
  <c r="W24" i="3"/>
  <c r="V24" i="3"/>
  <c r="X24" i="3" s="1"/>
  <c r="Y24" i="3" s="1"/>
  <c r="AE157" i="1"/>
  <c r="AF157" i="1" s="1"/>
  <c r="AE118" i="1"/>
  <c r="AF118" i="1" s="1"/>
  <c r="AB80" i="1"/>
  <c r="AD80" i="1" s="1"/>
  <c r="AA80" i="1"/>
  <c r="AA77" i="1"/>
  <c r="AB77" i="1"/>
  <c r="AE44" i="1"/>
  <c r="AF44" i="1" s="1"/>
  <c r="AE12" i="1"/>
  <c r="AF12" i="1" s="1"/>
  <c r="V42" i="3"/>
  <c r="W42" i="3"/>
  <c r="X42" i="3" s="1"/>
  <c r="Y42" i="3" s="1"/>
  <c r="AE42" i="3" s="1"/>
  <c r="AD85" i="1"/>
  <c r="AD69" i="1"/>
  <c r="AB61" i="1"/>
  <c r="AE59" i="1"/>
  <c r="AF59" i="1" s="1"/>
  <c r="AA54" i="1"/>
  <c r="AA22" i="1"/>
  <c r="U43" i="3"/>
  <c r="V43" i="3" s="1"/>
  <c r="U40" i="3"/>
  <c r="W38" i="3"/>
  <c r="U35" i="3"/>
  <c r="V35" i="3" s="1"/>
  <c r="AE86" i="1"/>
  <c r="AF86" i="1" s="1"/>
  <c r="AE27" i="1"/>
  <c r="AF27" i="1" s="1"/>
  <c r="U8" i="3"/>
  <c r="V8" i="3" s="1"/>
  <c r="U6" i="3"/>
  <c r="V6" i="3" s="1"/>
  <c r="U4" i="3"/>
  <c r="V4" i="3" s="1"/>
  <c r="AE88" i="1"/>
  <c r="AF88" i="1" s="1"/>
  <c r="AE85" i="1"/>
  <c r="AF85" i="1" s="1"/>
  <c r="AE69" i="1"/>
  <c r="AF69" i="1" s="1"/>
  <c r="AD20" i="2"/>
  <c r="AE20" i="2"/>
  <c r="AD19" i="2"/>
  <c r="AE19" i="2"/>
  <c r="AD13" i="2"/>
  <c r="AE13" i="2"/>
  <c r="K21" i="4"/>
  <c r="K24" i="4" s="1"/>
  <c r="M21" i="4"/>
  <c r="AD7" i="2"/>
  <c r="AE7" i="2"/>
  <c r="AF22" i="2"/>
  <c r="AG22" i="2" s="1"/>
  <c r="AD5" i="2"/>
  <c r="AE5" i="2"/>
  <c r="G24" i="4"/>
  <c r="AD15" i="2"/>
  <c r="AF15" i="2" s="1"/>
  <c r="AG15" i="2" s="1"/>
  <c r="AE15" i="2"/>
  <c r="AC24" i="2"/>
  <c r="AC18" i="2"/>
  <c r="AC12" i="2"/>
  <c r="AC4" i="2"/>
  <c r="AE16" i="2"/>
  <c r="AF16" i="2" s="1"/>
  <c r="AG16" i="2" s="1"/>
  <c r="AC14" i="2"/>
  <c r="AE8" i="2"/>
  <c r="AF8" i="2" s="1"/>
  <c r="AG8" i="2" s="1"/>
  <c r="AC6" i="2"/>
  <c r="X34" i="3"/>
  <c r="Y34" i="3" s="1"/>
  <c r="V27" i="3"/>
  <c r="W27" i="3"/>
  <c r="V25" i="3"/>
  <c r="X25" i="3" s="1"/>
  <c r="Y25" i="3" s="1"/>
  <c r="W25" i="3"/>
  <c r="V23" i="3"/>
  <c r="X23" i="3" s="1"/>
  <c r="Y23" i="3" s="1"/>
  <c r="AE23" i="3" s="1"/>
  <c r="W23" i="3"/>
  <c r="AD32" i="3"/>
  <c r="AD37" i="3"/>
  <c r="X38" i="3"/>
  <c r="Y38" i="3" s="1"/>
  <c r="V31" i="3"/>
  <c r="W31" i="3"/>
  <c r="AA25" i="3"/>
  <c r="AC33" i="3"/>
  <c r="AD33" i="3" s="1"/>
  <c r="AE33" i="3" s="1"/>
  <c r="AB32" i="3"/>
  <c r="AB20" i="3"/>
  <c r="AD20" i="3" s="1"/>
  <c r="AC24" i="3"/>
  <c r="AD24" i="3" s="1"/>
  <c r="AB39" i="3"/>
  <c r="AD39" i="3" s="1"/>
  <c r="R5" i="4"/>
  <c r="U28" i="3"/>
  <c r="W21" i="3"/>
  <c r="X21" i="3" s="1"/>
  <c r="Y21" i="3" s="1"/>
  <c r="AE21" i="3" s="1"/>
  <c r="W19" i="3"/>
  <c r="X19" i="3" s="1"/>
  <c r="Y19" i="3" s="1"/>
  <c r="AE19" i="3" s="1"/>
  <c r="W17" i="3"/>
  <c r="X17" i="3" s="1"/>
  <c r="Y17" i="3" s="1"/>
  <c r="W15" i="3"/>
  <c r="X15" i="3" s="1"/>
  <c r="Y15" i="3" s="1"/>
  <c r="AE15" i="3" s="1"/>
  <c r="W13" i="3"/>
  <c r="X13" i="3" s="1"/>
  <c r="Y13" i="3" s="1"/>
  <c r="W11" i="3"/>
  <c r="X11" i="3" s="1"/>
  <c r="Y11" i="3" s="1"/>
  <c r="AE11" i="3" s="1"/>
  <c r="W9" i="3"/>
  <c r="X9" i="3" s="1"/>
  <c r="Y9" i="3" s="1"/>
  <c r="AE9" i="3" s="1"/>
  <c r="W7" i="3"/>
  <c r="X7" i="3" s="1"/>
  <c r="Y7" i="3" s="1"/>
  <c r="AE7" i="3" s="1"/>
  <c r="W5" i="3"/>
  <c r="X5" i="3" s="1"/>
  <c r="Y5" i="3" s="1"/>
  <c r="AE5" i="3" s="1"/>
  <c r="AC25" i="3"/>
  <c r="AB6" i="3"/>
  <c r="AD6" i="3" s="1"/>
  <c r="Q9" i="4"/>
  <c r="R9" i="4" s="1"/>
  <c r="AA40" i="3"/>
  <c r="AD40" i="3" s="1"/>
  <c r="AA26" i="3"/>
  <c r="AB26" i="3"/>
  <c r="W43" i="3"/>
  <c r="X43" i="3" s="1"/>
  <c r="Y43" i="3" s="1"/>
  <c r="AE43" i="3" s="1"/>
  <c r="W41" i="3"/>
  <c r="X41" i="3" s="1"/>
  <c r="Y41" i="3" s="1"/>
  <c r="AE41" i="3" s="1"/>
  <c r="W39" i="3"/>
  <c r="X39" i="3" s="1"/>
  <c r="Y39" i="3" s="1"/>
  <c r="W37" i="3"/>
  <c r="X37" i="3" s="1"/>
  <c r="Y37" i="3" s="1"/>
  <c r="W35" i="3"/>
  <c r="X35" i="3" s="1"/>
  <c r="Y35" i="3" s="1"/>
  <c r="AE35" i="3" s="1"/>
  <c r="W33" i="3"/>
  <c r="X33" i="3" s="1"/>
  <c r="Y33" i="3" s="1"/>
  <c r="S4" i="4" s="1"/>
  <c r="T4" i="4" s="1"/>
  <c r="U29" i="3"/>
  <c r="W22" i="3"/>
  <c r="X22" i="3" s="1"/>
  <c r="Y22" i="3" s="1"/>
  <c r="W20" i="3"/>
  <c r="X20" i="3" s="1"/>
  <c r="Y20" i="3" s="1"/>
  <c r="W18" i="3"/>
  <c r="X18" i="3" s="1"/>
  <c r="Y18" i="3" s="1"/>
  <c r="W16" i="3"/>
  <c r="X16" i="3" s="1"/>
  <c r="Y16" i="3" s="1"/>
  <c r="AE16" i="3" s="1"/>
  <c r="W14" i="3"/>
  <c r="X14" i="3" s="1"/>
  <c r="Y14" i="3" s="1"/>
  <c r="AE14" i="3" s="1"/>
  <c r="W12" i="3"/>
  <c r="X12" i="3" s="1"/>
  <c r="Y12" i="3" s="1"/>
  <c r="W10" i="3"/>
  <c r="X10" i="3" s="1"/>
  <c r="Y10" i="3" s="1"/>
  <c r="AE10" i="3" s="1"/>
  <c r="W8" i="3"/>
  <c r="X8" i="3" s="1"/>
  <c r="Y8" i="3" s="1"/>
  <c r="AE8" i="3" s="1"/>
  <c r="W6" i="3"/>
  <c r="X6" i="3" s="1"/>
  <c r="Y6" i="3" s="1"/>
  <c r="W4" i="3"/>
  <c r="X4" i="3" s="1"/>
  <c r="Y4" i="3" s="1"/>
  <c r="AE4" i="3" s="1"/>
  <c r="AB34" i="3"/>
  <c r="AD34" i="3" s="1"/>
  <c r="AE34" i="3" s="1"/>
  <c r="O4" i="8"/>
  <c r="Q4" i="8"/>
  <c r="K8" i="8"/>
  <c r="U13" i="4"/>
  <c r="M13" i="4"/>
  <c r="AC470" i="1"/>
  <c r="AE470" i="1" s="1"/>
  <c r="AF470" i="1" s="1"/>
  <c r="AD470" i="1"/>
  <c r="AC468" i="1"/>
  <c r="AE468" i="1" s="1"/>
  <c r="AF468" i="1" s="1"/>
  <c r="J4" i="8" s="1"/>
  <c r="K4" i="8" s="1"/>
  <c r="AD468" i="1"/>
  <c r="AC463" i="1"/>
  <c r="AE463" i="1" s="1"/>
  <c r="AF463" i="1" s="1"/>
  <c r="AD463" i="1"/>
  <c r="T8" i="8"/>
  <c r="I8" i="8"/>
  <c r="Q8" i="8"/>
  <c r="R8" i="8" s="1"/>
  <c r="O8" i="8"/>
  <c r="AA458" i="1"/>
  <c r="AD454" i="1"/>
  <c r="AE454" i="1" s="1"/>
  <c r="AF454" i="1" s="1"/>
  <c r="AC452" i="1"/>
  <c r="AE452" i="1" s="1"/>
  <c r="AF452" i="1" s="1"/>
  <c r="AB431" i="1"/>
  <c r="AA415" i="1"/>
  <c r="AB415" i="1"/>
  <c r="AC343" i="1"/>
  <c r="AD343" i="1"/>
  <c r="AE343" i="1" s="1"/>
  <c r="AF343" i="1" s="1"/>
  <c r="AC430" i="1"/>
  <c r="AE430" i="1" s="1"/>
  <c r="AF430" i="1" s="1"/>
  <c r="AD430" i="1"/>
  <c r="AC416" i="1"/>
  <c r="AE416" i="1" s="1"/>
  <c r="AF416" i="1" s="1"/>
  <c r="AC393" i="1"/>
  <c r="AD393" i="1"/>
  <c r="AC400" i="1"/>
  <c r="AE400" i="1" s="1"/>
  <c r="AF400" i="1" s="1"/>
  <c r="AD400" i="1"/>
  <c r="O9" i="8"/>
  <c r="Q9" i="8"/>
  <c r="R9" i="8" s="1"/>
  <c r="AC459" i="1"/>
  <c r="AE459" i="1" s="1"/>
  <c r="AF459" i="1" s="1"/>
  <c r="AD459" i="1"/>
  <c r="AD447" i="1"/>
  <c r="AE440" i="1"/>
  <c r="AF440" i="1" s="1"/>
  <c r="AA429" i="1"/>
  <c r="AB429" i="1"/>
  <c r="AE403" i="1"/>
  <c r="AF403" i="1" s="1"/>
  <c r="AA392" i="1"/>
  <c r="AB392" i="1"/>
  <c r="AC383" i="1"/>
  <c r="AD383" i="1"/>
  <c r="AE383" i="1" s="1"/>
  <c r="AF383" i="1" s="1"/>
  <c r="AB467" i="1"/>
  <c r="AA450" i="1"/>
  <c r="AB450" i="1"/>
  <c r="AC439" i="1"/>
  <c r="AD439" i="1"/>
  <c r="AE425" i="1"/>
  <c r="AF425" i="1" s="1"/>
  <c r="AC408" i="1"/>
  <c r="AA407" i="1"/>
  <c r="AB407" i="1"/>
  <c r="AC397" i="1"/>
  <c r="AD397" i="1"/>
  <c r="AC391" i="1"/>
  <c r="AD391" i="1"/>
  <c r="AC445" i="1"/>
  <c r="AD445" i="1"/>
  <c r="AA399" i="1"/>
  <c r="AB399" i="1"/>
  <c r="AC359" i="1"/>
  <c r="AD359" i="1"/>
  <c r="T9" i="8"/>
  <c r="U9" i="8" s="1"/>
  <c r="AA457" i="1"/>
  <c r="AB457" i="1"/>
  <c r="AC455" i="1"/>
  <c r="AE455" i="1" s="1"/>
  <c r="AF455" i="1" s="1"/>
  <c r="AD453" i="1"/>
  <c r="AE447" i="1"/>
  <c r="AF447" i="1" s="1"/>
  <c r="AC446" i="1"/>
  <c r="AE446" i="1" s="1"/>
  <c r="AF446" i="1" s="1"/>
  <c r="AC438" i="1"/>
  <c r="AD438" i="1"/>
  <c r="AD433" i="1"/>
  <c r="AE433" i="1" s="1"/>
  <c r="AF433" i="1" s="1"/>
  <c r="AB424" i="1"/>
  <c r="AA411" i="1"/>
  <c r="AB411" i="1"/>
  <c r="AC410" i="1"/>
  <c r="AD410" i="1"/>
  <c r="AE402" i="1"/>
  <c r="AF402" i="1" s="1"/>
  <c r="AA422" i="1"/>
  <c r="AB422" i="1"/>
  <c r="AB469" i="1"/>
  <c r="AD464" i="1"/>
  <c r="AE464" i="1" s="1"/>
  <c r="AF464" i="1" s="1"/>
  <c r="AB462" i="1"/>
  <c r="AD460" i="1"/>
  <c r="AE460" i="1" s="1"/>
  <c r="AF460" i="1" s="1"/>
  <c r="AC451" i="1"/>
  <c r="AE451" i="1" s="1"/>
  <c r="AF451" i="1" s="1"/>
  <c r="AD451" i="1"/>
  <c r="AA443" i="1"/>
  <c r="AB443" i="1"/>
  <c r="AA437" i="1"/>
  <c r="AB437" i="1"/>
  <c r="AC412" i="1"/>
  <c r="AD412" i="1"/>
  <c r="AC401" i="1"/>
  <c r="AD401" i="1"/>
  <c r="AC405" i="1"/>
  <c r="AD405" i="1"/>
  <c r="AA453" i="1"/>
  <c r="AC423" i="1"/>
  <c r="AD423" i="1"/>
  <c r="AE395" i="1"/>
  <c r="AF395" i="1" s="1"/>
  <c r="AC389" i="1"/>
  <c r="AD389" i="1"/>
  <c r="I14" i="4"/>
  <c r="Q11" i="4"/>
  <c r="R11" i="4" s="1"/>
  <c r="O11" i="4"/>
  <c r="AA382" i="1"/>
  <c r="AB382" i="1"/>
  <c r="AE377" i="1"/>
  <c r="AF377" i="1" s="1"/>
  <c r="AC371" i="1"/>
  <c r="AD371" i="1"/>
  <c r="AC368" i="1"/>
  <c r="AD368" i="1"/>
  <c r="AC355" i="1"/>
  <c r="AD355" i="1"/>
  <c r="AC311" i="1"/>
  <c r="AE311" i="1" s="1"/>
  <c r="AF311" i="1" s="1"/>
  <c r="AD311" i="1"/>
  <c r="O14" i="4"/>
  <c r="Q14" i="4"/>
  <c r="AB449" i="1"/>
  <c r="AD444" i="1"/>
  <c r="AE444" i="1" s="1"/>
  <c r="AF444" i="1" s="1"/>
  <c r="AB442" i="1"/>
  <c r="AD436" i="1"/>
  <c r="AE436" i="1" s="1"/>
  <c r="AF436" i="1" s="1"/>
  <c r="AB434" i="1"/>
  <c r="AD428" i="1"/>
  <c r="AE428" i="1" s="1"/>
  <c r="AF428" i="1" s="1"/>
  <c r="AB427" i="1"/>
  <c r="AD421" i="1"/>
  <c r="AE421" i="1" s="1"/>
  <c r="AF421" i="1" s="1"/>
  <c r="AB419" i="1"/>
  <c r="AD406" i="1"/>
  <c r="AE406" i="1" s="1"/>
  <c r="AF406" i="1" s="1"/>
  <c r="AB404" i="1"/>
  <c r="AD398" i="1"/>
  <c r="AE398" i="1" s="1"/>
  <c r="AF398" i="1" s="1"/>
  <c r="AB396" i="1"/>
  <c r="AA388" i="1"/>
  <c r="AE388" i="1" s="1"/>
  <c r="AF388" i="1" s="1"/>
  <c r="Q3" i="4"/>
  <c r="R3" i="4" s="1"/>
  <c r="Q4" i="4"/>
  <c r="R4" i="4" s="1"/>
  <c r="O4" i="4"/>
  <c r="AC379" i="1"/>
  <c r="AD379" i="1"/>
  <c r="AC376" i="1"/>
  <c r="AE376" i="1" s="1"/>
  <c r="AF376" i="1" s="1"/>
  <c r="AD376" i="1"/>
  <c r="AE361" i="1"/>
  <c r="AF361" i="1" s="1"/>
  <c r="AE345" i="1"/>
  <c r="AF345" i="1" s="1"/>
  <c r="AC335" i="1"/>
  <c r="AD335" i="1"/>
  <c r="AC319" i="1"/>
  <c r="AD319" i="1"/>
  <c r="AE305" i="1"/>
  <c r="AF305" i="1" s="1"/>
  <c r="AB435" i="1"/>
  <c r="AB420" i="1"/>
  <c r="AB414" i="1"/>
  <c r="R13" i="4"/>
  <c r="Q8" i="4"/>
  <c r="R8" i="4" s="1"/>
  <c r="Q10" i="4"/>
  <c r="R10" i="4" s="1"/>
  <c r="O10" i="4"/>
  <c r="AC367" i="1"/>
  <c r="AE367" i="1" s="1"/>
  <c r="AF367" i="1" s="1"/>
  <c r="AD367" i="1"/>
  <c r="AC351" i="1"/>
  <c r="AD351" i="1"/>
  <c r="AE391" i="1"/>
  <c r="AF391" i="1" s="1"/>
  <c r="AC363" i="1"/>
  <c r="AD363" i="1"/>
  <c r="AC347" i="1"/>
  <c r="AD347" i="1"/>
  <c r="AC327" i="1"/>
  <c r="AD327" i="1"/>
  <c r="AC387" i="1"/>
  <c r="AD387" i="1"/>
  <c r="O6" i="4"/>
  <c r="Q6" i="4"/>
  <c r="R6" i="4" s="1"/>
  <c r="AC375" i="1"/>
  <c r="AD375" i="1"/>
  <c r="Q12" i="4"/>
  <c r="R12" i="4" s="1"/>
  <c r="O12" i="4"/>
  <c r="AA374" i="1"/>
  <c r="AB374" i="1"/>
  <c r="AE369" i="1"/>
  <c r="AF369" i="1" s="1"/>
  <c r="AE353" i="1"/>
  <c r="AF353" i="1" s="1"/>
  <c r="AE321" i="1"/>
  <c r="AF321" i="1" s="1"/>
  <c r="AC303" i="1"/>
  <c r="AD303" i="1"/>
  <c r="AA278" i="1"/>
  <c r="AB278" i="1"/>
  <c r="AA262" i="1"/>
  <c r="AB262" i="1"/>
  <c r="AC255" i="1"/>
  <c r="AD255" i="1"/>
  <c r="AC247" i="1"/>
  <c r="AD247" i="1"/>
  <c r="AA238" i="1"/>
  <c r="AB238" i="1"/>
  <c r="AC252" i="1"/>
  <c r="AD252" i="1"/>
  <c r="AA246" i="1"/>
  <c r="AB246" i="1"/>
  <c r="AB231" i="1"/>
  <c r="AA231" i="1"/>
  <c r="AB223" i="1"/>
  <c r="AA223" i="1"/>
  <c r="AB215" i="1"/>
  <c r="AA215" i="1"/>
  <c r="AC211" i="1"/>
  <c r="AD211" i="1"/>
  <c r="AC195" i="1"/>
  <c r="AD195" i="1"/>
  <c r="AC188" i="1"/>
  <c r="AD188" i="1"/>
  <c r="AD293" i="1"/>
  <c r="AE293" i="1" s="1"/>
  <c r="AF293" i="1" s="1"/>
  <c r="AB292" i="1"/>
  <c r="AD290" i="1"/>
  <c r="AC272" i="1"/>
  <c r="AD272" i="1"/>
  <c r="AC264" i="1"/>
  <c r="AD264" i="1"/>
  <c r="AA254" i="1"/>
  <c r="AB254" i="1"/>
  <c r="AE241" i="1"/>
  <c r="AF241" i="1" s="1"/>
  <c r="AC199" i="1"/>
  <c r="AD199" i="1"/>
  <c r="AC192" i="1"/>
  <c r="AD192" i="1"/>
  <c r="AC176" i="1"/>
  <c r="AD176" i="1"/>
  <c r="AA287" i="1"/>
  <c r="AE287" i="1" s="1"/>
  <c r="AF287" i="1" s="1"/>
  <c r="AC285" i="1"/>
  <c r="AE285" i="1" s="1"/>
  <c r="AF285" i="1" s="1"/>
  <c r="AA279" i="1"/>
  <c r="AE279" i="1" s="1"/>
  <c r="AF279" i="1" s="1"/>
  <c r="AA270" i="1"/>
  <c r="AB270" i="1"/>
  <c r="AD268" i="1"/>
  <c r="AE268" i="1" s="1"/>
  <c r="AF268" i="1" s="1"/>
  <c r="AE235" i="1"/>
  <c r="AF235" i="1" s="1"/>
  <c r="AE221" i="1"/>
  <c r="AF221" i="1" s="1"/>
  <c r="AE219" i="1"/>
  <c r="AF219" i="1" s="1"/>
  <c r="AE197" i="1"/>
  <c r="AF197" i="1" s="1"/>
  <c r="AE190" i="1"/>
  <c r="AF190" i="1" s="1"/>
  <c r="AC240" i="1"/>
  <c r="AD233" i="1"/>
  <c r="AC233" i="1"/>
  <c r="AD225" i="1"/>
  <c r="AE225" i="1" s="1"/>
  <c r="AF225" i="1" s="1"/>
  <c r="AC225" i="1"/>
  <c r="AD217" i="1"/>
  <c r="AC217" i="1"/>
  <c r="AD291" i="1"/>
  <c r="AE290" i="1"/>
  <c r="AF290" i="1" s="1"/>
  <c r="AD283" i="1"/>
  <c r="AA266" i="1"/>
  <c r="AB266" i="1"/>
  <c r="AC248" i="1"/>
  <c r="AE248" i="1" s="1"/>
  <c r="AF248" i="1" s="1"/>
  <c r="AD248" i="1"/>
  <c r="AC203" i="1"/>
  <c r="AD203" i="1"/>
  <c r="AC180" i="1"/>
  <c r="AD180" i="1"/>
  <c r="AC146" i="1"/>
  <c r="AD146" i="1"/>
  <c r="AB366" i="1"/>
  <c r="AD360" i="1"/>
  <c r="AE360" i="1" s="1"/>
  <c r="AF360" i="1" s="1"/>
  <c r="AB358" i="1"/>
  <c r="AD352" i="1"/>
  <c r="AE352" i="1" s="1"/>
  <c r="AF352" i="1" s="1"/>
  <c r="AB350" i="1"/>
  <c r="AD344" i="1"/>
  <c r="AE344" i="1" s="1"/>
  <c r="AF344" i="1" s="1"/>
  <c r="AB342" i="1"/>
  <c r="AD336" i="1"/>
  <c r="AE336" i="1" s="1"/>
  <c r="AF336" i="1" s="1"/>
  <c r="AB334" i="1"/>
  <c r="AD328" i="1"/>
  <c r="AE328" i="1" s="1"/>
  <c r="AF328" i="1" s="1"/>
  <c r="AB326" i="1"/>
  <c r="AD320" i="1"/>
  <c r="AE320" i="1" s="1"/>
  <c r="AF320" i="1" s="1"/>
  <c r="AB318" i="1"/>
  <c r="AD312" i="1"/>
  <c r="AE312" i="1" s="1"/>
  <c r="AF312" i="1" s="1"/>
  <c r="AB310" i="1"/>
  <c r="AD304" i="1"/>
  <c r="AE304" i="1" s="1"/>
  <c r="AF304" i="1" s="1"/>
  <c r="AB302" i="1"/>
  <c r="AD299" i="1"/>
  <c r="AE299" i="1" s="1"/>
  <c r="AF299" i="1" s="1"/>
  <c r="AB298" i="1"/>
  <c r="AD295" i="1"/>
  <c r="AE295" i="1" s="1"/>
  <c r="AF295" i="1" s="1"/>
  <c r="AB294" i="1"/>
  <c r="AB288" i="1"/>
  <c r="AD286" i="1"/>
  <c r="AE286" i="1" s="1"/>
  <c r="AF286" i="1" s="1"/>
  <c r="AB280" i="1"/>
  <c r="AE273" i="1"/>
  <c r="AF273" i="1" s="1"/>
  <c r="AC263" i="1"/>
  <c r="AE263" i="1" s="1"/>
  <c r="AF263" i="1" s="1"/>
  <c r="AD263" i="1"/>
  <c r="AA239" i="1"/>
  <c r="AC207" i="1"/>
  <c r="AD207" i="1"/>
  <c r="AC184" i="1"/>
  <c r="AD184" i="1"/>
  <c r="AA291" i="1"/>
  <c r="AC289" i="1"/>
  <c r="AE289" i="1" s="1"/>
  <c r="AF289" i="1" s="1"/>
  <c r="AA283" i="1"/>
  <c r="AC281" i="1"/>
  <c r="AE281" i="1" s="1"/>
  <c r="AF281" i="1" s="1"/>
  <c r="J5" i="4" s="1"/>
  <c r="K5" i="4" s="1"/>
  <c r="AC260" i="1"/>
  <c r="AE260" i="1" s="1"/>
  <c r="AF260" i="1" s="1"/>
  <c r="AD260" i="1"/>
  <c r="AA258" i="1"/>
  <c r="AB258" i="1"/>
  <c r="AC257" i="1"/>
  <c r="AE257" i="1" s="1"/>
  <c r="AF257" i="1" s="1"/>
  <c r="AA255" i="1"/>
  <c r="AA247" i="1"/>
  <c r="AE247" i="1" s="1"/>
  <c r="AF247" i="1" s="1"/>
  <c r="AC239" i="1"/>
  <c r="AD239" i="1"/>
  <c r="AE182" i="1"/>
  <c r="AF182" i="1" s="1"/>
  <c r="AC170" i="1"/>
  <c r="AD170" i="1"/>
  <c r="AC209" i="1"/>
  <c r="AE209" i="1" s="1"/>
  <c r="AF209" i="1" s="1"/>
  <c r="AA207" i="1"/>
  <c r="AC201" i="1"/>
  <c r="AE201" i="1" s="1"/>
  <c r="AF201" i="1" s="1"/>
  <c r="AA199" i="1"/>
  <c r="AA192" i="1"/>
  <c r="AE192" i="1" s="1"/>
  <c r="AF192" i="1" s="1"/>
  <c r="AC186" i="1"/>
  <c r="AE186" i="1" s="1"/>
  <c r="AF186" i="1" s="1"/>
  <c r="AA184" i="1"/>
  <c r="AC178" i="1"/>
  <c r="AE178" i="1" s="1"/>
  <c r="AF178" i="1" s="1"/>
  <c r="AA176" i="1"/>
  <c r="AE176" i="1" s="1"/>
  <c r="AF176" i="1" s="1"/>
  <c r="AB168" i="1"/>
  <c r="AC159" i="1"/>
  <c r="AE159" i="1" s="1"/>
  <c r="AF159" i="1" s="1"/>
  <c r="AB156" i="1"/>
  <c r="AC154" i="1"/>
  <c r="AE154" i="1" s="1"/>
  <c r="AF154" i="1" s="1"/>
  <c r="AD154" i="1"/>
  <c r="AC148" i="1"/>
  <c r="AE148" i="1" s="1"/>
  <c r="AF148" i="1" s="1"/>
  <c r="AA146" i="1"/>
  <c r="AA138" i="1"/>
  <c r="AC123" i="1"/>
  <c r="AE123" i="1" s="1"/>
  <c r="AF123" i="1" s="1"/>
  <c r="AD123" i="1"/>
  <c r="AE172" i="1"/>
  <c r="AF172" i="1" s="1"/>
  <c r="AA152" i="1"/>
  <c r="AB152" i="1"/>
  <c r="AC138" i="1"/>
  <c r="AD138" i="1"/>
  <c r="AA137" i="1"/>
  <c r="AB137" i="1"/>
  <c r="AC108" i="1"/>
  <c r="AD108" i="1"/>
  <c r="AE108" i="1" s="1"/>
  <c r="AF108" i="1" s="1"/>
  <c r="AD101" i="1"/>
  <c r="AC101" i="1"/>
  <c r="AB250" i="1"/>
  <c r="AD244" i="1"/>
  <c r="AE244" i="1" s="1"/>
  <c r="AF244" i="1" s="1"/>
  <c r="AB242" i="1"/>
  <c r="AD236" i="1"/>
  <c r="AE236" i="1" s="1"/>
  <c r="AF236" i="1" s="1"/>
  <c r="AB234" i="1"/>
  <c r="AD228" i="1"/>
  <c r="AE228" i="1" s="1"/>
  <c r="AF228" i="1" s="1"/>
  <c r="AB226" i="1"/>
  <c r="AD220" i="1"/>
  <c r="AE220" i="1" s="1"/>
  <c r="AF220" i="1" s="1"/>
  <c r="AB218" i="1"/>
  <c r="AD212" i="1"/>
  <c r="AE212" i="1" s="1"/>
  <c r="AF212" i="1" s="1"/>
  <c r="AB210" i="1"/>
  <c r="AD204" i="1"/>
  <c r="AE204" i="1" s="1"/>
  <c r="AF204" i="1" s="1"/>
  <c r="AB202" i="1"/>
  <c r="AD196" i="1"/>
  <c r="AE196" i="1" s="1"/>
  <c r="AF196" i="1" s="1"/>
  <c r="AB194" i="1"/>
  <c r="AD189" i="1"/>
  <c r="AE189" i="1" s="1"/>
  <c r="AF189" i="1" s="1"/>
  <c r="AB187" i="1"/>
  <c r="AD181" i="1"/>
  <c r="AE181" i="1" s="1"/>
  <c r="AF181" i="1" s="1"/>
  <c r="AB179" i="1"/>
  <c r="AB173" i="1"/>
  <c r="AA145" i="1"/>
  <c r="AB145" i="1"/>
  <c r="AE141" i="1"/>
  <c r="AF141" i="1" s="1"/>
  <c r="AD166" i="1"/>
  <c r="AE166" i="1" s="1"/>
  <c r="AF166" i="1" s="1"/>
  <c r="AD153" i="1"/>
  <c r="AE153" i="1" s="1"/>
  <c r="AF153" i="1" s="1"/>
  <c r="AC151" i="1"/>
  <c r="AD151" i="1"/>
  <c r="AC147" i="1"/>
  <c r="AE147" i="1" s="1"/>
  <c r="AF147" i="1" s="1"/>
  <c r="AC140" i="1"/>
  <c r="AE140" i="1" s="1"/>
  <c r="AF140" i="1" s="1"/>
  <c r="AC131" i="1"/>
  <c r="AD131" i="1"/>
  <c r="AC122" i="1"/>
  <c r="AD122" i="1"/>
  <c r="AE117" i="1"/>
  <c r="AF117" i="1" s="1"/>
  <c r="AA107" i="1"/>
  <c r="AC144" i="1"/>
  <c r="AD144" i="1"/>
  <c r="AC116" i="1"/>
  <c r="AC107" i="1"/>
  <c r="AD107" i="1"/>
  <c r="AA106" i="1"/>
  <c r="AB106" i="1"/>
  <c r="AC162" i="1"/>
  <c r="AE162" i="1" s="1"/>
  <c r="AF162" i="1" s="1"/>
  <c r="AD162" i="1"/>
  <c r="AE125" i="1"/>
  <c r="AF125" i="1" s="1"/>
  <c r="AB99" i="1"/>
  <c r="AA99" i="1"/>
  <c r="AD232" i="1"/>
  <c r="AE232" i="1" s="1"/>
  <c r="AF232" i="1" s="1"/>
  <c r="AB230" i="1"/>
  <c r="AD224" i="1"/>
  <c r="AE224" i="1" s="1"/>
  <c r="AF224" i="1" s="1"/>
  <c r="AB222" i="1"/>
  <c r="AD216" i="1"/>
  <c r="AE216" i="1" s="1"/>
  <c r="AF216" i="1" s="1"/>
  <c r="AB214" i="1"/>
  <c r="AD208" i="1"/>
  <c r="AE208" i="1" s="1"/>
  <c r="AF208" i="1" s="1"/>
  <c r="AB206" i="1"/>
  <c r="AD200" i="1"/>
  <c r="AE200" i="1" s="1"/>
  <c r="AF200" i="1" s="1"/>
  <c r="AB198" i="1"/>
  <c r="AD193" i="1"/>
  <c r="AE193" i="1" s="1"/>
  <c r="AF193" i="1" s="1"/>
  <c r="AB191" i="1"/>
  <c r="AD185" i="1"/>
  <c r="AE185" i="1" s="1"/>
  <c r="AF185" i="1" s="1"/>
  <c r="AB183" i="1"/>
  <c r="AD177" i="1"/>
  <c r="AE177" i="1" s="1"/>
  <c r="AF177" i="1" s="1"/>
  <c r="AD172" i="1"/>
  <c r="AE164" i="1"/>
  <c r="AF164" i="1" s="1"/>
  <c r="AA160" i="1"/>
  <c r="AB160" i="1"/>
  <c r="AA149" i="1"/>
  <c r="AB149" i="1"/>
  <c r="AA142" i="1"/>
  <c r="AB142" i="1"/>
  <c r="AC139" i="1"/>
  <c r="AD139" i="1"/>
  <c r="AE139" i="1" s="1"/>
  <c r="AF139" i="1" s="1"/>
  <c r="AC130" i="1"/>
  <c r="AE130" i="1" s="1"/>
  <c r="AF130" i="1" s="1"/>
  <c r="AD130" i="1"/>
  <c r="AA129" i="1"/>
  <c r="AB129" i="1"/>
  <c r="AC92" i="1"/>
  <c r="AD92" i="1"/>
  <c r="AC163" i="1"/>
  <c r="AE163" i="1" s="1"/>
  <c r="AF163" i="1" s="1"/>
  <c r="AC115" i="1"/>
  <c r="AE115" i="1" s="1"/>
  <c r="AF115" i="1" s="1"/>
  <c r="AD115" i="1"/>
  <c r="AA114" i="1"/>
  <c r="AB114" i="1"/>
  <c r="AC94" i="1"/>
  <c r="AE94" i="1" s="1"/>
  <c r="AF94" i="1" s="1"/>
  <c r="AA92" i="1"/>
  <c r="AD89" i="1"/>
  <c r="AC82" i="1"/>
  <c r="AE82" i="1" s="1"/>
  <c r="AF82" i="1" s="1"/>
  <c r="AA79" i="1"/>
  <c r="AB79" i="1"/>
  <c r="AA72" i="1"/>
  <c r="AD66" i="1"/>
  <c r="AC66" i="1"/>
  <c r="AE66" i="1" s="1"/>
  <c r="AF66" i="1" s="1"/>
  <c r="AC40" i="1"/>
  <c r="AD40" i="1"/>
  <c r="AC14" i="1"/>
  <c r="AD14" i="1"/>
  <c r="AC72" i="1"/>
  <c r="AD72" i="1"/>
  <c r="AC48" i="1"/>
  <c r="AD48" i="1"/>
  <c r="AC22" i="1"/>
  <c r="AD22" i="1"/>
  <c r="AB102" i="1"/>
  <c r="AD97" i="1"/>
  <c r="AE97" i="1" s="1"/>
  <c r="AF97" i="1" s="1"/>
  <c r="AB95" i="1"/>
  <c r="AA71" i="1"/>
  <c r="AB71" i="1"/>
  <c r="AC30" i="1"/>
  <c r="AD30" i="1"/>
  <c r="AD136" i="1"/>
  <c r="AE136" i="1" s="1"/>
  <c r="AF136" i="1" s="1"/>
  <c r="AB134" i="1"/>
  <c r="AD128" i="1"/>
  <c r="AE128" i="1" s="1"/>
  <c r="AF128" i="1" s="1"/>
  <c r="AB126" i="1"/>
  <c r="AD121" i="1"/>
  <c r="AE121" i="1" s="1"/>
  <c r="AF121" i="1" s="1"/>
  <c r="AB119" i="1"/>
  <c r="AD113" i="1"/>
  <c r="AE113" i="1" s="1"/>
  <c r="AF113" i="1" s="1"/>
  <c r="AB111" i="1"/>
  <c r="AD105" i="1"/>
  <c r="AE105" i="1" s="1"/>
  <c r="AF105" i="1" s="1"/>
  <c r="AB103" i="1"/>
  <c r="AD98" i="1"/>
  <c r="AE98" i="1" s="1"/>
  <c r="AF98" i="1" s="1"/>
  <c r="AB96" i="1"/>
  <c r="AC90" i="1"/>
  <c r="AE90" i="1" s="1"/>
  <c r="AF90" i="1" s="1"/>
  <c r="AB87" i="1"/>
  <c r="AC56" i="1"/>
  <c r="AD56" i="1"/>
  <c r="AC81" i="1"/>
  <c r="AE81" i="1" s="1"/>
  <c r="AF81" i="1" s="1"/>
  <c r="AC70" i="1"/>
  <c r="AD70" i="1"/>
  <c r="AB64" i="1"/>
  <c r="AA64" i="1"/>
  <c r="AC46" i="1"/>
  <c r="AD46" i="1"/>
  <c r="AC8" i="1"/>
  <c r="AD8" i="1"/>
  <c r="AC54" i="1"/>
  <c r="AE54" i="1" s="1"/>
  <c r="AF54" i="1" s="1"/>
  <c r="AD54" i="1"/>
  <c r="AC16" i="1"/>
  <c r="AD16" i="1"/>
  <c r="AD100" i="1"/>
  <c r="AE100" i="1" s="1"/>
  <c r="AF100" i="1" s="1"/>
  <c r="AD93" i="1"/>
  <c r="AE93" i="1" s="1"/>
  <c r="AF93" i="1" s="1"/>
  <c r="AB91" i="1"/>
  <c r="AD83" i="1"/>
  <c r="AE83" i="1" s="1"/>
  <c r="AF83" i="1" s="1"/>
  <c r="AC80" i="1"/>
  <c r="AC24" i="1"/>
  <c r="AD24" i="1"/>
  <c r="AC73" i="1"/>
  <c r="AD73" i="1"/>
  <c r="AC62" i="1"/>
  <c r="AD62" i="1"/>
  <c r="AC32" i="1"/>
  <c r="AD32" i="1"/>
  <c r="AC58" i="1"/>
  <c r="AE58" i="1" s="1"/>
  <c r="AF58" i="1" s="1"/>
  <c r="AA56" i="1"/>
  <c r="AC50" i="1"/>
  <c r="AE50" i="1" s="1"/>
  <c r="AF50" i="1" s="1"/>
  <c r="AA48" i="1"/>
  <c r="AC42" i="1"/>
  <c r="AE42" i="1" s="1"/>
  <c r="AF42" i="1" s="1"/>
  <c r="AA40" i="1"/>
  <c r="AC34" i="1"/>
  <c r="AE34" i="1" s="1"/>
  <c r="AF34" i="1" s="1"/>
  <c r="AA32" i="1"/>
  <c r="AC26" i="1"/>
  <c r="AE26" i="1" s="1"/>
  <c r="AF26" i="1" s="1"/>
  <c r="AA24" i="1"/>
  <c r="AC18" i="1"/>
  <c r="AE18" i="1" s="1"/>
  <c r="AF18" i="1" s="1"/>
  <c r="AA16" i="1"/>
  <c r="AC10" i="1"/>
  <c r="AE10" i="1" s="1"/>
  <c r="AF10" i="1" s="1"/>
  <c r="AA8" i="1"/>
  <c r="AB53" i="1"/>
  <c r="AB45" i="1"/>
  <c r="AB37" i="1"/>
  <c r="AB29" i="1"/>
  <c r="AB21" i="1"/>
  <c r="AB13" i="1"/>
  <c r="AB5" i="1"/>
  <c r="AD65" i="1"/>
  <c r="AE65" i="1" s="1"/>
  <c r="AF65" i="1" s="1"/>
  <c r="AB63" i="1"/>
  <c r="AD57" i="1"/>
  <c r="AE57" i="1" s="1"/>
  <c r="AF57" i="1" s="1"/>
  <c r="AB55" i="1"/>
  <c r="AD49" i="1"/>
  <c r="AE49" i="1" s="1"/>
  <c r="AF49" i="1" s="1"/>
  <c r="AB47" i="1"/>
  <c r="AD41" i="1"/>
  <c r="AE41" i="1" s="1"/>
  <c r="AF41" i="1" s="1"/>
  <c r="AB39" i="1"/>
  <c r="AD33" i="1"/>
  <c r="AE33" i="1" s="1"/>
  <c r="AF33" i="1" s="1"/>
  <c r="AB31" i="1"/>
  <c r="AD25" i="1"/>
  <c r="AE25" i="1" s="1"/>
  <c r="AF25" i="1" s="1"/>
  <c r="AB23" i="1"/>
  <c r="AD17" i="1"/>
  <c r="AE17" i="1" s="1"/>
  <c r="AF17" i="1" s="1"/>
  <c r="AB15" i="1"/>
  <c r="AD9" i="1"/>
  <c r="AE9" i="1" s="1"/>
  <c r="AF9" i="1" s="1"/>
  <c r="AB7" i="1"/>
  <c r="F37" i="7"/>
  <c r="G23" i="7"/>
  <c r="G37" i="7"/>
  <c r="F23" i="7"/>
  <c r="E16" i="6" s="1"/>
  <c r="F16" i="6" s="1"/>
  <c r="G16" i="6" s="1"/>
  <c r="F44" i="7"/>
  <c r="E44" i="7"/>
  <c r="E18" i="6" s="1"/>
  <c r="F18" i="6" s="1"/>
  <c r="G18" i="6" s="1"/>
  <c r="F58" i="7"/>
  <c r="F61" i="7" s="1"/>
  <c r="E61" i="7"/>
  <c r="E34" i="6" s="1"/>
  <c r="F34" i="6" s="1"/>
  <c r="G34" i="6" s="1"/>
  <c r="E9" i="7"/>
  <c r="F9" i="7"/>
  <c r="Q6" i="8" l="1"/>
  <c r="T6" i="8"/>
  <c r="U6" i="8" s="1"/>
  <c r="H81" i="6" s="1"/>
  <c r="B81" i="6" s="1"/>
  <c r="D81" i="6"/>
  <c r="O7" i="8"/>
  <c r="O10" i="8" s="1"/>
  <c r="D28" i="6" s="1"/>
  <c r="F28" i="6" s="1"/>
  <c r="G28" i="6" s="1"/>
  <c r="Q7" i="8"/>
  <c r="R7" i="8" s="1"/>
  <c r="G10" i="8"/>
  <c r="D30" i="6" s="1"/>
  <c r="F30" i="6" s="1"/>
  <c r="G30" i="6" s="1"/>
  <c r="T7" i="8"/>
  <c r="R6" i="8"/>
  <c r="G81" i="6" s="1"/>
  <c r="O5" i="8"/>
  <c r="K5" i="8"/>
  <c r="I6" i="8"/>
  <c r="AE23" i="2"/>
  <c r="AD23" i="2"/>
  <c r="AE21" i="2"/>
  <c r="AF21" i="2" s="1"/>
  <c r="AG21" i="2" s="1"/>
  <c r="AF7" i="2"/>
  <c r="AG7" i="2" s="1"/>
  <c r="AF20" i="2"/>
  <c r="AG20" i="2" s="1"/>
  <c r="AD11" i="2"/>
  <c r="AE11" i="2"/>
  <c r="AE9" i="2"/>
  <c r="AD9" i="2"/>
  <c r="AF9" i="2" s="1"/>
  <c r="AG9" i="2" s="1"/>
  <c r="L15" i="8" s="1"/>
  <c r="M15" i="8" s="1"/>
  <c r="H78" i="6" s="1"/>
  <c r="AE17" i="3"/>
  <c r="X31" i="3"/>
  <c r="Y31" i="3" s="1"/>
  <c r="AE13" i="3"/>
  <c r="AE73" i="1"/>
  <c r="AF73" i="1" s="1"/>
  <c r="AE408" i="1"/>
  <c r="AF408" i="1" s="1"/>
  <c r="AC75" i="1"/>
  <c r="AE75" i="1" s="1"/>
  <c r="AF75" i="1" s="1"/>
  <c r="AD75" i="1"/>
  <c r="AD133" i="1"/>
  <c r="AC133" i="1"/>
  <c r="AE133" i="1" s="1"/>
  <c r="AF133" i="1" s="1"/>
  <c r="AE170" i="1"/>
  <c r="AF170" i="1" s="1"/>
  <c r="AE351" i="1"/>
  <c r="AF351" i="1" s="1"/>
  <c r="AE379" i="1"/>
  <c r="AF379" i="1" s="1"/>
  <c r="AE401" i="1"/>
  <c r="AF401" i="1" s="1"/>
  <c r="AE359" i="1"/>
  <c r="AF359" i="1" s="1"/>
  <c r="AE240" i="1"/>
  <c r="AF240" i="1" s="1"/>
  <c r="AE269" i="1"/>
  <c r="AF269" i="1" s="1"/>
  <c r="AE331" i="1"/>
  <c r="AF331" i="1" s="1"/>
  <c r="AD466" i="1"/>
  <c r="AE466" i="1" s="1"/>
  <c r="AF466" i="1" s="1"/>
  <c r="AC110" i="1"/>
  <c r="AE110" i="1" s="1"/>
  <c r="AF110" i="1" s="1"/>
  <c r="AD110" i="1"/>
  <c r="AD155" i="1"/>
  <c r="AC155" i="1"/>
  <c r="AE155" i="1" s="1"/>
  <c r="AF155" i="1" s="1"/>
  <c r="AD175" i="1"/>
  <c r="AC175" i="1"/>
  <c r="AD329" i="1"/>
  <c r="AC329" i="1"/>
  <c r="AE329" i="1" s="1"/>
  <c r="AF329" i="1" s="1"/>
  <c r="AE131" i="1"/>
  <c r="AF131" i="1" s="1"/>
  <c r="AE101" i="1"/>
  <c r="AF101" i="1" s="1"/>
  <c r="AE375" i="1"/>
  <c r="AF375" i="1" s="1"/>
  <c r="AE335" i="1"/>
  <c r="AF335" i="1" s="1"/>
  <c r="AE368" i="1"/>
  <c r="AF368" i="1" s="1"/>
  <c r="U8" i="8"/>
  <c r="AE78" i="1"/>
  <c r="AF78" i="1" s="1"/>
  <c r="AE89" i="1"/>
  <c r="AF89" i="1" s="1"/>
  <c r="AE339" i="1"/>
  <c r="AF339" i="1" s="1"/>
  <c r="AE341" i="1"/>
  <c r="AF341" i="1" s="1"/>
  <c r="AE307" i="1"/>
  <c r="AF307" i="1" s="1"/>
  <c r="AE171" i="1"/>
  <c r="AF171" i="1" s="1"/>
  <c r="AE337" i="1"/>
  <c r="AF337" i="1" s="1"/>
  <c r="AE205" i="1"/>
  <c r="AF205" i="1" s="1"/>
  <c r="AC67" i="1"/>
  <c r="AD67" i="1"/>
  <c r="AC338" i="1"/>
  <c r="AE338" i="1" s="1"/>
  <c r="AF338" i="1" s="1"/>
  <c r="AD338" i="1"/>
  <c r="AD313" i="1"/>
  <c r="AC313" i="1"/>
  <c r="AE313" i="1" s="1"/>
  <c r="AF313" i="1" s="1"/>
  <c r="AE80" i="1"/>
  <c r="AF80" i="1" s="1"/>
  <c r="AE22" i="3"/>
  <c r="V40" i="3"/>
  <c r="W40" i="3"/>
  <c r="AD330" i="1"/>
  <c r="AC330" i="1"/>
  <c r="AC309" i="1"/>
  <c r="AD309" i="1"/>
  <c r="AE309" i="1" s="1"/>
  <c r="AF309" i="1" s="1"/>
  <c r="AC346" i="1"/>
  <c r="AD346" i="1"/>
  <c r="AD456" i="1"/>
  <c r="AC456" i="1"/>
  <c r="AC284" i="1"/>
  <c r="AD284" i="1"/>
  <c r="AC354" i="1"/>
  <c r="AD354" i="1"/>
  <c r="AD6" i="1"/>
  <c r="AE46" i="1"/>
  <c r="AF46" i="1" s="1"/>
  <c r="AE70" i="1"/>
  <c r="AF70" i="1" s="1"/>
  <c r="AE151" i="1"/>
  <c r="AF151" i="1" s="1"/>
  <c r="AE146" i="1"/>
  <c r="AF146" i="1" s="1"/>
  <c r="AE283" i="1"/>
  <c r="AF283" i="1" s="1"/>
  <c r="AE217" i="1"/>
  <c r="AF217" i="1" s="1"/>
  <c r="AE233" i="1"/>
  <c r="AF233" i="1" s="1"/>
  <c r="AD256" i="1"/>
  <c r="AE256" i="1" s="1"/>
  <c r="AF256" i="1" s="1"/>
  <c r="AE272" i="1"/>
  <c r="AF272" i="1" s="1"/>
  <c r="AE195" i="1"/>
  <c r="AF195" i="1" s="1"/>
  <c r="AE252" i="1"/>
  <c r="AF252" i="1" s="1"/>
  <c r="AE387" i="1"/>
  <c r="AF387" i="1" s="1"/>
  <c r="AE327" i="1"/>
  <c r="AF327" i="1" s="1"/>
  <c r="AE363" i="1"/>
  <c r="AF363" i="1" s="1"/>
  <c r="AE412" i="1"/>
  <c r="AF412" i="1" s="1"/>
  <c r="AE438" i="1"/>
  <c r="AF438" i="1" s="1"/>
  <c r="AE393" i="1"/>
  <c r="AF393" i="1" s="1"/>
  <c r="R4" i="8"/>
  <c r="AE24" i="3"/>
  <c r="AE38" i="3"/>
  <c r="AC61" i="1"/>
  <c r="AD61" i="1"/>
  <c r="V36" i="3"/>
  <c r="W36" i="3"/>
  <c r="AD314" i="1"/>
  <c r="AC314" i="1"/>
  <c r="AD229" i="1"/>
  <c r="AC229" i="1"/>
  <c r="AE229" i="1" s="1"/>
  <c r="AF229" i="1" s="1"/>
  <c r="AD249" i="1"/>
  <c r="AC249" i="1"/>
  <c r="AC418" i="1"/>
  <c r="AD418" i="1"/>
  <c r="AC441" i="1"/>
  <c r="AE441" i="1" s="1"/>
  <c r="AF441" i="1" s="1"/>
  <c r="AD441" i="1"/>
  <c r="AE346" i="1"/>
  <c r="AF346" i="1" s="1"/>
  <c r="AE381" i="1"/>
  <c r="AF381" i="1" s="1"/>
  <c r="AC143" i="1"/>
  <c r="AD143" i="1"/>
  <c r="AC322" i="1"/>
  <c r="AD322" i="1"/>
  <c r="AD390" i="1"/>
  <c r="AC390" i="1"/>
  <c r="AC409" i="1"/>
  <c r="AD409" i="1"/>
  <c r="AD432" i="1"/>
  <c r="AC432" i="1"/>
  <c r="AE284" i="1"/>
  <c r="AF284" i="1" s="1"/>
  <c r="AD265" i="1"/>
  <c r="AC265" i="1"/>
  <c r="AE265" i="1" s="1"/>
  <c r="AF265" i="1" s="1"/>
  <c r="U9" i="4"/>
  <c r="AE116" i="1"/>
  <c r="AF116" i="1" s="1"/>
  <c r="AC35" i="1"/>
  <c r="AE35" i="1" s="1"/>
  <c r="AF35" i="1" s="1"/>
  <c r="AD35" i="1"/>
  <c r="AD274" i="1"/>
  <c r="AC274" i="1"/>
  <c r="AC324" i="1"/>
  <c r="AD324" i="1"/>
  <c r="AE143" i="1"/>
  <c r="AF143" i="1" s="1"/>
  <c r="AD38" i="1"/>
  <c r="AE38" i="1" s="1"/>
  <c r="AF38" i="1" s="1"/>
  <c r="AC74" i="1"/>
  <c r="AE74" i="1" s="1"/>
  <c r="AF74" i="1" s="1"/>
  <c r="AE303" i="1"/>
  <c r="AF303" i="1" s="1"/>
  <c r="AE458" i="1"/>
  <c r="AF458" i="1" s="1"/>
  <c r="AE18" i="3"/>
  <c r="AC36" i="1"/>
  <c r="AD36" i="1"/>
  <c r="AE36" i="1" s="1"/>
  <c r="AF36" i="1" s="1"/>
  <c r="AC120" i="1"/>
  <c r="AD120" i="1"/>
  <c r="AC76" i="1"/>
  <c r="AD76" i="1"/>
  <c r="AE76" i="1" s="1"/>
  <c r="AF76" i="1" s="1"/>
  <c r="AD317" i="1"/>
  <c r="AC317" i="1"/>
  <c r="AE30" i="3"/>
  <c r="AD394" i="1"/>
  <c r="AC394" i="1"/>
  <c r="AC306" i="1"/>
  <c r="AD306" i="1"/>
  <c r="AC325" i="1"/>
  <c r="AE325" i="1" s="1"/>
  <c r="AF325" i="1" s="1"/>
  <c r="AD325" i="1"/>
  <c r="AC378" i="1"/>
  <c r="AE378" i="1" s="1"/>
  <c r="AF378" i="1" s="1"/>
  <c r="AD378" i="1"/>
  <c r="AC77" i="1"/>
  <c r="AD77" i="1"/>
  <c r="AD124" i="1"/>
  <c r="AC124" i="1"/>
  <c r="AE62" i="1"/>
  <c r="AF62" i="1" s="1"/>
  <c r="AE22" i="1"/>
  <c r="AF22" i="1" s="1"/>
  <c r="AE122" i="1"/>
  <c r="AF122" i="1" s="1"/>
  <c r="J6" i="4" s="1"/>
  <c r="K6" i="4" s="1"/>
  <c r="M6" i="4" s="1"/>
  <c r="AC132" i="1"/>
  <c r="AE132" i="1" s="1"/>
  <c r="AF132" i="1" s="1"/>
  <c r="AE291" i="1"/>
  <c r="AF291" i="1" s="1"/>
  <c r="AE264" i="1"/>
  <c r="AF264" i="1" s="1"/>
  <c r="AE188" i="1"/>
  <c r="AF188" i="1" s="1"/>
  <c r="AE211" i="1"/>
  <c r="AF211" i="1" s="1"/>
  <c r="AE319" i="1"/>
  <c r="AF319" i="1" s="1"/>
  <c r="AE355" i="1"/>
  <c r="AF355" i="1" s="1"/>
  <c r="AE389" i="1"/>
  <c r="AF389" i="1" s="1"/>
  <c r="AE423" i="1"/>
  <c r="AF423" i="1" s="1"/>
  <c r="AE445" i="1"/>
  <c r="AF445" i="1" s="1"/>
  <c r="AE439" i="1"/>
  <c r="AF439" i="1" s="1"/>
  <c r="AE12" i="3"/>
  <c r="AC68" i="1"/>
  <c r="AD68" i="1"/>
  <c r="AE20" i="1"/>
  <c r="AF20" i="1" s="1"/>
  <c r="AE52" i="1"/>
  <c r="AF52" i="1" s="1"/>
  <c r="AE60" i="1"/>
  <c r="AF60" i="1" s="1"/>
  <c r="AE127" i="1"/>
  <c r="AF127" i="1" s="1"/>
  <c r="AC167" i="1"/>
  <c r="AE167" i="1" s="1"/>
  <c r="AF167" i="1" s="1"/>
  <c r="AD167" i="1"/>
  <c r="AE28" i="1"/>
  <c r="AF28" i="1" s="1"/>
  <c r="AC161" i="1"/>
  <c r="AD161" i="1"/>
  <c r="AC227" i="1"/>
  <c r="AD227" i="1"/>
  <c r="AC282" i="1"/>
  <c r="AD282" i="1"/>
  <c r="AD245" i="1"/>
  <c r="AC245" i="1"/>
  <c r="AD253" i="1"/>
  <c r="AC253" i="1"/>
  <c r="AE253" i="1" s="1"/>
  <c r="AF253" i="1" s="1"/>
  <c r="AE316" i="1"/>
  <c r="AF316" i="1" s="1"/>
  <c r="AC370" i="1"/>
  <c r="AD370" i="1"/>
  <c r="AE370" i="1" s="1"/>
  <c r="AF370" i="1" s="1"/>
  <c r="AC150" i="1"/>
  <c r="AE150" i="1" s="1"/>
  <c r="AF150" i="1" s="1"/>
  <c r="AD150" i="1"/>
  <c r="AC251" i="1"/>
  <c r="AD251" i="1"/>
  <c r="AD267" i="1"/>
  <c r="AC267" i="1"/>
  <c r="AC308" i="1"/>
  <c r="AD308" i="1"/>
  <c r="AC362" i="1"/>
  <c r="AE362" i="1" s="1"/>
  <c r="AF362" i="1" s="1"/>
  <c r="AD362" i="1"/>
  <c r="AC413" i="1"/>
  <c r="AD413" i="1"/>
  <c r="AC300" i="1"/>
  <c r="AE300" i="1" s="1"/>
  <c r="AF300" i="1" s="1"/>
  <c r="AD300" i="1"/>
  <c r="AE306" i="1"/>
  <c r="AF306" i="1" s="1"/>
  <c r="AE340" i="1"/>
  <c r="AF340" i="1" s="1"/>
  <c r="Q5" i="8"/>
  <c r="R5" i="8" s="1"/>
  <c r="V32" i="3"/>
  <c r="W32" i="3"/>
  <c r="T5" i="8"/>
  <c r="AD14" i="2"/>
  <c r="AE14" i="2"/>
  <c r="AF19" i="2"/>
  <c r="AG19" i="2" s="1"/>
  <c r="M20" i="8"/>
  <c r="AD4" i="2"/>
  <c r="AE4" i="2"/>
  <c r="AD12" i="2"/>
  <c r="AF12" i="2" s="1"/>
  <c r="AG12" i="2" s="1"/>
  <c r="AE12" i="2"/>
  <c r="AD18" i="2"/>
  <c r="AE18" i="2"/>
  <c r="AD6" i="2"/>
  <c r="AE6" i="2"/>
  <c r="AD24" i="2"/>
  <c r="AE24" i="2"/>
  <c r="AF5" i="2"/>
  <c r="AG5" i="2" s="1"/>
  <c r="AF13" i="2"/>
  <c r="AG13" i="2" s="1"/>
  <c r="AE39" i="3"/>
  <c r="S6" i="4"/>
  <c r="T6" i="4" s="1"/>
  <c r="S7" i="4"/>
  <c r="T7" i="4" s="1"/>
  <c r="U7" i="4" s="1"/>
  <c r="H72" i="6" s="1"/>
  <c r="D72" i="6" s="1"/>
  <c r="AE31" i="3"/>
  <c r="AD25" i="3"/>
  <c r="AE25" i="3" s="1"/>
  <c r="AD26" i="3"/>
  <c r="AE26" i="3" s="1"/>
  <c r="V28" i="3"/>
  <c r="W28" i="3"/>
  <c r="AE6" i="3"/>
  <c r="O15" i="4"/>
  <c r="D24" i="6" s="1"/>
  <c r="F24" i="6" s="1"/>
  <c r="G24" i="6" s="1"/>
  <c r="AE37" i="3"/>
  <c r="AE20" i="3"/>
  <c r="X27" i="3"/>
  <c r="Y27" i="3" s="1"/>
  <c r="AE27" i="3" s="1"/>
  <c r="V29" i="3"/>
  <c r="W29" i="3"/>
  <c r="AC23" i="1"/>
  <c r="AD23" i="1"/>
  <c r="AC55" i="1"/>
  <c r="AD55" i="1"/>
  <c r="AC37" i="1"/>
  <c r="AD37" i="1"/>
  <c r="AC142" i="1"/>
  <c r="AD142" i="1"/>
  <c r="AC137" i="1"/>
  <c r="AE137" i="1" s="1"/>
  <c r="AF137" i="1" s="1"/>
  <c r="AD137" i="1"/>
  <c r="AC231" i="1"/>
  <c r="AD231" i="1"/>
  <c r="AD427" i="1"/>
  <c r="AC427" i="1"/>
  <c r="AC422" i="1"/>
  <c r="AD422" i="1"/>
  <c r="AE422" i="1" s="1"/>
  <c r="AF422" i="1" s="1"/>
  <c r="AC411" i="1"/>
  <c r="AE411" i="1" s="1"/>
  <c r="AF411" i="1" s="1"/>
  <c r="AD411" i="1"/>
  <c r="AC431" i="1"/>
  <c r="AD431" i="1"/>
  <c r="AC45" i="1"/>
  <c r="AD45" i="1"/>
  <c r="AE32" i="1"/>
  <c r="AF32" i="1" s="1"/>
  <c r="AC111" i="1"/>
  <c r="AD111" i="1"/>
  <c r="AC183" i="1"/>
  <c r="AD183" i="1"/>
  <c r="AC214" i="1"/>
  <c r="AD214" i="1"/>
  <c r="AC187" i="1"/>
  <c r="AD187" i="1"/>
  <c r="AD218" i="1"/>
  <c r="AC218" i="1"/>
  <c r="AE218" i="1" s="1"/>
  <c r="AF218" i="1" s="1"/>
  <c r="AD250" i="1"/>
  <c r="AC250" i="1"/>
  <c r="AE255" i="1"/>
  <c r="AF255" i="1" s="1"/>
  <c r="AC302" i="1"/>
  <c r="AD302" i="1"/>
  <c r="AC334" i="1"/>
  <c r="AD334" i="1"/>
  <c r="AC366" i="1"/>
  <c r="AD366" i="1"/>
  <c r="AC246" i="1"/>
  <c r="AD246" i="1"/>
  <c r="AE246" i="1" s="1"/>
  <c r="AF246" i="1" s="1"/>
  <c r="AC374" i="1"/>
  <c r="AD374" i="1"/>
  <c r="AC382" i="1"/>
  <c r="AD382" i="1"/>
  <c r="AE453" i="1"/>
  <c r="AF453" i="1" s="1"/>
  <c r="AC429" i="1"/>
  <c r="AD429" i="1"/>
  <c r="AC31" i="1"/>
  <c r="AD31" i="1"/>
  <c r="AC63" i="1"/>
  <c r="AD63" i="1"/>
  <c r="AC53" i="1"/>
  <c r="AD53" i="1"/>
  <c r="AC95" i="1"/>
  <c r="AE95" i="1" s="1"/>
  <c r="AF95" i="1" s="1"/>
  <c r="AD95" i="1"/>
  <c r="AE92" i="1"/>
  <c r="AF92" i="1" s="1"/>
  <c r="AC129" i="1"/>
  <c r="AD129" i="1"/>
  <c r="AE129" i="1" s="1"/>
  <c r="AF129" i="1" s="1"/>
  <c r="AC149" i="1"/>
  <c r="AD149" i="1"/>
  <c r="AC99" i="1"/>
  <c r="AD99" i="1"/>
  <c r="AC156" i="1"/>
  <c r="AD156" i="1"/>
  <c r="AE199" i="1"/>
  <c r="AF199" i="1" s="1"/>
  <c r="AC280" i="1"/>
  <c r="AE280" i="1" s="1"/>
  <c r="AF280" i="1" s="1"/>
  <c r="AD280" i="1"/>
  <c r="AC396" i="1"/>
  <c r="AD396" i="1"/>
  <c r="AD434" i="1"/>
  <c r="AC434" i="1"/>
  <c r="AE382" i="1"/>
  <c r="AF382" i="1" s="1"/>
  <c r="AE429" i="1"/>
  <c r="AF429" i="1" s="1"/>
  <c r="AE8" i="1"/>
  <c r="AF8" i="1" s="1"/>
  <c r="AE40" i="1"/>
  <c r="AF40" i="1" s="1"/>
  <c r="AE6" i="1"/>
  <c r="AF6" i="1" s="1"/>
  <c r="AC91" i="1"/>
  <c r="AD91" i="1"/>
  <c r="AC64" i="1"/>
  <c r="AD64" i="1"/>
  <c r="AC87" i="1"/>
  <c r="AD87" i="1"/>
  <c r="AC119" i="1"/>
  <c r="AD119" i="1"/>
  <c r="AE149" i="1"/>
  <c r="AF149" i="1" s="1"/>
  <c r="AC191" i="1"/>
  <c r="AD191" i="1"/>
  <c r="AC222" i="1"/>
  <c r="AD222" i="1"/>
  <c r="AD145" i="1"/>
  <c r="AE145" i="1" s="1"/>
  <c r="AF145" i="1" s="1"/>
  <c r="AC145" i="1"/>
  <c r="AC194" i="1"/>
  <c r="AD194" i="1"/>
  <c r="AD226" i="1"/>
  <c r="AC226" i="1"/>
  <c r="AC258" i="1"/>
  <c r="AD258" i="1"/>
  <c r="AC310" i="1"/>
  <c r="AD310" i="1"/>
  <c r="AC342" i="1"/>
  <c r="AD342" i="1"/>
  <c r="AE203" i="1"/>
  <c r="AF203" i="1" s="1"/>
  <c r="AE347" i="1"/>
  <c r="AF347" i="1" s="1"/>
  <c r="AC414" i="1"/>
  <c r="AD414" i="1"/>
  <c r="AC424" i="1"/>
  <c r="AD424" i="1"/>
  <c r="AE397" i="1"/>
  <c r="AF397" i="1" s="1"/>
  <c r="AC392" i="1"/>
  <c r="AE392" i="1" s="1"/>
  <c r="AF392" i="1" s="1"/>
  <c r="AD392" i="1"/>
  <c r="AC415" i="1"/>
  <c r="AD415" i="1"/>
  <c r="AE415" i="1" s="1"/>
  <c r="AF415" i="1" s="1"/>
  <c r="R10" i="8"/>
  <c r="E29" i="6" s="1"/>
  <c r="F29" i="6" s="1"/>
  <c r="G29" i="6" s="1"/>
  <c r="AC7" i="1"/>
  <c r="AD7" i="1"/>
  <c r="AC39" i="1"/>
  <c r="AE39" i="1" s="1"/>
  <c r="AF39" i="1" s="1"/>
  <c r="AD39" i="1"/>
  <c r="AC5" i="1"/>
  <c r="AD5" i="1"/>
  <c r="AE30" i="1"/>
  <c r="AF30" i="1" s="1"/>
  <c r="AD102" i="1"/>
  <c r="AC102" i="1"/>
  <c r="AE14" i="1"/>
  <c r="AF14" i="1" s="1"/>
  <c r="AE72" i="1"/>
  <c r="AF72" i="1" s="1"/>
  <c r="AC160" i="1"/>
  <c r="AD160" i="1"/>
  <c r="AC106" i="1"/>
  <c r="AD106" i="1"/>
  <c r="AE144" i="1"/>
  <c r="AF144" i="1" s="1"/>
  <c r="AD152" i="1"/>
  <c r="AC152" i="1"/>
  <c r="AE152" i="1" s="1"/>
  <c r="AF152" i="1" s="1"/>
  <c r="AC168" i="1"/>
  <c r="AE168" i="1" s="1"/>
  <c r="AF168" i="1" s="1"/>
  <c r="AD168" i="1"/>
  <c r="AE207" i="1"/>
  <c r="AF207" i="1" s="1"/>
  <c r="AE258" i="1"/>
  <c r="AF258" i="1" s="1"/>
  <c r="AC288" i="1"/>
  <c r="AE288" i="1" s="1"/>
  <c r="AF288" i="1" s="1"/>
  <c r="AD288" i="1"/>
  <c r="AC266" i="1"/>
  <c r="AD266" i="1"/>
  <c r="AC292" i="1"/>
  <c r="AE292" i="1" s="1"/>
  <c r="AF292" i="1" s="1"/>
  <c r="AD292" i="1"/>
  <c r="AC215" i="1"/>
  <c r="AD215" i="1"/>
  <c r="AC262" i="1"/>
  <c r="AD262" i="1"/>
  <c r="AC420" i="1"/>
  <c r="AD420" i="1"/>
  <c r="AC404" i="1"/>
  <c r="AE404" i="1" s="1"/>
  <c r="AF404" i="1" s="1"/>
  <c r="AD404" i="1"/>
  <c r="AD442" i="1"/>
  <c r="AC442" i="1"/>
  <c r="AE405" i="1"/>
  <c r="AF405" i="1" s="1"/>
  <c r="AC437" i="1"/>
  <c r="AD437" i="1"/>
  <c r="AE437" i="1" s="1"/>
  <c r="AF437" i="1" s="1"/>
  <c r="AC462" i="1"/>
  <c r="AE462" i="1" s="1"/>
  <c r="AF462" i="1" s="1"/>
  <c r="AD462" i="1"/>
  <c r="AC457" i="1"/>
  <c r="AD457" i="1"/>
  <c r="AE457" i="1" s="1"/>
  <c r="AF457" i="1" s="1"/>
  <c r="AC399" i="1"/>
  <c r="AE399" i="1" s="1"/>
  <c r="AF399" i="1" s="1"/>
  <c r="AD399" i="1"/>
  <c r="AC407" i="1"/>
  <c r="AD407" i="1"/>
  <c r="AE407" i="1" s="1"/>
  <c r="AF407" i="1" s="1"/>
  <c r="AC450" i="1"/>
  <c r="AE450" i="1" s="1"/>
  <c r="AF450" i="1" s="1"/>
  <c r="AD450" i="1"/>
  <c r="AC13" i="1"/>
  <c r="AD13" i="1"/>
  <c r="AE16" i="1"/>
  <c r="AF16" i="1" s="1"/>
  <c r="AE48" i="1"/>
  <c r="AF48" i="1" s="1"/>
  <c r="J4" i="4" s="1"/>
  <c r="K4" i="4" s="1"/>
  <c r="AC96" i="1"/>
  <c r="AD96" i="1"/>
  <c r="AC126" i="1"/>
  <c r="AD126" i="1"/>
  <c r="AC114" i="1"/>
  <c r="AD114" i="1"/>
  <c r="AE160" i="1"/>
  <c r="AF160" i="1" s="1"/>
  <c r="AC198" i="1"/>
  <c r="AD198" i="1"/>
  <c r="AC230" i="1"/>
  <c r="AD230" i="1"/>
  <c r="AC202" i="1"/>
  <c r="AE202" i="1" s="1"/>
  <c r="AF202" i="1" s="1"/>
  <c r="AD202" i="1"/>
  <c r="AD234" i="1"/>
  <c r="AC234" i="1"/>
  <c r="AE138" i="1"/>
  <c r="AF138" i="1" s="1"/>
  <c r="AE239" i="1"/>
  <c r="AF239" i="1" s="1"/>
  <c r="AC294" i="1"/>
  <c r="AD294" i="1"/>
  <c r="AC318" i="1"/>
  <c r="AE318" i="1" s="1"/>
  <c r="AF318" i="1" s="1"/>
  <c r="AD318" i="1"/>
  <c r="AC350" i="1"/>
  <c r="AD350" i="1"/>
  <c r="AC254" i="1"/>
  <c r="AE254" i="1" s="1"/>
  <c r="AF254" i="1" s="1"/>
  <c r="AD254" i="1"/>
  <c r="AC238" i="1"/>
  <c r="AD238" i="1"/>
  <c r="AE262" i="1"/>
  <c r="AF262" i="1" s="1"/>
  <c r="AC435" i="1"/>
  <c r="AD435" i="1"/>
  <c r="R14" i="4"/>
  <c r="R15" i="4" s="1"/>
  <c r="E25" i="6" s="1"/>
  <c r="F25" i="6" s="1"/>
  <c r="AC15" i="1"/>
  <c r="AD15" i="1"/>
  <c r="AC47" i="1"/>
  <c r="AD47" i="1"/>
  <c r="AC21" i="1"/>
  <c r="AD21" i="1"/>
  <c r="AC71" i="1"/>
  <c r="AD71" i="1"/>
  <c r="AC79" i="1"/>
  <c r="AD79" i="1"/>
  <c r="AE107" i="1"/>
  <c r="AF107" i="1" s="1"/>
  <c r="AC173" i="1"/>
  <c r="AD173" i="1"/>
  <c r="AC223" i="1"/>
  <c r="AD223" i="1"/>
  <c r="AC278" i="1"/>
  <c r="AD278" i="1"/>
  <c r="M5" i="4"/>
  <c r="AC419" i="1"/>
  <c r="AD419" i="1"/>
  <c r="AC449" i="1"/>
  <c r="AD449" i="1"/>
  <c r="AC443" i="1"/>
  <c r="AD443" i="1"/>
  <c r="AC469" i="1"/>
  <c r="AD469" i="1"/>
  <c r="AC467" i="1"/>
  <c r="AD467" i="1"/>
  <c r="AC29" i="1"/>
  <c r="AD29" i="1"/>
  <c r="AE24" i="1"/>
  <c r="AF24" i="1" s="1"/>
  <c r="AE56" i="1"/>
  <c r="AF56" i="1" s="1"/>
  <c r="AC103" i="1"/>
  <c r="AD103" i="1"/>
  <c r="AC134" i="1"/>
  <c r="AD134" i="1"/>
  <c r="AC206" i="1"/>
  <c r="AD206" i="1"/>
  <c r="AC179" i="1"/>
  <c r="AE179" i="1" s="1"/>
  <c r="AF179" i="1" s="1"/>
  <c r="AD179" i="1"/>
  <c r="AC210" i="1"/>
  <c r="AD210" i="1"/>
  <c r="AC242" i="1"/>
  <c r="AE242" i="1" s="1"/>
  <c r="AF242" i="1" s="1"/>
  <c r="AD242" i="1"/>
  <c r="AE184" i="1"/>
  <c r="AF184" i="1" s="1"/>
  <c r="AC298" i="1"/>
  <c r="AD298" i="1"/>
  <c r="AC326" i="1"/>
  <c r="AE326" i="1" s="1"/>
  <c r="AF326" i="1" s="1"/>
  <c r="AD326" i="1"/>
  <c r="AC358" i="1"/>
  <c r="AD358" i="1"/>
  <c r="AE180" i="1"/>
  <c r="AF180" i="1" s="1"/>
  <c r="AC270" i="1"/>
  <c r="AD270" i="1"/>
  <c r="AE231" i="1"/>
  <c r="AF231" i="1" s="1"/>
  <c r="AE371" i="1"/>
  <c r="AF371" i="1" s="1"/>
  <c r="AE410" i="1"/>
  <c r="AF410" i="1" s="1"/>
  <c r="J7" i="8" s="1"/>
  <c r="K7" i="8" s="1"/>
  <c r="U7" i="8" l="1"/>
  <c r="H82" i="6" s="1"/>
  <c r="U5" i="8"/>
  <c r="H80" i="6" s="1"/>
  <c r="G80" i="6" s="1"/>
  <c r="F81" i="6"/>
  <c r="C81" i="6"/>
  <c r="E81" i="6" s="1"/>
  <c r="AF11" i="2"/>
  <c r="AG11" i="2" s="1"/>
  <c r="AF23" i="2"/>
  <c r="AG23" i="2" s="1"/>
  <c r="B72" i="6"/>
  <c r="X32" i="3"/>
  <c r="Y32" i="3" s="1"/>
  <c r="AE77" i="1"/>
  <c r="AF77" i="1" s="1"/>
  <c r="AE249" i="1"/>
  <c r="AF249" i="1" s="1"/>
  <c r="AE314" i="1"/>
  <c r="AF314" i="1" s="1"/>
  <c r="AE161" i="1"/>
  <c r="AF161" i="1" s="1"/>
  <c r="AE354" i="1"/>
  <c r="AF354" i="1" s="1"/>
  <c r="AE47" i="1"/>
  <c r="AF47" i="1" s="1"/>
  <c r="AE103" i="1"/>
  <c r="AF103" i="1" s="1"/>
  <c r="AE29" i="1"/>
  <c r="AF29" i="1" s="1"/>
  <c r="AE469" i="1"/>
  <c r="AF469" i="1" s="1"/>
  <c r="AE278" i="1"/>
  <c r="AF278" i="1" s="1"/>
  <c r="AE79" i="1"/>
  <c r="AF79" i="1" s="1"/>
  <c r="AE114" i="1"/>
  <c r="AF114" i="1" s="1"/>
  <c r="AE96" i="1"/>
  <c r="AF96" i="1" s="1"/>
  <c r="AE434" i="1"/>
  <c r="AF434" i="1" s="1"/>
  <c r="AE250" i="1"/>
  <c r="AF250" i="1" s="1"/>
  <c r="AE142" i="1"/>
  <c r="AF142" i="1" s="1"/>
  <c r="AE413" i="1"/>
  <c r="AF413" i="1" s="1"/>
  <c r="AE308" i="1"/>
  <c r="AF308" i="1" s="1"/>
  <c r="AE245" i="1"/>
  <c r="AF245" i="1" s="1"/>
  <c r="AE68" i="1"/>
  <c r="AF68" i="1" s="1"/>
  <c r="AE324" i="1"/>
  <c r="AF324" i="1" s="1"/>
  <c r="AE61" i="1"/>
  <c r="AF61" i="1" s="1"/>
  <c r="AE330" i="1"/>
  <c r="AF330" i="1" s="1"/>
  <c r="AE67" i="1"/>
  <c r="AF67" i="1" s="1"/>
  <c r="AE223" i="1"/>
  <c r="AF223" i="1" s="1"/>
  <c r="AE71" i="1"/>
  <c r="AF71" i="1" s="1"/>
  <c r="F73" i="6"/>
  <c r="AE267" i="1"/>
  <c r="AF267" i="1" s="1"/>
  <c r="AE409" i="1"/>
  <c r="AF409" i="1" s="1"/>
  <c r="AE322" i="1"/>
  <c r="AF322" i="1" s="1"/>
  <c r="AE418" i="1"/>
  <c r="AF418" i="1" s="1"/>
  <c r="AE175" i="1"/>
  <c r="AF175" i="1" s="1"/>
  <c r="S3" i="4"/>
  <c r="T3" i="4" s="1"/>
  <c r="U3" i="4" s="1"/>
  <c r="H68" i="6" s="1"/>
  <c r="S4" i="8"/>
  <c r="T4" i="8" s="1"/>
  <c r="U4" i="8" s="1"/>
  <c r="U10" i="8" s="1"/>
  <c r="E40" i="6" s="1"/>
  <c r="F40" i="6" s="1"/>
  <c r="G40" i="6" s="1"/>
  <c r="S5" i="4"/>
  <c r="T5" i="4" s="1"/>
  <c r="U5" i="4" s="1"/>
  <c r="H70" i="6" s="1"/>
  <c r="D70" i="6" s="1"/>
  <c r="AE32" i="3"/>
  <c r="AE310" i="1"/>
  <c r="AF310" i="1" s="1"/>
  <c r="AE191" i="1"/>
  <c r="AF191" i="1" s="1"/>
  <c r="AE156" i="1"/>
  <c r="AF156" i="1" s="1"/>
  <c r="G73" i="6"/>
  <c r="G72" i="6"/>
  <c r="AE214" i="1"/>
  <c r="AF214" i="1" s="1"/>
  <c r="AE111" i="1"/>
  <c r="AF111" i="1" s="1"/>
  <c r="AE227" i="1"/>
  <c r="AF227" i="1" s="1"/>
  <c r="AE124" i="1"/>
  <c r="AF124" i="1" s="1"/>
  <c r="AE394" i="1"/>
  <c r="AF394" i="1" s="1"/>
  <c r="AE120" i="1"/>
  <c r="AF120" i="1" s="1"/>
  <c r="AE274" i="1"/>
  <c r="AF274" i="1" s="1"/>
  <c r="AE456" i="1"/>
  <c r="AF456" i="1" s="1"/>
  <c r="C80" i="6"/>
  <c r="E80" i="6" s="1"/>
  <c r="B80" i="6"/>
  <c r="D80" i="6"/>
  <c r="F80" i="6"/>
  <c r="AE443" i="1"/>
  <c r="AF443" i="1" s="1"/>
  <c r="AE215" i="1"/>
  <c r="AF215" i="1" s="1"/>
  <c r="AE266" i="1"/>
  <c r="AF266" i="1" s="1"/>
  <c r="AE106" i="1"/>
  <c r="AF106" i="1" s="1"/>
  <c r="AE414" i="1"/>
  <c r="AF414" i="1" s="1"/>
  <c r="AE396" i="1"/>
  <c r="AF396" i="1" s="1"/>
  <c r="AE99" i="1"/>
  <c r="AF99" i="1" s="1"/>
  <c r="C72" i="6"/>
  <c r="E72" i="6" s="1"/>
  <c r="AE374" i="1"/>
  <c r="AF374" i="1" s="1"/>
  <c r="AE302" i="1"/>
  <c r="AF302" i="1" s="1"/>
  <c r="AE187" i="1"/>
  <c r="AF187" i="1" s="1"/>
  <c r="X29" i="3"/>
  <c r="Y29" i="3" s="1"/>
  <c r="AE29" i="3" s="1"/>
  <c r="U6" i="4"/>
  <c r="H71" i="6" s="1"/>
  <c r="F71" i="6" s="1"/>
  <c r="AE251" i="1"/>
  <c r="AF251" i="1" s="1"/>
  <c r="AE282" i="1"/>
  <c r="AF282" i="1" s="1"/>
  <c r="AE317" i="1"/>
  <c r="AF317" i="1" s="1"/>
  <c r="AE432" i="1"/>
  <c r="AF432" i="1" s="1"/>
  <c r="AE390" i="1"/>
  <c r="AF390" i="1" s="1"/>
  <c r="X40" i="3"/>
  <c r="Y40" i="3" s="1"/>
  <c r="AE40" i="3" s="1"/>
  <c r="AE134" i="1"/>
  <c r="AF134" i="1" s="1"/>
  <c r="AE467" i="1"/>
  <c r="AF467" i="1" s="1"/>
  <c r="AE419" i="1"/>
  <c r="AF419" i="1" s="1"/>
  <c r="AE21" i="1"/>
  <c r="AF21" i="1" s="1"/>
  <c r="AE238" i="1"/>
  <c r="AF238" i="1" s="1"/>
  <c r="AE126" i="1"/>
  <c r="AF126" i="1" s="1"/>
  <c r="AE270" i="1"/>
  <c r="AF270" i="1" s="1"/>
  <c r="AE210" i="1"/>
  <c r="AF210" i="1" s="1"/>
  <c r="AE206" i="1"/>
  <c r="AF206" i="1" s="1"/>
  <c r="AE173" i="1"/>
  <c r="AF173" i="1" s="1"/>
  <c r="AE230" i="1"/>
  <c r="AF230" i="1" s="1"/>
  <c r="AE119" i="1"/>
  <c r="AF119" i="1" s="1"/>
  <c r="AE64" i="1"/>
  <c r="AF64" i="1" s="1"/>
  <c r="AE53" i="1"/>
  <c r="AF53" i="1" s="1"/>
  <c r="AE31" i="1"/>
  <c r="AF31" i="1" s="1"/>
  <c r="F72" i="6"/>
  <c r="AE45" i="1"/>
  <c r="AF45" i="1" s="1"/>
  <c r="AE37" i="1"/>
  <c r="AF37" i="1" s="1"/>
  <c r="X36" i="3"/>
  <c r="Y36" i="3" s="1"/>
  <c r="AE36" i="3" s="1"/>
  <c r="AF24" i="2"/>
  <c r="AG24" i="2" s="1"/>
  <c r="AF4" i="2"/>
  <c r="AG4" i="2" s="1"/>
  <c r="B78" i="6"/>
  <c r="C78" i="6"/>
  <c r="E78" i="6" s="1"/>
  <c r="G78" i="6"/>
  <c r="D78" i="6"/>
  <c r="F78" i="6"/>
  <c r="AF6" i="2"/>
  <c r="AG6" i="2" s="1"/>
  <c r="AF18" i="2"/>
  <c r="AG18" i="2" s="1"/>
  <c r="L19" i="4" s="1"/>
  <c r="M19" i="4" s="1"/>
  <c r="AF14" i="2"/>
  <c r="AG14" i="2" s="1"/>
  <c r="X28" i="3"/>
  <c r="Y28" i="3" s="1"/>
  <c r="AE28" i="3" s="1"/>
  <c r="G25" i="6"/>
  <c r="D33" i="6"/>
  <c r="F33" i="6" s="1"/>
  <c r="G33" i="6" s="1"/>
  <c r="D82" i="6"/>
  <c r="G82" i="6"/>
  <c r="B82" i="6"/>
  <c r="F82" i="6"/>
  <c r="C82" i="6"/>
  <c r="AE13" i="1"/>
  <c r="AF13" i="1" s="1"/>
  <c r="AE420" i="1"/>
  <c r="AF420" i="1" s="1"/>
  <c r="AE366" i="1"/>
  <c r="AF366" i="1" s="1"/>
  <c r="AE298" i="1"/>
  <c r="AF298" i="1" s="1"/>
  <c r="AE294" i="1"/>
  <c r="AF294" i="1" s="1"/>
  <c r="AE102" i="1"/>
  <c r="AF102" i="1" s="1"/>
  <c r="AE7" i="1"/>
  <c r="AF7" i="1" s="1"/>
  <c r="AE342" i="1"/>
  <c r="AF342" i="1" s="1"/>
  <c r="AE194" i="1"/>
  <c r="AF194" i="1" s="1"/>
  <c r="AE91" i="1"/>
  <c r="AF91" i="1" s="1"/>
  <c r="AE63" i="1"/>
  <c r="AF63" i="1" s="1"/>
  <c r="AE183" i="1"/>
  <c r="AF183" i="1" s="1"/>
  <c r="AE431" i="1"/>
  <c r="AF431" i="1" s="1"/>
  <c r="G68" i="6"/>
  <c r="F68" i="6"/>
  <c r="D68" i="6"/>
  <c r="C68" i="6"/>
  <c r="B68" i="6"/>
  <c r="AE424" i="1"/>
  <c r="AF424" i="1" s="1"/>
  <c r="AE334" i="1"/>
  <c r="AF334" i="1" s="1"/>
  <c r="AE55" i="1"/>
  <c r="AF55" i="1" s="1"/>
  <c r="AE442" i="1"/>
  <c r="AF442" i="1" s="1"/>
  <c r="AE449" i="1"/>
  <c r="AF449" i="1" s="1"/>
  <c r="AE15" i="1"/>
  <c r="AF15" i="1" s="1"/>
  <c r="AE435" i="1"/>
  <c r="AF435" i="1" s="1"/>
  <c r="AE23" i="1"/>
  <c r="AF23" i="1" s="1"/>
  <c r="AE358" i="1"/>
  <c r="AF358" i="1" s="1"/>
  <c r="AE350" i="1"/>
  <c r="AF350" i="1" s="1"/>
  <c r="AE234" i="1"/>
  <c r="AF234" i="1" s="1"/>
  <c r="AE198" i="1"/>
  <c r="AF198" i="1" s="1"/>
  <c r="M4" i="4"/>
  <c r="U4" i="4"/>
  <c r="AE5" i="1"/>
  <c r="AF5" i="1" s="1"/>
  <c r="AE222" i="1"/>
  <c r="AF222" i="1" s="1"/>
  <c r="AE87" i="1"/>
  <c r="AF87" i="1" s="1"/>
  <c r="G71" i="6"/>
  <c r="AE226" i="1"/>
  <c r="AF226" i="1" s="1"/>
  <c r="AE427" i="1"/>
  <c r="AF427" i="1" s="1"/>
  <c r="G35" i="6" l="1"/>
  <c r="F70" i="6"/>
  <c r="H79" i="6"/>
  <c r="G70" i="6"/>
  <c r="C70" i="6"/>
  <c r="E70" i="6" s="1"/>
  <c r="B70" i="6"/>
  <c r="C71" i="6"/>
  <c r="F35" i="6"/>
  <c r="F63" i="6" s="1"/>
  <c r="D71" i="6"/>
  <c r="B71" i="6"/>
  <c r="E68" i="6"/>
  <c r="E82" i="6"/>
  <c r="M24" i="4"/>
  <c r="H73" i="6"/>
  <c r="H83" i="6"/>
  <c r="B79" i="6"/>
  <c r="F79" i="6"/>
  <c r="F83" i="6" s="1"/>
  <c r="G79" i="6"/>
  <c r="G83" i="6" s="1"/>
  <c r="D79" i="6"/>
  <c r="D83" i="6" s="1"/>
  <c r="C79" i="6"/>
  <c r="C83" i="6" s="1"/>
  <c r="H69" i="6"/>
  <c r="U15" i="4"/>
  <c r="D41" i="6" l="1"/>
  <c r="F41" i="6" s="1"/>
  <c r="G41" i="6" s="1"/>
  <c r="D61" i="6"/>
  <c r="F59" i="6"/>
  <c r="G60" i="6"/>
  <c r="F60" i="6"/>
  <c r="C60" i="6"/>
  <c r="E61" i="6"/>
  <c r="D59" i="6"/>
  <c r="E63" i="6"/>
  <c r="G63" i="6"/>
  <c r="E39" i="6"/>
  <c r="F39" i="6" s="1"/>
  <c r="G39" i="6" s="1"/>
  <c r="F61" i="6"/>
  <c r="G59" i="6"/>
  <c r="C63" i="6"/>
  <c r="C62" i="6"/>
  <c r="E59" i="6"/>
  <c r="E71" i="6"/>
  <c r="C61" i="6"/>
  <c r="D60" i="6"/>
  <c r="F62" i="6"/>
  <c r="D62" i="6"/>
  <c r="C59" i="6"/>
  <c r="D42" i="6"/>
  <c r="F42" i="6" s="1"/>
  <c r="G42" i="6" s="1"/>
  <c r="D63" i="6"/>
  <c r="G62" i="6"/>
  <c r="G61" i="6"/>
  <c r="E62" i="6"/>
  <c r="E60" i="6"/>
  <c r="E79" i="6"/>
  <c r="E83" i="6" s="1"/>
  <c r="C73" i="6"/>
  <c r="B73" i="6"/>
  <c r="D73" i="6"/>
  <c r="E73" i="6"/>
  <c r="G69" i="6"/>
  <c r="G74" i="6" s="1"/>
  <c r="F69" i="6"/>
  <c r="F74" i="6" s="1"/>
  <c r="D69" i="6"/>
  <c r="B69" i="6"/>
  <c r="C69" i="6"/>
  <c r="C74" i="6" s="1"/>
  <c r="H74" i="6"/>
  <c r="F45" i="6" l="1"/>
  <c r="F47" i="6" s="1"/>
  <c r="G45" i="6"/>
  <c r="G47" i="6" s="1"/>
  <c r="D74" i="6"/>
  <c r="E69" i="6"/>
  <c r="E74" i="6" s="1"/>
</calcChain>
</file>

<file path=xl/sharedStrings.xml><?xml version="1.0" encoding="utf-8"?>
<sst xmlns="http://schemas.openxmlformats.org/spreadsheetml/2006/main" count="2081" uniqueCount="570">
  <si>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</si>
  <si>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</si>
  <si>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</si>
  <si>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</si>
  <si>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</si>
  <si>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</si>
  <si>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</si>
  <si>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</si>
  <si>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</si>
  <si>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</si>
  <si>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</si>
  <si>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</si>
  <si>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</si>
  <si>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</si>
  <si>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</si>
  <si>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</si>
  <si>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</si>
  <si>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</si>
  <si>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</si>
  <si>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</si>
  <si>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</si>
  <si>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</si>
  <si>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</si>
  <si>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</si>
  <si>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</si>
  <si>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</si>
  <si>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</si>
  <si>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</si>
  <si>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</si>
  <si>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</si>
  <si>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</si>
  <si>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</si>
  <si>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</si>
  <si>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</si>
  <si>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</si>
  <si>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</si>
  <si>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</si>
  <si>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</si>
  <si>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</si>
  <si>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</si>
  <si>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</si>
  <si>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</si>
  <si>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</si>
  <si>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</si>
  <si>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</si>
  <si>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</si>
  <si>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</si>
  <si>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</si>
  <si>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</si>
  <si>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</si>
  <si>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</si>
  <si>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</si>
  <si>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</si>
  <si>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</si>
  <si>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</si>
  <si>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</si>
  <si>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</si>
  <si>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</si>
  <si>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</si>
  <si>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</si>
  <si>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</si>
  <si>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</si>
  <si>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</si>
  <si>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</si>
  <si>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</si>
  <si>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</si>
  <si>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</si>
  <si>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</si>
  <si>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</si>
  <si>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</si>
  <si>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</si>
  <si>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</si>
  <si>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</si>
  <si>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</si>
  <si>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</si>
  <si>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</si>
  <si>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</si>
  <si>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</si>
  <si>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</si>
  <si>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</si>
  <si>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</si>
  <si>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</si>
  <si>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</si>
  <si>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</si>
  <si>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</si>
  <si>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</si>
  <si>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</si>
  <si>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</si>
  <si>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</si>
  <si>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</si>
  <si>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</si>
  <si>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</si>
  <si>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</si>
  <si>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</si>
  <si>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</si>
  <si>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</si>
  <si>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</si>
  <si>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</si>
  <si>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</si>
  <si>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</si>
  <si>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</si>
  <si>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</si>
  <si>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</si>
  <si>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</si>
  <si>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</si>
  <si>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</si>
  <si>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</si>
  <si>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</si>
  <si>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</si>
  <si>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</si>
  <si>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</si>
  <si>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</si>
  <si>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</si>
  <si>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</si>
  <si>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</si>
  <si>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</si>
  <si>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</si>
  <si>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</si>
  <si>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</si>
  <si>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</si>
  <si>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</si>
  <si>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</si>
  <si>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</si>
  <si>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</si>
  <si>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</si>
  <si>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</si>
  <si>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</si>
  <si>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</si>
  <si>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</si>
  <si>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</si>
  <si>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</si>
  <si>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</si>
  <si>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</si>
  <si>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</si>
  <si>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</si>
  <si>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</si>
  <si>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</si>
  <si>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</si>
  <si>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</si>
  <si>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</si>
  <si>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</si>
  <si>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</si>
  <si>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</si>
  <si>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</si>
  <si>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</si>
  <si>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</si>
  <si>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</si>
  <si>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</si>
  <si>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</si>
  <si>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</si>
  <si>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</si>
  <si>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</si>
  <si>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</si>
  <si>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</si>
  <si>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</si>
  <si>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</si>
  <si>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</si>
  <si>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</si>
  <si>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</si>
  <si>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</si>
  <si>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</si>
  <si>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</si>
  <si>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</si>
  <si>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</si>
  <si>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</si>
  <si>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</si>
  <si>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</si>
  <si>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</si>
  <si>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</si>
  <si>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</si>
  <si>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</si>
  <si>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</si>
  <si>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</si>
  <si>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</si>
  <si>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</si>
  <si>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</si>
  <si>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</si>
  <si>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</si>
  <si>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</si>
  <si>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</si>
  <si>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</si>
  <si>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</si>
  <si>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</si>
  <si>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</si>
  <si>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</si>
  <si>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</si>
  <si>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</si>
  <si>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</si>
  <si>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</si>
  <si>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</si>
  <si>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</si>
  <si>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</si>
  <si>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</si>
  <si>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</si>
  <si>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</si>
  <si>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</si>
  <si>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</si>
  <si>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</si>
  <si>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</si>
  <si>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</si>
  <si>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</si>
  <si>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</si>
  <si>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</si>
  <si>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</si>
  <si>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</si>
  <si>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</si>
  <si>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</si>
  <si>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</si>
  <si>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</si>
  <si>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</si>
  <si>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</si>
  <si>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</si>
  <si>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</si>
  <si>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</si>
  <si>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</si>
  <si>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</si>
  <si>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</si>
  <si>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</si>
  <si>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</si>
  <si>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</si>
  <si>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</si>
  <si>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</si>
  <si>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</si>
  <si>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</si>
  <si>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</si>
  <si>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</si>
  <si>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</si>
  <si>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</si>
  <si>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</si>
  <si>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</si>
  <si>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</si>
  <si>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</si>
  <si>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</si>
  <si>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</si>
  <si>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</si>
  <si>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</si>
  <si>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</si>
  <si>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</si>
  <si>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</si>
  <si>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</si>
  <si>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</si>
  <si>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</si>
  <si>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</si>
  <si>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</si>
  <si>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</si>
  <si>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</si>
  <si>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</si>
  <si>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</si>
  <si>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</si>
  <si>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</si>
  <si>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</si>
  <si>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</si>
  <si>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</si>
  <si>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</si>
  <si>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</si>
  <si>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</si>
  <si>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</si>
  <si>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</si>
  <si>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</si>
  <si>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</si>
  <si>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</si>
  <si>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</si>
  <si>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</si>
  <si>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</si>
  <si>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</si>
  <si>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</si>
  <si>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</si>
  <si>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</si>
  <si>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</si>
  <si>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</si>
  <si>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</si>
  <si>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</si>
  <si>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</si>
  <si>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</si>
  <si>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</si>
  <si>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</si>
  <si>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</si>
  <si>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</si>
  <si>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</si>
  <si>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</si>
  <si>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</si>
  <si>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</si>
  <si>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</si>
  <si>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</si>
  <si>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</si>
  <si>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</si>
  <si>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</si>
  <si>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</si>
  <si>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</si>
  <si>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</si>
  <si>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</si>
  <si>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</si>
  <si>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</si>
  <si>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</si>
  <si>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</si>
  <si>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</si>
  <si>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</si>
  <si>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</si>
  <si>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</si>
  <si>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</si>
  <si>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</si>
  <si>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</si>
  <si>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</si>
  <si>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</si>
  <si>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</si>
  <si>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</si>
  <si>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</si>
  <si>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</si>
  <si>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</si>
  <si>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</si>
  <si>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</si>
  <si>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</si>
  <si>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</si>
  <si>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</si>
  <si>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</si>
  <si>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</si>
  <si>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</si>
  <si>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</si>
  <si>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</si>
  <si>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</si>
  <si>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</si>
  <si>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</si>
  <si>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</si>
  <si>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</si>
  <si>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</si>
  <si>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</si>
  <si>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</si>
  <si>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</si>
  <si>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</si>
  <si>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</si>
  <si>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</si>
  <si>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</si>
  <si>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</si>
  <si>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</si>
  <si>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</si>
  <si>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</si>
  <si>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</si>
  <si>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</si>
  <si>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</si>
  <si>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</si>
  <si>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</si>
  <si>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</si>
  <si>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</si>
  <si>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</si>
  <si>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</si>
  <si>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</si>
  <si>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</si>
  <si>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</si>
  <si>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</si>
  <si>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</si>
  <si>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</si>
  <si>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</si>
  <si>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</si>
  <si>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</si>
  <si>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</si>
  <si>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</si>
  <si>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</si>
  <si>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</si>
  <si>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</si>
  <si>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</si>
  <si>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</si>
  <si>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</si>
  <si>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</si>
  <si>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</si>
  <si>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</si>
  <si>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</si>
  <si>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</si>
  <si>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</si>
  <si>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</si>
  <si>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</si>
  <si>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</si>
  <si>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</si>
  <si>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</si>
  <si>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</si>
  <si>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</si>
  <si>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</si>
  <si>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</si>
  <si>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</si>
  <si>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</si>
  <si>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</si>
  <si>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</si>
  <si>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</si>
  <si>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</si>
  <si>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</si>
  <si>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</si>
  <si>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</si>
  <si>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</si>
  <si>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</si>
  <si>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</si>
  <si>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</si>
  <si>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</si>
  <si>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</si>
  <si>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</si>
  <si>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</si>
  <si>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</si>
  <si>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</si>
  <si>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</si>
  <si>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</si>
  <si>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</si>
  <si>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</si>
  <si>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</si>
  <si>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</si>
  <si>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</si>
  <si>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</si>
  <si>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</si>
  <si>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</si>
  <si>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</si>
  <si>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</si>
  <si>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</si>
  <si>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</si>
  <si>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</si>
  <si>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</si>
  <si>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</si>
  <si>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</si>
  <si>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</si>
  <si>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</si>
  <si>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</si>
  <si>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</si>
  <si>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</si>
  <si>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</si>
  <si>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</si>
  <si>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</si>
  <si>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</si>
  <si>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</si>
  <si>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</si>
  <si>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</si>
  <si>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</si>
  <si>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</si>
  <si>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</si>
  <si>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</si>
  <si>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</si>
  <si>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</si>
  <si>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</si>
  <si>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</si>
  <si>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</si>
  <si>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</si>
  <si>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</si>
  <si>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</si>
  <si>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</si>
  <si>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</si>
  <si>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</si>
  <si>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</si>
  <si>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</si>
  <si>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</si>
  <si>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</si>
  <si>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</si>
  <si>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</si>
  <si>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</si>
  <si>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</si>
  <si>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</si>
  <si>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</si>
  <si>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</si>
  <si>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</si>
  <si>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</si>
  <si>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</si>
  <si>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</si>
  <si>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</si>
  <si>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</si>
  <si>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</si>
  <si>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</si>
  <si>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</si>
  <si>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</si>
  <si>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</si>
  <si>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</si>
  <si>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</si>
  <si>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</si>
  <si>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</si>
  <si>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</si>
  <si>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</si>
  <si>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</si>
  <si>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</si>
  <si>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</si>
  <si>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</si>
  <si>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0.28, Tractor (180-199 hp) MFWD 190</t>
  </si>
  <si>
    <t>Your Yield</t>
  </si>
  <si>
    <t>Your Farm</t>
  </si>
  <si>
    <t>Dual</t>
  </si>
  <si>
    <t>24' Flex</t>
  </si>
  <si>
    <t>36' Flex</t>
  </si>
  <si>
    <t>24' Rigid</t>
  </si>
  <si>
    <t xml:space="preserve">Weed Control </t>
  </si>
  <si>
    <t>Seeds</t>
  </si>
  <si>
    <t>Conventional Tillage, Non-Irrigated Cotton</t>
  </si>
  <si>
    <t>Nitrogen</t>
  </si>
  <si>
    <t>Acre</t>
  </si>
  <si>
    <t>Scouting</t>
  </si>
  <si>
    <t xml:space="preserve">  Nitrogen</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</si>
  <si>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</si>
  <si>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</si>
  <si>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</si>
  <si>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</si>
  <si>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</si>
  <si>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</si>
  <si>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</si>
  <si>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</si>
  <si>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</si>
  <si>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</si>
  <si>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</si>
  <si>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</si>
  <si>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</si>
  <si>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</si>
  <si>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</si>
  <si>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</si>
  <si>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</si>
  <si>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</si>
  <si>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</si>
  <si>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</si>
  <si>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</si>
  <si>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</si>
  <si>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</si>
  <si>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</si>
  <si>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</si>
  <si>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</si>
  <si>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</si>
  <si>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</si>
  <si>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</si>
  <si>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</si>
  <si>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</si>
  <si>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</si>
  <si>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</si>
  <si>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</si>
  <si>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</si>
  <si>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</si>
  <si>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</si>
  <si>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</si>
  <si>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</si>
  <si>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</si>
  <si>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</si>
  <si>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</si>
  <si>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</si>
  <si>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</si>
  <si>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</si>
  <si>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</si>
  <si>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</si>
  <si>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</si>
  <si>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</si>
  <si>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</si>
  <si>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</si>
  <si>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</si>
  <si>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</si>
  <si>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</si>
  <si>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</si>
  <si>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</si>
  <si>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Implement Item</t>
  </si>
  <si>
    <t>Roundup Flex Seed</t>
  </si>
  <si>
    <t>XtendFlex Seed</t>
  </si>
  <si>
    <t>Round Module Picker</t>
  </si>
  <si>
    <t>Basket Picker</t>
  </si>
  <si>
    <t>Pickers Type</t>
  </si>
  <si>
    <t>4R-36 (365)</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</si>
  <si>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</si>
  <si>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</si>
  <si>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</si>
  <si>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</si>
  <si>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</si>
  <si>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</si>
  <si>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</si>
  <si>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</si>
  <si>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</si>
  <si>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</si>
  <si>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</si>
  <si>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</si>
  <si>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</si>
  <si>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</si>
  <si>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</si>
  <si>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</si>
  <si>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</si>
  <si>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</si>
  <si>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South Georgia, 2021</t>
  </si>
  <si>
    <t>Total Defoliation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</si>
</sst>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5">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1"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1" fillId="35" borderId="0" xfId="43" applyFill="1"/>
    <xf numFmtId="0" fontId="27" fillId="35" borderId="0" xfId="43" applyFont="1" applyFill="1"/>
    <xf numFmtId="1" fontId="1" fillId="35" borderId="0" xfId="43" applyNumberFormat="1" applyFill="1"/>
    <xf numFmtId="165" fontId="1" fillId="35" borderId="0" xfId="43" applyNumberFormat="1" applyFill="1"/>
    <xf numFmtId="164" fontId="0" fillId="35" borderId="0" xfId="44" applyNumberFormat="1" applyFont="1"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2" fontId="27" fillId="35" borderId="0" xfId="43" applyNumberFormat="1" applyFont="1" applyFill="1"/>
    <xf numFmtId="44" fontId="0" fillId="35" borderId="0" xfId="44" applyFont="1" applyFill="1"/>
    <xf numFmtId="44" fontId="1" fillId="35" borderId="0" xfId="43" applyNumberFormat="1" applyFill="1"/>
    <xf numFmtId="164" fontId="1" fillId="35" borderId="0" xfId="43" applyNumberFormat="1" applyFill="1"/>
    <xf numFmtId="2" fontId="0" fillId="0" borderId="15" xfId="0" applyNumberFormat="1"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Alignment="1">
      <alignment horizontal="center"/>
    </xf>
    <xf numFmtId="2" fontId="0" fillId="0" borderId="10" xfId="0" applyNumberFormat="1" applyFon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40" borderId="24" xfId="0" applyFont="1" applyFill="1" applyBorder="1"/>
    <xf numFmtId="0" fontId="0" fillId="0" borderId="0" xfId="0" applyAlignment="1">
      <alignment wrapText="1"/>
    </xf>
    <xf numFmtId="44" fontId="0" fillId="0" borderId="14" xfId="1" applyFont="1" applyBorder="1"/>
    <xf numFmtId="2" fontId="0" fillId="40" borderId="0" xfId="0" applyNumberFormat="1" applyFill="1" applyBorder="1"/>
    <xf numFmtId="0" fontId="16" fillId="38" borderId="10" xfId="0" applyFont="1" applyFill="1" applyBorder="1" applyAlignment="1">
      <alignment horizontal="left"/>
    </xf>
    <xf numFmtId="44" fontId="0" fillId="35" borderId="10" xfId="0" applyNumberFormat="1" applyFill="1" applyBorder="1" applyAlignment="1">
      <alignment horizontal="center" vertical="center"/>
    </xf>
    <xf numFmtId="2" fontId="0" fillId="0" borderId="0" xfId="0" applyNumberFormat="1" applyFont="1" applyFill="1" applyBorder="1" applyAlignment="1">
      <alignment horizontal="center" vertical="center"/>
    </xf>
    <xf numFmtId="44" fontId="16" fillId="0" borderId="14" xfId="0" applyNumberFormat="1" applyFont="1" applyFill="1" applyBorder="1" applyAlignment="1">
      <alignment horizontal="left"/>
    </xf>
    <xf numFmtId="0" fontId="0" fillId="0" borderId="18" xfId="0" applyBorder="1"/>
    <xf numFmtId="0" fontId="16" fillId="0" borderId="0" xfId="0" applyFont="1" applyFill="1" applyBorder="1"/>
    <xf numFmtId="0" fontId="16" fillId="0" borderId="0" xfId="0" applyFont="1" applyFill="1" applyBorder="1" applyAlignment="1">
      <alignment horizontal="righ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169" fontId="16" fillId="0" borderId="14" xfId="0" applyNumberFormat="1" applyFont="1" applyBorder="1" applyAlignment="1">
      <alignment horizontal="center"/>
    </xf>
    <xf numFmtId="169" fontId="16" fillId="0" borderId="0" xfId="0" applyNumberFormat="1" applyFont="1" applyBorder="1" applyAlignment="1"/>
    <xf numFmtId="169" fontId="0" fillId="0" borderId="0" xfId="0" applyNumberFormat="1" applyFont="1" applyBorder="1" applyAlignment="1"/>
    <xf numFmtId="44" fontId="35" fillId="45" borderId="0" xfId="0" applyNumberFormat="1" applyFont="1" applyFill="1"/>
    <xf numFmtId="1" fontId="1" fillId="46" borderId="0" xfId="43" applyNumberFormat="1" applyFill="1"/>
    <xf numFmtId="0" fontId="0" fillId="46" borderId="0" xfId="0" applyFill="1"/>
    <xf numFmtId="1" fontId="0" fillId="46" borderId="0" xfId="0" applyNumberFormat="1" applyFill="1"/>
    <xf numFmtId="1" fontId="18" fillId="35" borderId="10" xfId="43" applyNumberFormat="1" applyFont="1" applyFill="1" applyBorder="1"/>
    <xf numFmtId="1" fontId="35" fillId="35" borderId="0" xfId="0" applyNumberFormat="1" applyFont="1" applyFill="1"/>
    <xf numFmtId="0" fontId="1" fillId="46" borderId="0" xfId="43" applyFill="1"/>
    <xf numFmtId="1" fontId="35" fillId="46" borderId="0" xfId="0" applyNumberFormat="1" applyFont="1" applyFill="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cellStyle name="Normal_mach drop down list" xfId="45"/>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id="1" name="Table1" displayName="Table1" ref="K1:K3" totalsRowShown="0" headerRowDxfId="2" dataDxfId="1">
  <autoFilter ref="K1:K3"/>
  <tableColumns count="1">
    <tableColumn id="1"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abSelected="1" zoomScaleNormal="100" workbookViewId="0">
      <selection activeCell="E9" sqref="E9"/>
    </sheetView>
  </sheetViews>
  <sheetFormatPr defaultColWidth="8.85546875" defaultRowHeight="15" x14ac:dyDescent="0.25"/>
  <cols>
    <col min="1" max="1" width="16.85546875" bestFit="1" customWidth="1"/>
    <col min="2" max="2" width="40.7109375" customWidth="1"/>
    <col min="3" max="3" width="11.85546875" customWidth="1"/>
    <col min="4" max="7" width="8.85546875" customWidth="1"/>
    <col min="8" max="8" width="10" style="108" bestFit="1" customWidth="1"/>
  </cols>
  <sheetData>
    <row r="1" spans="1:9" x14ac:dyDescent="0.25">
      <c r="B1" s="291" t="s">
        <v>482</v>
      </c>
      <c r="C1" s="291"/>
      <c r="D1" s="291"/>
      <c r="E1" s="291"/>
      <c r="F1" s="291"/>
      <c r="G1" s="291"/>
      <c r="H1" s="291"/>
      <c r="I1" s="55"/>
    </row>
    <row r="2" spans="1:9" x14ac:dyDescent="0.25">
      <c r="B2" s="291" t="s">
        <v>568</v>
      </c>
      <c r="C2" s="291"/>
      <c r="D2" s="291"/>
      <c r="E2" s="291"/>
      <c r="F2" s="291"/>
      <c r="G2" s="291"/>
      <c r="H2" s="291"/>
      <c r="I2" s="51"/>
    </row>
    <row r="3" spans="1:9" x14ac:dyDescent="0.25">
      <c r="B3" s="55"/>
      <c r="C3" s="55"/>
      <c r="D3" s="55"/>
      <c r="E3" s="55"/>
      <c r="F3" s="55"/>
      <c r="G3" s="55"/>
      <c r="H3" s="217"/>
      <c r="I3" s="55"/>
    </row>
    <row r="4" spans="1:9" x14ac:dyDescent="0.25">
      <c r="B4" s="291" t="s">
        <v>358</v>
      </c>
      <c r="C4" s="291"/>
      <c r="D4" s="291"/>
      <c r="E4" s="291"/>
      <c r="F4" s="291"/>
      <c r="G4" s="291"/>
      <c r="H4" s="291"/>
      <c r="I4" s="55"/>
    </row>
    <row r="5" spans="1:9" x14ac:dyDescent="0.25">
      <c r="B5" s="71" t="s">
        <v>359</v>
      </c>
      <c r="C5" s="55">
        <v>750</v>
      </c>
      <c r="D5" t="s">
        <v>518</v>
      </c>
      <c r="E5" t="s">
        <v>474</v>
      </c>
    </row>
    <row r="6" spans="1:9" x14ac:dyDescent="0.25">
      <c r="B6" s="71" t="s">
        <v>560</v>
      </c>
      <c r="C6" s="281">
        <v>0.75</v>
      </c>
      <c r="D6" s="282" t="s">
        <v>562</v>
      </c>
      <c r="E6" s="190" t="s">
        <v>561</v>
      </c>
      <c r="F6" s="210"/>
    </row>
    <row r="7" spans="1:9" s="190" customFormat="1" x14ac:dyDescent="0.25">
      <c r="B7" s="71"/>
      <c r="C7" s="280"/>
      <c r="D7" s="280"/>
      <c r="F7" s="210"/>
      <c r="H7" s="108"/>
    </row>
    <row r="8" spans="1:9" x14ac:dyDescent="0.25">
      <c r="B8" s="95" t="s">
        <v>360</v>
      </c>
      <c r="C8" s="95" t="s">
        <v>354</v>
      </c>
      <c r="D8" s="70" t="s">
        <v>355</v>
      </c>
      <c r="E8" s="70" t="s">
        <v>356</v>
      </c>
      <c r="F8" s="70" t="s">
        <v>361</v>
      </c>
      <c r="G8" s="70" t="str">
        <f>CONCATENATE("Cents/",$D$5)</f>
        <v>Cents/Lb</v>
      </c>
      <c r="H8" s="219" t="s">
        <v>475</v>
      </c>
    </row>
    <row r="9" spans="1:9" x14ac:dyDescent="0.25">
      <c r="B9" s="233" t="s">
        <v>544</v>
      </c>
      <c r="C9" s="233" t="s">
        <v>550</v>
      </c>
      <c r="D9" s="233">
        <v>36.299999999999997</v>
      </c>
      <c r="E9" s="235">
        <f>IF(B9="Roundup Flex Seed",2.44,(IF(B9="XtendFlex Seed", 2.7)))</f>
        <v>2.44</v>
      </c>
      <c r="F9" s="234">
        <f>E9*D9</f>
        <v>88.571999999999989</v>
      </c>
      <c r="G9" s="238">
        <f t="shared" ref="G9:G30" si="0">100*F9/yield</f>
        <v>11.809599999999998</v>
      </c>
      <c r="H9" s="210"/>
    </row>
    <row r="10" spans="1:9" x14ac:dyDescent="0.25">
      <c r="B10" t="s">
        <v>352</v>
      </c>
      <c r="C10" t="s">
        <v>370</v>
      </c>
      <c r="D10">
        <f>'Fert, Weed, Insct, Dis'!$C$6</f>
        <v>0.33</v>
      </c>
      <c r="E10" s="72">
        <f>'Fert, Weed, Insct, Dis'!$D$6</f>
        <v>48</v>
      </c>
      <c r="F10" s="191">
        <f>E10*D10</f>
        <v>15.84</v>
      </c>
      <c r="G10" s="237">
        <f t="shared" si="0"/>
        <v>2.1120000000000001</v>
      </c>
      <c r="H10" s="221"/>
    </row>
    <row r="11" spans="1:9" x14ac:dyDescent="0.25">
      <c r="A11" s="132" t="s">
        <v>413</v>
      </c>
      <c r="B11" t="s">
        <v>363</v>
      </c>
      <c r="F11" s="41"/>
      <c r="G11" s="237"/>
    </row>
    <row r="12" spans="1:9" s="190" customFormat="1" x14ac:dyDescent="0.25">
      <c r="B12" s="93" t="s">
        <v>486</v>
      </c>
      <c r="C12" s="190" t="s">
        <v>551</v>
      </c>
      <c r="D12" s="190">
        <f>'Fert, Weed, Insct, Dis'!$C$3</f>
        <v>60</v>
      </c>
      <c r="E12" s="192">
        <f>'Fert, Weed, Insct, Dis'!$D$3</f>
        <v>0.45</v>
      </c>
      <c r="F12" s="191">
        <f>E12*D12</f>
        <v>27</v>
      </c>
      <c r="G12" s="237">
        <f t="shared" si="0"/>
        <v>3.6</v>
      </c>
      <c r="H12" s="221"/>
    </row>
    <row r="13" spans="1:9" x14ac:dyDescent="0.25">
      <c r="B13" s="93" t="s">
        <v>364</v>
      </c>
      <c r="C13" t="s">
        <v>551</v>
      </c>
      <c r="D13">
        <f>'Fert, Weed, Insct, Dis'!$C$4</f>
        <v>50</v>
      </c>
      <c r="E13" s="72">
        <f>'Fert, Weed, Insct, Dis'!$D$4</f>
        <v>0.38</v>
      </c>
      <c r="F13" s="41">
        <f t="shared" ref="F13:F22" si="1">E13*D13</f>
        <v>19</v>
      </c>
      <c r="G13" s="237">
        <f t="shared" si="0"/>
        <v>2.5333333333333332</v>
      </c>
      <c r="H13" s="221"/>
    </row>
    <row r="14" spans="1:9" x14ac:dyDescent="0.25">
      <c r="B14" s="93" t="s">
        <v>365</v>
      </c>
      <c r="C14" s="190" t="s">
        <v>551</v>
      </c>
      <c r="D14" s="190">
        <f>'Fert, Weed, Insct, Dis'!$C$5</f>
        <v>50</v>
      </c>
      <c r="E14" s="72">
        <f>'Fert, Weed, Insct, Dis'!$D$5</f>
        <v>0.3</v>
      </c>
      <c r="F14" s="41">
        <f t="shared" si="1"/>
        <v>15</v>
      </c>
      <c r="G14" s="237">
        <f t="shared" si="0"/>
        <v>2</v>
      </c>
      <c r="H14" s="221"/>
    </row>
    <row r="15" spans="1:9" x14ac:dyDescent="0.25">
      <c r="B15" s="93" t="s">
        <v>468</v>
      </c>
      <c r="C15" t="s">
        <v>371</v>
      </c>
      <c r="D15" s="190">
        <f>'Fert, Weed, Insct, Dis'!$C$7</f>
        <v>1</v>
      </c>
      <c r="E15" s="72">
        <f>'Fert, Weed, Insct, Dis'!$D$7</f>
        <v>6</v>
      </c>
      <c r="F15" s="41">
        <f t="shared" si="1"/>
        <v>6</v>
      </c>
      <c r="G15" s="237">
        <f t="shared" si="0"/>
        <v>0.8</v>
      </c>
      <c r="H15" s="221"/>
    </row>
    <row r="16" spans="1:9" x14ac:dyDescent="0.25">
      <c r="A16" s="132" t="s">
        <v>414</v>
      </c>
      <c r="B16" t="s">
        <v>480</v>
      </c>
      <c r="C16" t="s">
        <v>371</v>
      </c>
      <c r="D16">
        <v>1</v>
      </c>
      <c r="E16" s="192">
        <f>IF(B9='Fert, Weed, Insct, Dis'!K2,'Fert, Weed, Insct, Dis'!F23,(IF(B9='Fert, Weed, Insct, Dis'!K3,'Fert, Weed, Insct, Dis'!F37)))</f>
        <v>58.625</v>
      </c>
      <c r="F16" s="191">
        <f t="shared" si="1"/>
        <v>58.625</v>
      </c>
      <c r="G16" s="237">
        <f t="shared" si="0"/>
        <v>7.8166666666666664</v>
      </c>
      <c r="H16" s="221"/>
    </row>
    <row r="17" spans="1:9" s="190" customFormat="1" x14ac:dyDescent="0.25">
      <c r="A17" s="132"/>
      <c r="B17" s="215" t="s">
        <v>553</v>
      </c>
      <c r="C17" s="190" t="s">
        <v>371</v>
      </c>
      <c r="D17" s="190">
        <v>1</v>
      </c>
      <c r="E17" s="192">
        <v>10</v>
      </c>
      <c r="F17" s="191">
        <f t="shared" si="1"/>
        <v>10</v>
      </c>
      <c r="G17" s="237">
        <f t="shared" si="0"/>
        <v>1.3333333333333333</v>
      </c>
      <c r="H17" s="210"/>
    </row>
    <row r="18" spans="1:9" s="190" customFormat="1" x14ac:dyDescent="0.25">
      <c r="A18" s="132" t="s">
        <v>415</v>
      </c>
      <c r="B18" t="s">
        <v>366</v>
      </c>
      <c r="C18" t="s">
        <v>371</v>
      </c>
      <c r="D18">
        <v>1</v>
      </c>
      <c r="E18" s="72">
        <f>'Fert, Weed, Insct, Dis'!$E$44</f>
        <v>20.747200000000003</v>
      </c>
      <c r="F18" s="191">
        <f t="shared" si="1"/>
        <v>20.747200000000003</v>
      </c>
      <c r="G18" s="237">
        <f t="shared" si="0"/>
        <v>2.7662933333333335</v>
      </c>
      <c r="H18" s="210"/>
    </row>
    <row r="19" spans="1:9" s="190" customFormat="1" x14ac:dyDescent="0.25">
      <c r="B19" s="222" t="s">
        <v>519</v>
      </c>
      <c r="C19" s="190" t="s">
        <v>371</v>
      </c>
      <c r="D19" s="190">
        <v>1</v>
      </c>
      <c r="E19" s="191">
        <v>0</v>
      </c>
      <c r="F19" s="191">
        <f>E19*D19</f>
        <v>0</v>
      </c>
      <c r="G19" s="237">
        <f>100*F19/yield</f>
        <v>0</v>
      </c>
      <c r="H19" s="221"/>
    </row>
    <row r="20" spans="1:9" s="190" customFormat="1" x14ac:dyDescent="0.25">
      <c r="B20" s="222" t="s">
        <v>520</v>
      </c>
      <c r="C20" s="190" t="s">
        <v>371</v>
      </c>
      <c r="D20" s="190">
        <v>1</v>
      </c>
      <c r="E20" s="191">
        <v>0</v>
      </c>
      <c r="F20" s="191">
        <f>E20*D20</f>
        <v>0</v>
      </c>
      <c r="G20" s="237">
        <f>100*F20/yield</f>
        <v>0</v>
      </c>
      <c r="H20" s="221"/>
    </row>
    <row r="21" spans="1:9" s="190" customFormat="1" x14ac:dyDescent="0.25">
      <c r="A21" s="132"/>
      <c r="B21" s="43" t="s">
        <v>490</v>
      </c>
      <c r="C21" s="190" t="s">
        <v>504</v>
      </c>
      <c r="D21" s="190">
        <v>26</v>
      </c>
      <c r="E21" s="192">
        <v>5.0999999999999997E-2</v>
      </c>
      <c r="F21" s="191">
        <f t="shared" si="1"/>
        <v>1.3259999999999998</v>
      </c>
      <c r="G21" s="237">
        <f t="shared" si="0"/>
        <v>0.17679999999999998</v>
      </c>
      <c r="H21" s="210"/>
    </row>
    <row r="22" spans="1:9" s="190" customFormat="1" x14ac:dyDescent="0.25">
      <c r="A22" s="132" t="s">
        <v>537</v>
      </c>
      <c r="B22" s="43" t="s">
        <v>567</v>
      </c>
      <c r="C22" s="190" t="s">
        <v>504</v>
      </c>
      <c r="D22" s="190">
        <v>1</v>
      </c>
      <c r="E22" s="191">
        <f>'Fert, Weed, Insct, Dis'!$E$51</f>
        <v>14.2575</v>
      </c>
      <c r="F22" s="191">
        <f t="shared" si="1"/>
        <v>14.2575</v>
      </c>
      <c r="G22" s="237">
        <f t="shared" si="0"/>
        <v>1.901</v>
      </c>
      <c r="H22" s="221"/>
    </row>
    <row r="23" spans="1:9" s="190" customFormat="1" x14ac:dyDescent="0.25">
      <c r="A23" s="132" t="s">
        <v>417</v>
      </c>
      <c r="B23" t="s">
        <v>367</v>
      </c>
      <c r="E23" s="192"/>
      <c r="F23" s="191"/>
      <c r="G23" s="237"/>
      <c r="H23" s="108"/>
    </row>
    <row r="24" spans="1:9" s="190" customFormat="1" x14ac:dyDescent="0.25">
      <c r="A24"/>
      <c r="B24" s="93" t="s">
        <v>494</v>
      </c>
      <c r="C24" t="s">
        <v>372</v>
      </c>
      <c r="D24" s="177">
        <f>PreHarvest!O15+PreHarvest!I24</f>
        <v>4.62739490465417</v>
      </c>
      <c r="E24" s="41">
        <v>2</v>
      </c>
      <c r="F24" s="41">
        <f>E24*D24</f>
        <v>9.2547898093083401</v>
      </c>
      <c r="G24" s="237">
        <f t="shared" si="0"/>
        <v>1.2339719745744453</v>
      </c>
      <c r="H24" s="221"/>
    </row>
    <row r="25" spans="1:9" s="190" customFormat="1" x14ac:dyDescent="0.25">
      <c r="A25"/>
      <c r="B25" s="93" t="s">
        <v>368</v>
      </c>
      <c r="C25" t="s">
        <v>371</v>
      </c>
      <c r="D25" s="177">
        <v>1</v>
      </c>
      <c r="E25" s="41">
        <f>PreHarvest!$R$15+PreHarvest!$K$24</f>
        <v>13.70274701066324</v>
      </c>
      <c r="F25" s="41">
        <f>E25*D25</f>
        <v>13.70274701066324</v>
      </c>
      <c r="G25" s="237">
        <f t="shared" si="0"/>
        <v>1.8270329347550986</v>
      </c>
      <c r="H25" s="221"/>
      <c r="I25" s="192"/>
    </row>
    <row r="26" spans="1:9" s="190" customFormat="1" x14ac:dyDescent="0.25">
      <c r="A26" s="132" t="s">
        <v>416</v>
      </c>
      <c r="B26" t="s">
        <v>369</v>
      </c>
      <c r="C26"/>
      <c r="D26"/>
      <c r="E26"/>
      <c r="F26" s="41"/>
      <c r="G26" s="237"/>
      <c r="H26" s="108"/>
    </row>
    <row r="27" spans="1:9" s="190" customFormat="1" x14ac:dyDescent="0.25">
      <c r="A27" s="132"/>
      <c r="B27" s="233" t="s">
        <v>546</v>
      </c>
      <c r="C27" s="233"/>
      <c r="D27" s="233"/>
      <c r="E27" s="233"/>
      <c r="F27" s="234"/>
      <c r="G27" s="235"/>
      <c r="H27" s="108"/>
    </row>
    <row r="28" spans="1:9" s="190" customFormat="1" x14ac:dyDescent="0.25">
      <c r="A28"/>
      <c r="B28" s="93" t="s">
        <v>494</v>
      </c>
      <c r="C28" t="s">
        <v>372</v>
      </c>
      <c r="D28" s="177">
        <f>'Harvest '!O10+'Harvest '!I20</f>
        <v>6.3714308724867728</v>
      </c>
      <c r="E28" s="41">
        <f>E24</f>
        <v>2</v>
      </c>
      <c r="F28" s="41">
        <f t="shared" ref="F28:F30" si="2">E28*D28</f>
        <v>12.742861744973546</v>
      </c>
      <c r="G28" s="237">
        <f t="shared" si="0"/>
        <v>1.6990482326631393</v>
      </c>
      <c r="H28" s="221"/>
    </row>
    <row r="29" spans="1:9" s="190" customFormat="1" x14ac:dyDescent="0.25">
      <c r="A29"/>
      <c r="B29" s="93" t="s">
        <v>368</v>
      </c>
      <c r="C29" t="s">
        <v>371</v>
      </c>
      <c r="D29" s="177">
        <v>1</v>
      </c>
      <c r="E29" s="41">
        <f>'Harvest '!R10+'Harvest '!K20</f>
        <v>27.447139219576719</v>
      </c>
      <c r="F29" s="41">
        <f t="shared" si="2"/>
        <v>27.447139219576719</v>
      </c>
      <c r="G29" s="237">
        <f t="shared" si="0"/>
        <v>3.6596185626102296</v>
      </c>
      <c r="H29" s="221"/>
    </row>
    <row r="30" spans="1:9" s="190" customFormat="1" x14ac:dyDescent="0.25">
      <c r="A30"/>
      <c r="B30" t="s">
        <v>491</v>
      </c>
      <c r="C30" t="s">
        <v>375</v>
      </c>
      <c r="D30" s="177">
        <f>1.25*((PreHarvest!G15+PreHarvest!G24)+'Harvest '!G10+'Harvest '!G20)</f>
        <v>1.0692986013849985</v>
      </c>
      <c r="E30" s="41">
        <v>13.5</v>
      </c>
      <c r="F30" s="41">
        <f t="shared" si="2"/>
        <v>14.43553111869748</v>
      </c>
      <c r="G30" s="237">
        <f t="shared" si="0"/>
        <v>1.9247374824929973</v>
      </c>
      <c r="H30" s="221"/>
    </row>
    <row r="31" spans="1:9" x14ac:dyDescent="0.25">
      <c r="B31" t="s">
        <v>373</v>
      </c>
      <c r="C31" t="s">
        <v>371</v>
      </c>
      <c r="D31">
        <v>1</v>
      </c>
      <c r="E31" s="41">
        <v>17</v>
      </c>
      <c r="F31" s="41">
        <f>E31*D31</f>
        <v>17</v>
      </c>
      <c r="G31" s="237">
        <f>100*F31/yield</f>
        <v>2.2666666666666666</v>
      </c>
      <c r="H31" s="221"/>
    </row>
    <row r="32" spans="1:9" s="190" customFormat="1" x14ac:dyDescent="0.25">
      <c r="B32" s="190" t="s">
        <v>374</v>
      </c>
      <c r="C32" s="190" t="s">
        <v>371</v>
      </c>
      <c r="D32" s="190">
        <v>1</v>
      </c>
      <c r="E32" s="191">
        <v>0</v>
      </c>
      <c r="F32" s="191">
        <f t="shared" ref="F32" si="3">E32*D32</f>
        <v>0</v>
      </c>
      <c r="G32" s="237">
        <f>100*F32/yield</f>
        <v>0</v>
      </c>
      <c r="H32" s="210"/>
    </row>
    <row r="33" spans="1:8" s="190" customFormat="1" x14ac:dyDescent="0.25">
      <c r="A33"/>
      <c r="B33" s="190" t="s">
        <v>554</v>
      </c>
      <c r="C33" s="190" t="s">
        <v>511</v>
      </c>
      <c r="D33" s="191">
        <f>SUM(F9:F32)*0.5</f>
        <v>185.4753844516097</v>
      </c>
      <c r="E33" s="92">
        <v>5.5E-2</v>
      </c>
      <c r="F33" s="191">
        <f>E33*D33</f>
        <v>10.201146144838534</v>
      </c>
      <c r="G33" s="237">
        <f>100*F33/yield</f>
        <v>1.3601528193118047</v>
      </c>
      <c r="H33" s="221"/>
    </row>
    <row r="34" spans="1:8" s="190" customFormat="1" x14ac:dyDescent="0.25">
      <c r="A34" s="132" t="s">
        <v>492</v>
      </c>
      <c r="B34" s="43" t="s">
        <v>493</v>
      </c>
      <c r="C34" s="190" t="s">
        <v>371</v>
      </c>
      <c r="D34" s="177">
        <v>1</v>
      </c>
      <c r="E34" s="191">
        <f>'Fert, Weed, Insct, Dis'!E61</f>
        <v>29.999999999999993</v>
      </c>
      <c r="F34" s="191">
        <f>E34*D34</f>
        <v>29.999999999999993</v>
      </c>
      <c r="G34" s="244">
        <f>100*F34/yield</f>
        <v>3.9999999999999987</v>
      </c>
      <c r="H34" s="221"/>
    </row>
    <row r="35" spans="1:8" x14ac:dyDescent="0.25">
      <c r="B35" s="292" t="s">
        <v>376</v>
      </c>
      <c r="C35" s="292"/>
      <c r="D35" s="292"/>
      <c r="E35" s="292"/>
      <c r="F35" s="236">
        <f>SUM(F9:F34)</f>
        <v>411.15191504805796</v>
      </c>
      <c r="G35" s="245">
        <f>SUM(G9:G34)</f>
        <v>54.820255339741045</v>
      </c>
      <c r="H35" s="221"/>
    </row>
    <row r="36" spans="1:8" s="190" customFormat="1" x14ac:dyDescent="0.25">
      <c r="A36"/>
      <c r="B36"/>
      <c r="C36"/>
      <c r="D36"/>
      <c r="E36"/>
      <c r="F36"/>
      <c r="G36"/>
      <c r="H36" s="221"/>
    </row>
    <row r="37" spans="1:8" s="190" customFormat="1" x14ac:dyDescent="0.25">
      <c r="A37"/>
      <c r="B37" s="96" t="s">
        <v>380</v>
      </c>
      <c r="C37" s="96"/>
      <c r="D37" s="96"/>
      <c r="E37" s="96"/>
      <c r="F37" s="96"/>
      <c r="G37" s="96"/>
      <c r="H37" s="221"/>
    </row>
    <row r="38" spans="1:8" s="190" customFormat="1" x14ac:dyDescent="0.25">
      <c r="A38"/>
      <c r="B38" s="299" t="s">
        <v>381</v>
      </c>
      <c r="C38" s="299"/>
      <c r="D38" s="299"/>
      <c r="E38" s="299"/>
      <c r="F38" s="299"/>
      <c r="G38" s="299"/>
      <c r="H38" s="299"/>
    </row>
    <row r="39" spans="1:8" s="190" customFormat="1" x14ac:dyDescent="0.25">
      <c r="B39" s="224" t="s">
        <v>513</v>
      </c>
      <c r="C39" s="190" t="s">
        <v>371</v>
      </c>
      <c r="D39" s="190">
        <v>1</v>
      </c>
      <c r="E39" s="223">
        <f>PreHarvest!$U$15+PreHarvest!$M$24</f>
        <v>45.092877582321385</v>
      </c>
      <c r="F39" s="191">
        <f>D39*E39</f>
        <v>45.092877582321385</v>
      </c>
      <c r="G39" s="237">
        <f t="shared" ref="G39:G42" si="4">100*F39/yield</f>
        <v>6.0123836776428519</v>
      </c>
      <c r="H39" s="221"/>
    </row>
    <row r="40" spans="1:8" s="190" customFormat="1" x14ac:dyDescent="0.25">
      <c r="B40" s="224" t="s">
        <v>514</v>
      </c>
      <c r="C40" s="190" t="s">
        <v>371</v>
      </c>
      <c r="D40" s="190">
        <v>1</v>
      </c>
      <c r="E40" s="223">
        <f>'Harvest '!U10+'Harvest '!M20</f>
        <v>130.14352957116401</v>
      </c>
      <c r="F40" s="191">
        <f t="shared" ref="F40" si="5">D40*E40</f>
        <v>130.14352957116401</v>
      </c>
      <c r="G40" s="237">
        <f t="shared" si="4"/>
        <v>17.352470609488535</v>
      </c>
      <c r="H40" s="221"/>
    </row>
    <row r="41" spans="1:8" s="190" customFormat="1" x14ac:dyDescent="0.25">
      <c r="A41"/>
      <c r="B41" t="s">
        <v>515</v>
      </c>
      <c r="C41" t="s">
        <v>382</v>
      </c>
      <c r="D41" s="41">
        <f>tvc</f>
        <v>411.15191504805796</v>
      </c>
      <c r="E41" s="97">
        <v>0.05</v>
      </c>
      <c r="F41" s="41">
        <f t="shared" ref="F41" si="6">E41*D41</f>
        <v>20.5575957524029</v>
      </c>
      <c r="G41" s="237">
        <f t="shared" si="4"/>
        <v>2.7410127669870534</v>
      </c>
      <c r="H41" s="221"/>
    </row>
    <row r="42" spans="1:8" x14ac:dyDescent="0.25">
      <c r="B42" t="s">
        <v>383</v>
      </c>
      <c r="C42" t="s">
        <v>382</v>
      </c>
      <c r="D42" s="191">
        <f>tvc</f>
        <v>411.15191504805796</v>
      </c>
      <c r="E42" s="97">
        <v>0.05</v>
      </c>
      <c r="F42" s="41">
        <f>E42*D42</f>
        <v>20.5575957524029</v>
      </c>
      <c r="G42" s="237">
        <f t="shared" si="4"/>
        <v>2.7410127669870534</v>
      </c>
      <c r="H42" s="221"/>
    </row>
    <row r="43" spans="1:8" s="190" customFormat="1" ht="15" customHeight="1" x14ac:dyDescent="0.25">
      <c r="B43" s="267" t="s">
        <v>556</v>
      </c>
      <c r="C43" s="190" t="s">
        <v>371</v>
      </c>
      <c r="D43" s="190">
        <v>1</v>
      </c>
      <c r="E43" s="191">
        <v>0</v>
      </c>
      <c r="F43" s="191">
        <f t="shared" ref="F43:F44" si="7">E43*D43</f>
        <v>0</v>
      </c>
      <c r="G43" s="237">
        <f>100*F43/yield</f>
        <v>0</v>
      </c>
      <c r="H43" s="221"/>
    </row>
    <row r="44" spans="1:8" s="190" customFormat="1" x14ac:dyDescent="0.25">
      <c r="B44" s="221" t="s">
        <v>557</v>
      </c>
      <c r="C44" s="221" t="s">
        <v>371</v>
      </c>
      <c r="D44" s="190">
        <v>1</v>
      </c>
      <c r="E44" s="268">
        <v>0</v>
      </c>
      <c r="F44" s="191">
        <f t="shared" si="7"/>
        <v>0</v>
      </c>
      <c r="G44" s="237">
        <f>100*F44/yield</f>
        <v>0</v>
      </c>
      <c r="H44" s="221"/>
    </row>
    <row r="45" spans="1:8" x14ac:dyDescent="0.25">
      <c r="B45" s="300" t="s">
        <v>384</v>
      </c>
      <c r="C45" s="300"/>
      <c r="D45" s="300"/>
      <c r="E45" s="300"/>
      <c r="F45" s="94">
        <f>SUM(F39:F44)</f>
        <v>216.35159865829121</v>
      </c>
      <c r="G45" s="246">
        <f>SUM(G39:G44)</f>
        <v>28.846879821105496</v>
      </c>
      <c r="H45" s="221"/>
    </row>
    <row r="46" spans="1:8" x14ac:dyDescent="0.25">
      <c r="H46" s="221"/>
    </row>
    <row r="47" spans="1:8" ht="15.75" thickBot="1" x14ac:dyDescent="0.3">
      <c r="B47" s="98" t="s">
        <v>489</v>
      </c>
      <c r="C47" s="98"/>
      <c r="D47" s="98"/>
      <c r="E47" s="98"/>
      <c r="F47" s="99">
        <f>F35+F45</f>
        <v>627.50351370634917</v>
      </c>
      <c r="G47" s="278">
        <f>G35+G45</f>
        <v>83.667135160846541</v>
      </c>
      <c r="H47" s="279"/>
    </row>
    <row r="48" spans="1:8" x14ac:dyDescent="0.25">
      <c r="B48" s="275" t="s">
        <v>385</v>
      </c>
      <c r="C48" s="275"/>
      <c r="D48" s="275"/>
      <c r="F48" s="276" t="s">
        <v>386</v>
      </c>
      <c r="G48" s="273"/>
      <c r="H48" s="277" t="str">
        <f>CONCATENATE("/",$D$5)</f>
        <v>/Lb</v>
      </c>
    </row>
    <row r="49" spans="1:8" ht="15.75" thickBot="1" x14ac:dyDescent="0.3">
      <c r="B49" s="100" t="s">
        <v>387</v>
      </c>
      <c r="C49" s="100"/>
      <c r="D49" s="100"/>
      <c r="E49" s="274"/>
      <c r="F49" s="101" t="s">
        <v>386</v>
      </c>
      <c r="G49" s="102"/>
      <c r="H49" s="103" t="str">
        <f>CONCATENATE("/",$D$5)</f>
        <v>/Lb</v>
      </c>
    </row>
    <row r="50" spans="1:8" s="190" customFormat="1" x14ac:dyDescent="0.25">
      <c r="A50"/>
      <c r="B50" s="128"/>
      <c r="C50" s="128"/>
      <c r="D50" s="128"/>
      <c r="E50" s="129"/>
      <c r="F50" s="130"/>
      <c r="G50" s="131"/>
      <c r="H50" s="128"/>
    </row>
    <row r="51" spans="1:8" s="190" customFormat="1" x14ac:dyDescent="0.25">
      <c r="A51"/>
      <c r="B51" s="304"/>
      <c r="C51" s="304"/>
      <c r="D51" s="304"/>
      <c r="E51" s="304"/>
      <c r="F51" s="304"/>
      <c r="G51" s="304"/>
      <c r="H51" s="304"/>
    </row>
    <row r="52" spans="1:8" x14ac:dyDescent="0.25">
      <c r="B52" s="297" t="s">
        <v>565</v>
      </c>
      <c r="C52" s="297"/>
      <c r="D52" s="297"/>
      <c r="E52" s="297"/>
      <c r="F52" s="297"/>
      <c r="G52" s="297"/>
      <c r="H52" s="297"/>
    </row>
    <row r="53" spans="1:8" x14ac:dyDescent="0.25">
      <c r="B53" s="298"/>
      <c r="C53" s="298"/>
      <c r="D53" s="298"/>
      <c r="E53" s="298"/>
      <c r="F53" s="298"/>
      <c r="G53" s="298"/>
      <c r="H53" s="298"/>
    </row>
    <row r="54" spans="1:8" s="190" customFormat="1" x14ac:dyDescent="0.25">
      <c r="A54"/>
      <c r="B54" s="296" t="str">
        <f>CONCATENATE("Sensitivity Analysis of ",B1)</f>
        <v>Sensitivity Analysis of Conventional Tillage, Non-Irrigated Cotton</v>
      </c>
      <c r="C54" s="296"/>
      <c r="D54" s="296"/>
      <c r="E54" s="296"/>
      <c r="F54" s="296"/>
      <c r="G54" s="296"/>
      <c r="H54" s="104"/>
    </row>
    <row r="55" spans="1:8" s="190" customFormat="1" x14ac:dyDescent="0.25">
      <c r="A55"/>
      <c r="B55" s="301" t="s">
        <v>388</v>
      </c>
      <c r="C55" s="301"/>
      <c r="D55" s="301"/>
      <c r="E55" s="301"/>
      <c r="F55" s="301"/>
      <c r="G55" s="301"/>
      <c r="H55" s="105"/>
    </row>
    <row r="56" spans="1:8" s="190" customFormat="1" x14ac:dyDescent="0.25">
      <c r="A56"/>
      <c r="B56" s="302" t="str">
        <f>CONCATENATE("Varying Prices and Yields ","(",(D5),")")</f>
        <v>Varying Prices and Yields (Lb)</v>
      </c>
      <c r="C56" s="302"/>
      <c r="D56" s="302"/>
      <c r="E56" s="302"/>
      <c r="F56" s="302"/>
      <c r="G56" s="302"/>
      <c r="H56" s="105"/>
    </row>
    <row r="57" spans="1:8" s="190" customFormat="1" x14ac:dyDescent="0.25">
      <c r="A57"/>
      <c r="B57" s="293" t="str">
        <f>CONCATENATE("Price \ ",$D$5,"/Acre")</f>
        <v>Price \ Lb/Acre</v>
      </c>
      <c r="C57" s="106" t="s">
        <v>389</v>
      </c>
      <c r="D57" s="106" t="s">
        <v>390</v>
      </c>
      <c r="E57" s="107" t="s">
        <v>391</v>
      </c>
      <c r="F57" s="106" t="s">
        <v>392</v>
      </c>
      <c r="G57" s="106" t="s">
        <v>393</v>
      </c>
      <c r="H57" s="108"/>
    </row>
    <row r="58" spans="1:8" s="190" customFormat="1" x14ac:dyDescent="0.25">
      <c r="A58"/>
      <c r="B58" s="294"/>
      <c r="C58" s="109">
        <f>E58*0.75</f>
        <v>562.5</v>
      </c>
      <c r="D58" s="109">
        <f>E58*0.9</f>
        <v>675</v>
      </c>
      <c r="E58" s="109">
        <f>yield</f>
        <v>750</v>
      </c>
      <c r="F58" s="109">
        <f>E58*1.1</f>
        <v>825.00000000000011</v>
      </c>
      <c r="G58" s="109">
        <f>E58*1.25</f>
        <v>937.5</v>
      </c>
      <c r="H58" s="108"/>
    </row>
    <row r="59" spans="1:8" s="190" customFormat="1" x14ac:dyDescent="0.25">
      <c r="A59"/>
      <c r="B59" s="111">
        <f>B60-0.05</f>
        <v>0.64999999999999991</v>
      </c>
      <c r="C59" s="110">
        <f t="shared" ref="C59:G63" si="8">$B59*C$58-tvc</f>
        <v>-45.526915048058015</v>
      </c>
      <c r="D59" s="110">
        <f t="shared" si="8"/>
        <v>27.598084951941985</v>
      </c>
      <c r="E59" s="110">
        <f t="shared" si="8"/>
        <v>76.348084951941985</v>
      </c>
      <c r="F59" s="110">
        <f t="shared" si="8"/>
        <v>125.09808495194204</v>
      </c>
      <c r="G59" s="110">
        <f t="shared" si="8"/>
        <v>198.22308495194193</v>
      </c>
      <c r="H59" s="108"/>
    </row>
    <row r="60" spans="1:8" s="190" customFormat="1" x14ac:dyDescent="0.25">
      <c r="A60"/>
      <c r="B60" s="111">
        <f>B61-0.05</f>
        <v>0.7</v>
      </c>
      <c r="C60" s="112">
        <f t="shared" si="8"/>
        <v>-17.401915048057958</v>
      </c>
      <c r="D60" s="112">
        <f t="shared" si="8"/>
        <v>61.348084951941985</v>
      </c>
      <c r="E60" s="112">
        <f t="shared" si="8"/>
        <v>113.84808495194204</v>
      </c>
      <c r="F60" s="112">
        <f t="shared" si="8"/>
        <v>166.34808495194204</v>
      </c>
      <c r="G60" s="112">
        <f t="shared" si="8"/>
        <v>245.09808495194204</v>
      </c>
      <c r="H60" s="108"/>
    </row>
    <row r="61" spans="1:8" x14ac:dyDescent="0.25">
      <c r="B61" s="111">
        <f>C6</f>
        <v>0.75</v>
      </c>
      <c r="C61" s="112">
        <f t="shared" si="8"/>
        <v>10.723084951942042</v>
      </c>
      <c r="D61" s="112">
        <f t="shared" si="8"/>
        <v>95.098084951942042</v>
      </c>
      <c r="E61" s="112">
        <f t="shared" si="8"/>
        <v>151.34808495194204</v>
      </c>
      <c r="F61" s="112">
        <f t="shared" si="8"/>
        <v>207.59808495194216</v>
      </c>
      <c r="G61" s="112">
        <f t="shared" si="8"/>
        <v>291.97308495194204</v>
      </c>
    </row>
    <row r="62" spans="1:8" x14ac:dyDescent="0.25">
      <c r="B62" s="111">
        <f t="shared" ref="B62:B63" si="9">B61+0.05</f>
        <v>0.8</v>
      </c>
      <c r="C62" s="112">
        <f t="shared" si="8"/>
        <v>38.848084951942042</v>
      </c>
      <c r="D62" s="112">
        <f t="shared" si="8"/>
        <v>128.84808495194204</v>
      </c>
      <c r="E62" s="112">
        <f t="shared" si="8"/>
        <v>188.84808495194204</v>
      </c>
      <c r="F62" s="112">
        <f t="shared" si="8"/>
        <v>248.84808495194216</v>
      </c>
      <c r="G62" s="112">
        <f t="shared" si="8"/>
        <v>338.84808495194204</v>
      </c>
    </row>
    <row r="63" spans="1:8" x14ac:dyDescent="0.25">
      <c r="B63" s="113">
        <f t="shared" si="9"/>
        <v>0.85000000000000009</v>
      </c>
      <c r="C63" s="114">
        <f t="shared" si="8"/>
        <v>66.973084951942099</v>
      </c>
      <c r="D63" s="114">
        <f t="shared" si="8"/>
        <v>162.59808495194216</v>
      </c>
      <c r="E63" s="114">
        <f t="shared" si="8"/>
        <v>226.34808495194216</v>
      </c>
      <c r="F63" s="114">
        <f t="shared" si="8"/>
        <v>290.09808495194216</v>
      </c>
      <c r="G63" s="114">
        <f t="shared" si="8"/>
        <v>385.72308495194216</v>
      </c>
    </row>
    <row r="65" spans="1:14" s="190" customFormat="1" x14ac:dyDescent="0.25">
      <c r="A65"/>
      <c r="B65" s="295" t="s">
        <v>394</v>
      </c>
      <c r="C65" s="295"/>
      <c r="D65" s="295"/>
      <c r="E65" s="295"/>
      <c r="F65" s="295"/>
      <c r="G65" s="295"/>
      <c r="H65" s="295"/>
    </row>
    <row r="66" spans="1:14" s="190" customFormat="1" x14ac:dyDescent="0.25">
      <c r="A66"/>
      <c r="B66" s="296" t="s">
        <v>395</v>
      </c>
      <c r="C66" s="296"/>
      <c r="D66" s="296"/>
      <c r="E66" s="296"/>
      <c r="F66" s="296"/>
      <c r="G66" s="296"/>
      <c r="H66" s="296"/>
    </row>
    <row r="67" spans="1:14" s="190" customFormat="1" ht="45" x14ac:dyDescent="0.25">
      <c r="A67"/>
      <c r="B67" s="115" t="s">
        <v>396</v>
      </c>
      <c r="C67" s="116" t="s">
        <v>397</v>
      </c>
      <c r="D67" s="116" t="s">
        <v>398</v>
      </c>
      <c r="E67" s="116" t="s">
        <v>558</v>
      </c>
      <c r="F67" s="116" t="s">
        <v>399</v>
      </c>
      <c r="G67" s="116" t="s">
        <v>400</v>
      </c>
      <c r="H67" s="116" t="s">
        <v>401</v>
      </c>
    </row>
    <row r="68" spans="1:14" s="190" customFormat="1" ht="30.75" customHeight="1" x14ac:dyDescent="0.25">
      <c r="A68"/>
      <c r="B68" s="136" t="str">
        <f>IF(H68&gt;0,(CONCATENATE(PreHarvest!$C3," with ",PreHarvest!$M3))," ")</f>
        <v>Disk Harrow 32' with Tractor (200-249 hp) MFWD 225</v>
      </c>
      <c r="C68" s="176">
        <f>IF(H68&gt;0,(1/PreHarvest!$E3)," ")</f>
        <v>16.290909090909089</v>
      </c>
      <c r="D68" s="117">
        <f>IF(H68&gt;0,(PreHarvest!$F3)," ")</f>
        <v>2</v>
      </c>
      <c r="E68" s="118">
        <f>IF(H68&gt;0,(D68*1/C68*1.25)," ")</f>
        <v>0.15345982142857145</v>
      </c>
      <c r="F68" s="118">
        <f>IF(H68&gt;0, (PreHarvest!$O3)," ")</f>
        <v>1.4218113839285715</v>
      </c>
      <c r="G68" s="194">
        <f>IF(H68&gt;0, (PreHarvest!$R3)," ")</f>
        <v>4.137081916099774</v>
      </c>
      <c r="H68" s="194">
        <f>PreHarvest!$U3</f>
        <v>12.019781923185942</v>
      </c>
    </row>
    <row r="69" spans="1:14" ht="30" x14ac:dyDescent="0.25">
      <c r="B69" s="195" t="str">
        <f>IF(H69&gt;0,(CONCATENATE(PreHarvest!$C4," with ",PreHarvest!$M4))," ")</f>
        <v>Bed-Rip/Disk Rigid 8R-36 with Tractor (200-249 hp) Track 225</v>
      </c>
      <c r="C69" s="199">
        <f>IF(H69&gt;0,(1/PreHarvest!$E4)," ")</f>
        <v>12.981818181818184</v>
      </c>
      <c r="D69" s="119">
        <f>IF(H69&gt;0,(PreHarvest!$F4)," ")</f>
        <v>1</v>
      </c>
      <c r="E69" s="193">
        <f t="shared" ref="E69" si="10">IF(H69&gt;0,(D69*1/C69*1.25)," ")</f>
        <v>9.6288515406162456E-2</v>
      </c>
      <c r="F69" s="193">
        <f>IF(H69&gt;0, (PreHarvest!$O4)," ")</f>
        <v>0.89211694677871145</v>
      </c>
      <c r="G69" s="194">
        <f>IF(H69&gt;0, (PreHarvest!$R4)," ")</f>
        <v>1.6774009603841533</v>
      </c>
      <c r="H69" s="194">
        <f>PreHarvest!$U4</f>
        <v>5.5795640256102441</v>
      </c>
    </row>
    <row r="70" spans="1:14" ht="30" x14ac:dyDescent="0.25">
      <c r="B70" s="195" t="str">
        <f>IF(H70&gt;0,(CONCATENATE(PreHarvest!$C5," with ",PreHarvest!$M5))," ")</f>
        <v>Plant &amp; Pre-Folding 12R-36 with Tractor (200-249 hp) MFWD 225</v>
      </c>
      <c r="C70" s="199">
        <f>IF(H70&gt;0,(1/PreHarvest!$E5)," ")</f>
        <v>17.727272727272727</v>
      </c>
      <c r="D70" s="119">
        <f>IF(H70&gt;0,(PreHarvest!$F5)," ")</f>
        <v>1</v>
      </c>
      <c r="E70" s="193">
        <f t="shared" ref="E70:E71" si="11">IF(H70&gt;0,(D70*1/C70*1.25)," ")</f>
        <v>7.0512820512820512E-2</v>
      </c>
      <c r="F70" s="193">
        <f>IF(H70&gt;0, (PreHarvest!$O5)," ")</f>
        <v>0.65330410256410265</v>
      </c>
      <c r="G70" s="194">
        <f>IF(H70&gt;0, (PreHarvest!$R5)," ")</f>
        <v>2.8997893772893777</v>
      </c>
      <c r="H70" s="194">
        <f>PreHarvest!$U5</f>
        <v>8.0281766056166042</v>
      </c>
    </row>
    <row r="71" spans="1:14" ht="30" x14ac:dyDescent="0.25">
      <c r="A71" s="190"/>
      <c r="B71" s="195" t="str">
        <f>IF(H71&gt;0,(CONCATENATE(PreHarvest!$C6," with ",PreHarvest!$M6))," ")</f>
        <v>Fert Appl (Liquid)  8R-36 with Tractor (180-199 hp) MFWD 190</v>
      </c>
      <c r="C71" s="199">
        <f>IF(H71&gt;0,(1/PreHarvest!$E6)," ")</f>
        <v>12.218181818181819</v>
      </c>
      <c r="D71" s="119">
        <f>IF(H71&gt;0,(PreHarvest!$F6)," ")</f>
        <v>1</v>
      </c>
      <c r="E71" s="193">
        <f t="shared" si="11"/>
        <v>0.10230654761904762</v>
      </c>
      <c r="F71" s="193">
        <f>IF(H71&gt;0, (PreHarvest!$O6)," ")</f>
        <v>0.80043005952380952</v>
      </c>
      <c r="G71" s="194">
        <f>IF(H71&gt;0, (PreHarvest!$R6)," ")</f>
        <v>2.2581490929705215</v>
      </c>
      <c r="H71" s="194">
        <f>PreHarvest!$U6</f>
        <v>5.0622417800453512</v>
      </c>
    </row>
    <row r="72" spans="1:14" s="190" customFormat="1" ht="26.25" customHeight="1" x14ac:dyDescent="0.25">
      <c r="B72" s="195" t="str">
        <f>IF(H72&gt;0,(CONCATENATE(PreHarvest!$C7," with ",PreHarvest!$L7))," ")</f>
        <v>Spray (Direct/Layby)  8R-36 with 0.28, Tractor (180-199 hp) MFWD 190</v>
      </c>
      <c r="C72" s="199">
        <f>IF(H72&gt;0,(1/PreHarvest!$E7)," ")</f>
        <v>14.181818181818182</v>
      </c>
      <c r="D72" s="119">
        <f>IF(H72&gt;0,(PreHarvest!$F7)," ")</f>
        <v>1</v>
      </c>
      <c r="E72" s="193">
        <f>IF(H72&gt;0,(D72*1/C72*1.25)," ")</f>
        <v>8.8141025641025633E-2</v>
      </c>
      <c r="F72" s="193">
        <f>IF(H72&gt;0, (PreHarvest!$O7)," ")</f>
        <v>0.68960128205128202</v>
      </c>
      <c r="G72" s="194">
        <f>IF(H72&gt;0, (PreHarvest!$R7)," ")</f>
        <v>1.4894259386446884</v>
      </c>
      <c r="H72" s="194">
        <f>PreHarvest!$U7</f>
        <v>3.7082121489621489</v>
      </c>
    </row>
    <row r="73" spans="1:14" s="190" customFormat="1" x14ac:dyDescent="0.25">
      <c r="B73" s="195" t="str">
        <f>IF(H73&gt;0,PreHarvest!$C$19," ")</f>
        <v>Sprayer  800 gal 80' 250 hp</v>
      </c>
      <c r="C73" s="199">
        <f>IF(H73&gt;0,(1/PreHarvest!$E19)," ")</f>
        <v>75.63636363636364</v>
      </c>
      <c r="D73" s="119">
        <f>IF(H73&gt;0,(PreHarvest!$F19)," ")</f>
        <v>6</v>
      </c>
      <c r="E73" s="193">
        <f>IF(H73&gt;0,(D73*1/C73*1.25)," ")</f>
        <v>9.9158653846153841E-2</v>
      </c>
      <c r="F73" s="193">
        <f>IF(H72&gt;0,(PreHarvest!$I19)," ")</f>
        <v>0.17013112980769229</v>
      </c>
      <c r="G73" s="194">
        <f>IF(H72&gt;0, (PreHarvest!$K$19)," ")</f>
        <v>1.2408997252747251</v>
      </c>
      <c r="H73" s="194">
        <f>PreHarvest!$M19</f>
        <v>10.694901098901097</v>
      </c>
    </row>
    <row r="74" spans="1:14" x14ac:dyDescent="0.25">
      <c r="B74" s="134" t="s">
        <v>402</v>
      </c>
      <c r="C74" s="135">
        <f t="shared" ref="C74:D74" si="12">SUM(C68:C73)</f>
        <v>149.03636363636366</v>
      </c>
      <c r="D74" s="135">
        <f t="shared" si="12"/>
        <v>12</v>
      </c>
      <c r="E74" s="135">
        <f>SUM(E68:E73)</f>
        <v>0.60986738445378152</v>
      </c>
      <c r="F74" s="135">
        <f>SUM(F68:F73)</f>
        <v>4.62739490465417</v>
      </c>
      <c r="G74" s="271">
        <f>SUM(G68:G73)</f>
        <v>13.70274701066324</v>
      </c>
      <c r="H74" s="271">
        <f>SUM(H68:H73)</f>
        <v>45.092877582321385</v>
      </c>
    </row>
    <row r="76" spans="1:14" x14ac:dyDescent="0.25">
      <c r="B76" s="55" t="s">
        <v>403</v>
      </c>
      <c r="H76" s="221"/>
    </row>
    <row r="77" spans="1:14" ht="45" x14ac:dyDescent="0.25">
      <c r="B77" s="115" t="s">
        <v>396</v>
      </c>
      <c r="C77" s="116" t="s">
        <v>397</v>
      </c>
      <c r="D77" s="116" t="s">
        <v>398</v>
      </c>
      <c r="E77" s="116" t="s">
        <v>558</v>
      </c>
      <c r="F77" s="116" t="s">
        <v>399</v>
      </c>
      <c r="G77" s="116" t="s">
        <v>400</v>
      </c>
      <c r="H77" s="116" t="s">
        <v>401</v>
      </c>
      <c r="N77" s="190"/>
    </row>
    <row r="78" spans="1:14" s="190" customFormat="1" x14ac:dyDescent="0.25">
      <c r="B78" s="195" t="str">
        <f>IF(H78&gt;0,'Harvest '!C15," ")</f>
        <v>Cotton Picker/Module 6R-36 (500)</v>
      </c>
      <c r="C78" s="175">
        <f>IF(H78&gt;0,(1/'Harvest '!E15)," ")</f>
        <v>5.4981818181818181</v>
      </c>
      <c r="D78" s="133">
        <f>IF(H78&gt;0,('Harvest '!F15)," ")</f>
        <v>1</v>
      </c>
      <c r="E78" s="193">
        <f>IF(H78&gt;0,(D78*1/C78*1.25)," ")</f>
        <v>0.2273478835978836</v>
      </c>
      <c r="F78" s="193">
        <f>IF(H78&gt;0, 'Harvest '!I15," ")</f>
        <v>4.6808201058201062</v>
      </c>
      <c r="G78" s="194">
        <f>IF(H78&gt;0, 'Harvest '!K15," ")</f>
        <v>22.757523148148149</v>
      </c>
      <c r="H78" s="194">
        <f>'Harvest '!M15</f>
        <v>117.6837037037037</v>
      </c>
    </row>
    <row r="79" spans="1:14" ht="29.1" customHeight="1" x14ac:dyDescent="0.25">
      <c r="A79" s="190"/>
      <c r="B79" s="195" t="str">
        <f>IF(H79&gt;0,(CONCATENATE('Harvest '!C4," with ",'Harvest '!M4))," ")</f>
        <v>Stalk Shredder-Flail 18' with Tractor (200-249 hp) MFWD 225</v>
      </c>
      <c r="C79" s="175">
        <f>IF(H79&gt;0,(1/'Harvest '!E4)," ")</f>
        <v>10.909090909090908</v>
      </c>
      <c r="D79" s="133">
        <f>IF(H79&gt;0,('Harvest '!F4)," ")</f>
        <v>1</v>
      </c>
      <c r="E79" s="174">
        <f>IF(H79&gt;0,(1/C79*D79*1.25)," ")</f>
        <v>0.11458333333333334</v>
      </c>
      <c r="F79" s="193">
        <f>IF(H79&gt;0, 'Harvest '!O4," ")</f>
        <v>1.0616191666666668</v>
      </c>
      <c r="G79" s="194">
        <f>IF(H79&gt;0, 'Harvest '!R4," ")</f>
        <v>3.8436160714285719</v>
      </c>
      <c r="H79" s="194">
        <f>'Harvest '!U4</f>
        <v>6.377701567460317</v>
      </c>
    </row>
    <row r="80" spans="1:14" ht="29.25" customHeight="1" x14ac:dyDescent="0.25">
      <c r="A80" s="190"/>
      <c r="B80" s="195" t="str">
        <f>IF(H80&gt;0,(CONCATENATE('Harvest '!C5," with ",'Harvest '!M5))," ")</f>
        <v xml:space="preserve"> </v>
      </c>
      <c r="C80" s="175" t="str">
        <f>IF(H80&gt;0,(1/'Harvest '!E5)," ")</f>
        <v xml:space="preserve"> </v>
      </c>
      <c r="D80" s="133" t="str">
        <f>IF(H80&gt;0,('Harvest '!F5)," ")</f>
        <v xml:space="preserve"> </v>
      </c>
      <c r="E80" s="175" t="str">
        <f t="shared" ref="E80:E82" si="13">IF(H80&gt;0,(1/C80*D80*1.25)," ")</f>
        <v xml:space="preserve"> </v>
      </c>
      <c r="F80" s="193" t="str">
        <f>IF(H80&gt;0, 'Harvest '!O5," ")</f>
        <v xml:space="preserve"> </v>
      </c>
      <c r="G80" s="194" t="str">
        <f>IF(H80&gt;0, 'Harvest '!R5," ")</f>
        <v xml:space="preserve"> </v>
      </c>
      <c r="H80" s="194">
        <f>'Harvest '!U5</f>
        <v>0</v>
      </c>
      <c r="I80" s="190"/>
      <c r="J80" s="190"/>
    </row>
    <row r="81" spans="1:8" s="190" customFormat="1" ht="27" customHeight="1" x14ac:dyDescent="0.25">
      <c r="B81" s="195" t="str">
        <f>IF(H81&gt;0,(CONCATENATE('Harvest '!C6," with ",'Harvest '!M6)),"")</f>
        <v/>
      </c>
      <c r="C81" s="175" t="str">
        <f>IF(H81&gt;0,(1/'Harvest '!E6)," ")</f>
        <v xml:space="preserve"> </v>
      </c>
      <c r="D81" s="133" t="str">
        <f>IF(H81&gt;0,('Harvest '!F6)," ")</f>
        <v xml:space="preserve"> </v>
      </c>
      <c r="E81" s="174" t="str">
        <f t="shared" si="13"/>
        <v xml:space="preserve"> </v>
      </c>
      <c r="F81" s="193" t="str">
        <f>IF(H81&gt;0, 'Harvest '!O6," ")</f>
        <v xml:space="preserve"> </v>
      </c>
      <c r="G81" s="194" t="str">
        <f>IF(H81&gt;0, 'Harvest '!R6," ")</f>
        <v xml:space="preserve"> </v>
      </c>
      <c r="H81" s="194">
        <f>'Harvest '!U6</f>
        <v>0</v>
      </c>
    </row>
    <row r="82" spans="1:8" s="190" customFormat="1" ht="30" customHeight="1" x14ac:dyDescent="0.25">
      <c r="B82" s="195" t="str">
        <f>IF(H82&gt;0,(CONCATENATE('Harvest '!C7," with ",'Harvest '!M7)),"")</f>
        <v>Flat Bed Trailer   with Tractor (120-139 hp) MFWD 130</v>
      </c>
      <c r="C82" s="175">
        <f>IF(H82&gt;0,(1/'Harvest '!E7),"")</f>
        <v>10.638297872340425</v>
      </c>
      <c r="D82" s="133">
        <f>IF(H82&gt;0,('Harvest '!F7)," ")</f>
        <v>1</v>
      </c>
      <c r="E82" s="174">
        <f t="shared" si="13"/>
        <v>0.11749999999999999</v>
      </c>
      <c r="F82" s="193">
        <f>IF(H82&gt;0, 'Harvest '!O7," ")</f>
        <v>0.62899159999999998</v>
      </c>
      <c r="G82" s="194">
        <f>IF(H82&gt;0, 'Harvest '!R7," ")</f>
        <v>0.84599999999999997</v>
      </c>
      <c r="H82" s="194">
        <f>'Harvest '!U7</f>
        <v>6.0821243000000003</v>
      </c>
    </row>
    <row r="83" spans="1:8" ht="14.45" customHeight="1" x14ac:dyDescent="0.25">
      <c r="B83" s="134" t="s">
        <v>404</v>
      </c>
      <c r="C83" s="135">
        <f>SUM(C78:C82)</f>
        <v>27.04557059961315</v>
      </c>
      <c r="D83" s="135">
        <f t="shared" ref="D83:H83" si="14">SUM(D78:D82)</f>
        <v>3</v>
      </c>
      <c r="E83" s="135">
        <f t="shared" si="14"/>
        <v>0.45943121693121697</v>
      </c>
      <c r="F83" s="135">
        <f t="shared" si="14"/>
        <v>6.3714308724867728</v>
      </c>
      <c r="G83" s="271">
        <f t="shared" si="14"/>
        <v>27.447139219576719</v>
      </c>
      <c r="H83" s="271">
        <f t="shared" si="14"/>
        <v>130.14352957116401</v>
      </c>
    </row>
    <row r="84" spans="1:8" x14ac:dyDescent="0.25">
      <c r="A84" s="178"/>
      <c r="B84" s="179"/>
      <c r="C84" s="180"/>
      <c r="D84" s="180"/>
      <c r="E84" s="181"/>
      <c r="F84" s="272"/>
      <c r="G84" s="220"/>
      <c r="H84" s="220"/>
    </row>
    <row r="85" spans="1:8" ht="27" customHeight="1" x14ac:dyDescent="0.25">
      <c r="B85" s="303" t="s">
        <v>559</v>
      </c>
      <c r="C85" s="303"/>
      <c r="D85" s="303"/>
      <c r="E85" s="303"/>
      <c r="F85" s="303"/>
      <c r="G85" s="303"/>
      <c r="H85" s="303"/>
    </row>
    <row r="86" spans="1:8" x14ac:dyDescent="0.25">
      <c r="B86" s="182"/>
      <c r="C86" s="182"/>
      <c r="D86" s="182"/>
      <c r="E86" s="182"/>
      <c r="F86" s="182"/>
      <c r="G86" s="182"/>
      <c r="H86" s="216"/>
    </row>
    <row r="87" spans="1:8" x14ac:dyDescent="0.25">
      <c r="B87" s="297" t="s">
        <v>565</v>
      </c>
      <c r="C87" s="297"/>
      <c r="D87" s="297"/>
      <c r="E87" s="297"/>
      <c r="F87" s="297"/>
      <c r="G87" s="297"/>
      <c r="H87" s="297"/>
    </row>
    <row r="88" spans="1:8" x14ac:dyDescent="0.25">
      <c r="B88" s="298"/>
      <c r="C88" s="298"/>
      <c r="D88" s="298"/>
      <c r="E88" s="298"/>
      <c r="F88" s="298"/>
      <c r="G88" s="298"/>
      <c r="H88" s="298"/>
    </row>
    <row r="89" spans="1:8" x14ac:dyDescent="0.25">
      <c r="B89" s="127"/>
      <c r="C89" s="127"/>
      <c r="D89" s="127"/>
      <c r="E89" s="127"/>
      <c r="F89" s="127"/>
      <c r="G89" s="127"/>
      <c r="H89" s="218"/>
    </row>
    <row r="102" spans="1:8" s="190" customFormat="1" x14ac:dyDescent="0.25">
      <c r="A102"/>
      <c r="B102"/>
      <c r="C102"/>
      <c r="D102"/>
      <c r="E102"/>
      <c r="F102"/>
      <c r="G102"/>
      <c r="H102" s="108"/>
    </row>
    <row r="103" spans="1:8" s="190" customFormat="1" x14ac:dyDescent="0.25">
      <c r="A103"/>
      <c r="B103"/>
      <c r="C103"/>
      <c r="D103"/>
      <c r="E103"/>
      <c r="F103"/>
      <c r="G103"/>
      <c r="H103" s="108"/>
    </row>
    <row r="108" spans="1:8" s="190" customFormat="1" x14ac:dyDescent="0.25">
      <c r="A108"/>
      <c r="B108"/>
      <c r="C108"/>
      <c r="D108"/>
      <c r="E108"/>
      <c r="F108"/>
      <c r="G108"/>
      <c r="H108" s="108"/>
    </row>
    <row r="109" spans="1:8" s="190" customFormat="1" x14ac:dyDescent="0.25">
      <c r="A109"/>
      <c r="B109"/>
      <c r="C109"/>
      <c r="D109"/>
      <c r="E109"/>
      <c r="F109"/>
      <c r="G109"/>
      <c r="H109" s="108"/>
    </row>
    <row r="110" spans="1:8" ht="14.45" customHeight="1" x14ac:dyDescent="0.25"/>
    <row r="111" spans="1:8" s="178" customFormat="1" x14ac:dyDescent="0.25">
      <c r="A111"/>
      <c r="B111"/>
      <c r="C111"/>
      <c r="D111"/>
      <c r="E111"/>
      <c r="F111"/>
      <c r="G111"/>
      <c r="H111" s="108"/>
    </row>
    <row r="112" spans="1:8" ht="29.1" customHeight="1" x14ac:dyDescent="0.25"/>
    <row r="113" ht="25.5" customHeight="1" x14ac:dyDescent="0.25"/>
    <row r="114" ht="14.45" customHeight="1" x14ac:dyDescent="0.25"/>
  </sheetData>
  <mergeCells count="16">
    <mergeCell ref="B65:H65"/>
    <mergeCell ref="B66:H66"/>
    <mergeCell ref="B87:H88"/>
    <mergeCell ref="B38:H38"/>
    <mergeCell ref="B45:E45"/>
    <mergeCell ref="B54:G54"/>
    <mergeCell ref="B55:G55"/>
    <mergeCell ref="B56:G56"/>
    <mergeCell ref="B52:H53"/>
    <mergeCell ref="B85:H85"/>
    <mergeCell ref="B51:H51"/>
    <mergeCell ref="B1:H1"/>
    <mergeCell ref="B4:H4"/>
    <mergeCell ref="B35:E35"/>
    <mergeCell ref="B2:H2"/>
    <mergeCell ref="B57:B58"/>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hyperlink ref="A16" location="weed" display="Weed Detail"/>
    <hyperlink ref="A18" location="insect" display="Insect Detail"/>
    <hyperlink ref="A23" location="preharvmachdet" display="Preharvest Detail"/>
    <hyperlink ref="A26" location="'Harvest '!A1" display="Harvest Detail"/>
    <hyperlink ref="A34" location="Ginning" display="Ginning Detail"/>
    <hyperlink ref="A22" location="Defoliation" display="Defoliation Detail"/>
  </hyperlinks>
  <printOptions horizontalCentered="1"/>
  <pageMargins left="0.7" right="0.7" top="0.75" bottom="0.75" header="0.3" footer="0.3"/>
  <pageSetup scale="83" orientation="portrait"/>
  <headerFooter>
    <oddFooter>&amp;LAg and Applied Economics, 12/2020&amp;R&amp;G</oddFooter>
  </headerFooter>
  <rowBreaks count="1" manualBreakCount="1">
    <brk id="53" min="1" max="7" man="1"/>
  </rowBreaks>
  <ignoredErrors>
    <ignoredError sqref="D33" emptyCellReference="1"/>
  </ignoredError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'Fert, Weed, Insct, Dis'!$K$6:$K$7</xm:f>
          </x14:formula1>
          <xm:sqref>B27</xm:sqref>
        </x14:dataValidation>
        <x14:dataValidation type="list" showInputMessage="1" showErrorMessage="1">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election activeCell="A46" sqref="A46:F46"/>
    </sheetView>
  </sheetViews>
  <sheetFormatPr defaultColWidth="8.85546875" defaultRowHeight="15" x14ac:dyDescent="0.25"/>
  <cols>
    <col min="1" max="1" width="27.7109375" customWidth="1"/>
    <col min="2" max="6" width="8.85546875" customWidth="1"/>
    <col min="8" max="8" width="2.85546875" customWidth="1"/>
    <col min="9" max="9" width="20" bestFit="1" customWidth="1"/>
    <col min="10" max="10" width="8" bestFit="1" customWidth="1"/>
    <col min="11" max="11" width="20.28515625" bestFit="1" customWidth="1"/>
    <col min="12" max="12" width="9" bestFit="1" customWidth="1"/>
  </cols>
  <sheetData>
    <row r="1" spans="1:15" x14ac:dyDescent="0.25">
      <c r="A1" s="307" t="s">
        <v>349</v>
      </c>
      <c r="B1" s="307"/>
      <c r="C1" s="307"/>
      <c r="D1" s="307"/>
      <c r="E1" s="307"/>
      <c r="F1" s="307"/>
      <c r="G1" s="73"/>
      <c r="K1" s="213" t="s">
        <v>481</v>
      </c>
    </row>
    <row r="2" spans="1:15" x14ac:dyDescent="0.25">
      <c r="A2" s="88" t="s">
        <v>353</v>
      </c>
      <c r="B2" s="88" t="s">
        <v>354</v>
      </c>
      <c r="C2" s="88" t="s">
        <v>355</v>
      </c>
      <c r="D2" s="88" t="s">
        <v>356</v>
      </c>
      <c r="E2" s="88" t="s">
        <v>362</v>
      </c>
      <c r="F2" s="88" t="str">
        <f>CONCATENATE("$/",Main!$D$5)</f>
        <v>$/Lb</v>
      </c>
      <c r="G2" s="257"/>
      <c r="K2" s="213" t="s">
        <v>544</v>
      </c>
    </row>
    <row r="3" spans="1:15" x14ac:dyDescent="0.25">
      <c r="A3" s="91" t="s">
        <v>483</v>
      </c>
      <c r="B3" s="91" t="s">
        <v>467</v>
      </c>
      <c r="C3" s="91">
        <v>60</v>
      </c>
      <c r="D3" s="89">
        <v>0.45</v>
      </c>
      <c r="E3" s="89">
        <f t="shared" ref="E3:E8" si="0">D3*C3</f>
        <v>27</v>
      </c>
      <c r="F3" s="90">
        <f t="shared" ref="F3:F8" si="1">E3/yield</f>
        <v>3.5999999999999997E-2</v>
      </c>
      <c r="G3" s="91"/>
      <c r="K3" s="214" t="s">
        <v>545</v>
      </c>
    </row>
    <row r="4" spans="1:15" x14ac:dyDescent="0.25">
      <c r="A4" s="91" t="s">
        <v>350</v>
      </c>
      <c r="B4" s="91" t="s">
        <v>467</v>
      </c>
      <c r="C4" s="91">
        <v>50</v>
      </c>
      <c r="D4" s="212">
        <v>0.38</v>
      </c>
      <c r="E4" s="89">
        <f t="shared" si="0"/>
        <v>19</v>
      </c>
      <c r="F4" s="90">
        <f t="shared" si="1"/>
        <v>2.5333333333333333E-2</v>
      </c>
      <c r="G4" s="91"/>
      <c r="L4" s="190"/>
      <c r="M4" s="190"/>
      <c r="N4" s="190"/>
      <c r="O4" s="190"/>
    </row>
    <row r="5" spans="1:15" x14ac:dyDescent="0.25">
      <c r="A5" s="91" t="s">
        <v>351</v>
      </c>
      <c r="B5" s="91" t="s">
        <v>467</v>
      </c>
      <c r="C5" s="91">
        <v>50</v>
      </c>
      <c r="D5" s="212">
        <v>0.3</v>
      </c>
      <c r="E5" s="89">
        <f t="shared" si="0"/>
        <v>15</v>
      </c>
      <c r="F5" s="90">
        <f t="shared" si="1"/>
        <v>0.02</v>
      </c>
      <c r="G5" s="91"/>
      <c r="K5" s="259" t="s">
        <v>548</v>
      </c>
      <c r="L5" s="190"/>
      <c r="M5" s="190"/>
      <c r="N5" s="190"/>
      <c r="O5" s="190"/>
    </row>
    <row r="6" spans="1:15" x14ac:dyDescent="0.25">
      <c r="A6" s="91" t="s">
        <v>352</v>
      </c>
      <c r="B6" s="91" t="s">
        <v>370</v>
      </c>
      <c r="C6" s="91">
        <v>0.33</v>
      </c>
      <c r="D6" s="212">
        <v>48</v>
      </c>
      <c r="E6" s="89">
        <f t="shared" si="0"/>
        <v>15.84</v>
      </c>
      <c r="F6" s="90">
        <f t="shared" si="1"/>
        <v>2.112E-2</v>
      </c>
      <c r="G6" s="91"/>
      <c r="K6" s="266" t="s">
        <v>547</v>
      </c>
    </row>
    <row r="7" spans="1:15" x14ac:dyDescent="0.25">
      <c r="A7" s="91" t="s">
        <v>466</v>
      </c>
      <c r="B7" s="91" t="s">
        <v>484</v>
      </c>
      <c r="C7" s="91">
        <v>1</v>
      </c>
      <c r="D7" s="212">
        <v>6</v>
      </c>
      <c r="E7" s="89">
        <f t="shared" si="0"/>
        <v>6</v>
      </c>
      <c r="F7" s="90">
        <f t="shared" si="1"/>
        <v>8.0000000000000002E-3</v>
      </c>
      <c r="G7" s="91"/>
      <c r="K7" s="266" t="s">
        <v>546</v>
      </c>
    </row>
    <row r="8" spans="1:15" x14ac:dyDescent="0.25">
      <c r="A8" s="91" t="s">
        <v>487</v>
      </c>
      <c r="B8" s="91" t="s">
        <v>370</v>
      </c>
      <c r="C8" s="91"/>
      <c r="D8" s="89"/>
      <c r="E8" s="89">
        <f t="shared" si="0"/>
        <v>0</v>
      </c>
      <c r="F8" s="90">
        <f t="shared" si="1"/>
        <v>0</v>
      </c>
      <c r="G8" s="91"/>
      <c r="K8" s="190"/>
    </row>
    <row r="9" spans="1:15" x14ac:dyDescent="0.25">
      <c r="A9" s="307" t="s">
        <v>357</v>
      </c>
      <c r="B9" s="307"/>
      <c r="C9" s="307"/>
      <c r="D9" s="307"/>
      <c r="E9" s="73">
        <f>SUM(E3:E8)</f>
        <v>82.84</v>
      </c>
      <c r="F9" s="73">
        <f>SUM(F3:F8)</f>
        <v>0.11045333333333332</v>
      </c>
      <c r="G9" s="73"/>
      <c r="I9" s="132" t="s">
        <v>418</v>
      </c>
      <c r="K9" s="190"/>
    </row>
    <row r="10" spans="1:15" x14ac:dyDescent="0.25">
      <c r="G10" s="221"/>
      <c r="K10" s="190"/>
      <c r="M10" s="108"/>
    </row>
    <row r="11" spans="1:15" x14ac:dyDescent="0.25">
      <c r="A11" s="308" t="s">
        <v>552</v>
      </c>
      <c r="B11" s="308"/>
      <c r="C11" s="308"/>
      <c r="D11" s="308"/>
      <c r="E11" s="308"/>
      <c r="F11" s="308"/>
      <c r="G11" s="228"/>
      <c r="J11" s="190"/>
      <c r="K11" s="190"/>
      <c r="L11" s="190"/>
      <c r="M11" s="108"/>
    </row>
    <row r="12" spans="1:15" x14ac:dyDescent="0.25">
      <c r="A12" s="82" t="s">
        <v>353</v>
      </c>
      <c r="B12" s="82" t="s">
        <v>525</v>
      </c>
      <c r="C12" s="82" t="s">
        <v>354</v>
      </c>
      <c r="D12" s="82" t="s">
        <v>355</v>
      </c>
      <c r="E12" s="82" t="s">
        <v>356</v>
      </c>
      <c r="F12" s="82" t="s">
        <v>362</v>
      </c>
      <c r="G12" s="82" t="str">
        <f>CONCATENATE("$/",Main!$D$5)</f>
        <v>$/Lb</v>
      </c>
      <c r="K12" s="190"/>
      <c r="L12" s="190"/>
      <c r="M12" s="190"/>
    </row>
    <row r="13" spans="1:15" x14ac:dyDescent="0.25">
      <c r="A13" s="87" t="s">
        <v>469</v>
      </c>
      <c r="B13" s="87" t="s">
        <v>526</v>
      </c>
      <c r="C13" s="83" t="s">
        <v>470</v>
      </c>
      <c r="D13" s="83">
        <v>10</v>
      </c>
      <c r="E13" s="84">
        <v>0.33</v>
      </c>
      <c r="F13" s="85">
        <f>E13*D13</f>
        <v>3.3000000000000003</v>
      </c>
      <c r="G13" s="86">
        <f t="shared" ref="G13:G19" si="2">F13/yield</f>
        <v>4.4000000000000003E-3</v>
      </c>
      <c r="K13" s="190"/>
      <c r="L13" s="190"/>
      <c r="M13" s="190"/>
    </row>
    <row r="14" spans="1:15" x14ac:dyDescent="0.25">
      <c r="A14" s="87" t="s">
        <v>498</v>
      </c>
      <c r="B14" s="87"/>
      <c r="C14" s="87" t="s">
        <v>472</v>
      </c>
      <c r="D14" s="87">
        <v>2</v>
      </c>
      <c r="E14" s="85">
        <v>2.75</v>
      </c>
      <c r="F14" s="85">
        <f t="shared" ref="F14:F22" si="3">E14*D14</f>
        <v>5.5</v>
      </c>
      <c r="G14" s="86">
        <f t="shared" si="2"/>
        <v>7.3333333333333332E-3</v>
      </c>
      <c r="K14" s="190"/>
      <c r="L14" s="190"/>
      <c r="M14" s="190"/>
    </row>
    <row r="15" spans="1:15" x14ac:dyDescent="0.25">
      <c r="A15" s="87" t="s">
        <v>502</v>
      </c>
      <c r="B15" s="87" t="s">
        <v>527</v>
      </c>
      <c r="C15" s="87" t="s">
        <v>471</v>
      </c>
      <c r="D15" s="87">
        <v>1</v>
      </c>
      <c r="E15" s="85">
        <v>4.4000000000000004</v>
      </c>
      <c r="F15" s="85">
        <f t="shared" si="3"/>
        <v>4.4000000000000004</v>
      </c>
      <c r="G15" s="86">
        <f t="shared" si="2"/>
        <v>5.8666666666666667E-3</v>
      </c>
      <c r="K15" s="190"/>
      <c r="L15" s="190"/>
      <c r="M15" s="190"/>
    </row>
    <row r="16" spans="1:15" x14ac:dyDescent="0.25">
      <c r="A16" s="87" t="s">
        <v>500</v>
      </c>
      <c r="B16" s="87"/>
      <c r="C16" s="87" t="s">
        <v>471</v>
      </c>
      <c r="D16" s="87">
        <v>1</v>
      </c>
      <c r="E16" s="85">
        <v>13.75</v>
      </c>
      <c r="F16" s="85">
        <f t="shared" si="3"/>
        <v>13.75</v>
      </c>
      <c r="G16" s="86">
        <f t="shared" si="2"/>
        <v>1.8333333333333333E-2</v>
      </c>
      <c r="H16" s="190"/>
      <c r="I16" s="190"/>
      <c r="K16" s="190"/>
      <c r="L16" s="190"/>
      <c r="M16" s="190"/>
    </row>
    <row r="17" spans="1:13" s="190" customFormat="1" x14ac:dyDescent="0.25">
      <c r="A17" s="87" t="s">
        <v>498</v>
      </c>
      <c r="B17" s="87"/>
      <c r="C17" s="87" t="s">
        <v>471</v>
      </c>
      <c r="D17" s="87">
        <v>1</v>
      </c>
      <c r="E17" s="85">
        <f>2*E14</f>
        <v>5.5</v>
      </c>
      <c r="F17" s="85">
        <f t="shared" si="3"/>
        <v>5.5</v>
      </c>
      <c r="G17" s="86">
        <f t="shared" si="2"/>
        <v>7.3333333333333332E-3</v>
      </c>
    </row>
    <row r="18" spans="1:13" s="190" customFormat="1" x14ac:dyDescent="0.25">
      <c r="A18" s="87" t="s">
        <v>502</v>
      </c>
      <c r="B18" s="87" t="s">
        <v>528</v>
      </c>
      <c r="C18" s="87" t="s">
        <v>471</v>
      </c>
      <c r="D18" s="87">
        <v>1</v>
      </c>
      <c r="E18" s="283">
        <v>4.4000000000000004</v>
      </c>
      <c r="F18" s="85">
        <f t="shared" si="3"/>
        <v>4.4000000000000004</v>
      </c>
      <c r="G18" s="86">
        <f t="shared" si="2"/>
        <v>5.8666666666666667E-3</v>
      </c>
    </row>
    <row r="19" spans="1:13" x14ac:dyDescent="0.25">
      <c r="A19" s="87" t="s">
        <v>476</v>
      </c>
      <c r="B19" s="87"/>
      <c r="C19" s="87" t="s">
        <v>472</v>
      </c>
      <c r="D19" s="87">
        <v>1</v>
      </c>
      <c r="E19" s="85">
        <v>7.7</v>
      </c>
      <c r="F19" s="85">
        <f t="shared" si="3"/>
        <v>7.7</v>
      </c>
      <c r="G19" s="86">
        <f t="shared" si="2"/>
        <v>1.0266666666666667E-2</v>
      </c>
      <c r="H19" s="190"/>
      <c r="I19" s="190"/>
      <c r="K19" s="190"/>
      <c r="L19" s="190"/>
      <c r="M19" s="190"/>
    </row>
    <row r="20" spans="1:13" s="190" customFormat="1" x14ac:dyDescent="0.25">
      <c r="A20" s="87" t="s">
        <v>502</v>
      </c>
      <c r="B20" s="87" t="s">
        <v>529</v>
      </c>
      <c r="C20" s="87" t="s">
        <v>471</v>
      </c>
      <c r="D20" s="87">
        <v>1</v>
      </c>
      <c r="E20" s="283">
        <v>4.4000000000000004</v>
      </c>
      <c r="F20" s="85">
        <f t="shared" si="3"/>
        <v>4.4000000000000004</v>
      </c>
      <c r="G20" s="86">
        <f>F20/yield</f>
        <v>5.8666666666666667E-3</v>
      </c>
    </row>
    <row r="21" spans="1:13" s="190" customFormat="1" x14ac:dyDescent="0.25">
      <c r="A21" s="87" t="s">
        <v>530</v>
      </c>
      <c r="B21" s="87"/>
      <c r="C21" s="87" t="s">
        <v>472</v>
      </c>
      <c r="D21" s="87">
        <v>1.5</v>
      </c>
      <c r="E21" s="85">
        <v>2.25</v>
      </c>
      <c r="F21" s="85">
        <f t="shared" si="3"/>
        <v>3.375</v>
      </c>
      <c r="G21" s="86">
        <f>F21/yield</f>
        <v>4.4999999999999997E-3</v>
      </c>
    </row>
    <row r="22" spans="1:13" s="190" customFormat="1" x14ac:dyDescent="0.25">
      <c r="A22" s="87" t="s">
        <v>531</v>
      </c>
      <c r="B22" s="87"/>
      <c r="C22" s="87" t="s">
        <v>470</v>
      </c>
      <c r="D22" s="87">
        <v>7.4999999999999997E-2</v>
      </c>
      <c r="E22" s="85">
        <v>84</v>
      </c>
      <c r="F22" s="85">
        <f t="shared" si="3"/>
        <v>6.3</v>
      </c>
      <c r="G22" s="229">
        <f>F22/yield</f>
        <v>8.3999999999999995E-3</v>
      </c>
      <c r="K22"/>
    </row>
    <row r="23" spans="1:13" x14ac:dyDescent="0.25">
      <c r="A23" s="309" t="s">
        <v>377</v>
      </c>
      <c r="B23" s="308"/>
      <c r="C23" s="308"/>
      <c r="D23" s="308"/>
      <c r="E23" s="308"/>
      <c r="F23" s="74">
        <f>SUM(F13:F22)</f>
        <v>58.625</v>
      </c>
      <c r="G23" s="230">
        <f>SUM(G13:G22)</f>
        <v>7.8166666666666676E-2</v>
      </c>
      <c r="H23" s="190"/>
      <c r="I23" s="190"/>
      <c r="J23" s="190"/>
      <c r="K23" s="190"/>
      <c r="L23" s="190"/>
      <c r="M23" s="190"/>
    </row>
    <row r="24" spans="1:13" x14ac:dyDescent="0.25">
      <c r="K24" s="190"/>
    </row>
    <row r="25" spans="1:13" s="190" customFormat="1" x14ac:dyDescent="0.25">
      <c r="A25" s="308" t="s">
        <v>497</v>
      </c>
      <c r="B25" s="308"/>
      <c r="C25" s="308"/>
      <c r="D25" s="308"/>
      <c r="E25" s="308"/>
      <c r="F25" s="308"/>
      <c r="G25" s="228"/>
    </row>
    <row r="26" spans="1:13" s="190" customFormat="1" x14ac:dyDescent="0.25">
      <c r="A26" s="82" t="s">
        <v>353</v>
      </c>
      <c r="B26" s="270" t="s">
        <v>525</v>
      </c>
      <c r="C26" s="82" t="s">
        <v>354</v>
      </c>
      <c r="D26" s="82" t="s">
        <v>355</v>
      </c>
      <c r="E26" s="82" t="s">
        <v>356</v>
      </c>
      <c r="F26" s="82" t="s">
        <v>362</v>
      </c>
      <c r="G26" s="82" t="str">
        <f>CONCATENATE("$/",Main!$D$5)</f>
        <v>$/Lb</v>
      </c>
    </row>
    <row r="27" spans="1:13" s="190" customFormat="1" x14ac:dyDescent="0.25">
      <c r="A27" s="87" t="s">
        <v>469</v>
      </c>
      <c r="B27" s="87" t="s">
        <v>526</v>
      </c>
      <c r="C27" s="83" t="s">
        <v>470</v>
      </c>
      <c r="D27" s="83">
        <v>10</v>
      </c>
      <c r="E27" s="84">
        <v>0.33</v>
      </c>
      <c r="F27" s="85">
        <f>E27*D27</f>
        <v>3.3000000000000003</v>
      </c>
      <c r="G27" s="86">
        <f t="shared" ref="G27:G28" si="4">F27/yield</f>
        <v>4.4000000000000003E-3</v>
      </c>
    </row>
    <row r="28" spans="1:13" s="190" customFormat="1" x14ac:dyDescent="0.25">
      <c r="A28" s="87" t="s">
        <v>498</v>
      </c>
      <c r="B28" s="87"/>
      <c r="C28" s="87" t="s">
        <v>472</v>
      </c>
      <c r="D28" s="87">
        <v>2</v>
      </c>
      <c r="E28" s="85">
        <v>2.75</v>
      </c>
      <c r="F28" s="85">
        <f t="shared" ref="F28:F36" si="5">E28*D28</f>
        <v>5.5</v>
      </c>
      <c r="G28" s="86">
        <f t="shared" si="4"/>
        <v>7.3333333333333332E-3</v>
      </c>
    </row>
    <row r="29" spans="1:13" s="190" customFormat="1" x14ac:dyDescent="0.25">
      <c r="A29" s="87" t="s">
        <v>502</v>
      </c>
      <c r="B29" s="87" t="s">
        <v>527</v>
      </c>
      <c r="C29" s="87" t="s">
        <v>471</v>
      </c>
      <c r="D29" s="87">
        <v>1</v>
      </c>
      <c r="E29" s="85">
        <v>4.4000000000000004</v>
      </c>
      <c r="F29" s="85">
        <f>E29*D29</f>
        <v>4.4000000000000004</v>
      </c>
      <c r="G29" s="86">
        <f>F29/yield</f>
        <v>5.8666666666666667E-3</v>
      </c>
    </row>
    <row r="30" spans="1:13" s="190" customFormat="1" x14ac:dyDescent="0.25">
      <c r="A30" s="87" t="s">
        <v>503</v>
      </c>
      <c r="B30" s="87"/>
      <c r="C30" s="87" t="s">
        <v>470</v>
      </c>
      <c r="D30" s="87">
        <v>22</v>
      </c>
      <c r="E30" s="85">
        <v>0.5</v>
      </c>
      <c r="F30" s="85">
        <f>E30*D30</f>
        <v>11</v>
      </c>
      <c r="G30" s="86">
        <f>F30/yield</f>
        <v>1.4666666666666666E-2</v>
      </c>
    </row>
    <row r="31" spans="1:13" s="190" customFormat="1" x14ac:dyDescent="0.25">
      <c r="A31" s="87"/>
      <c r="B31" s="87"/>
      <c r="C31" s="87"/>
      <c r="D31" s="87"/>
      <c r="E31" s="87"/>
      <c r="F31" s="87"/>
      <c r="G31" s="87"/>
    </row>
    <row r="32" spans="1:13" s="190" customFormat="1" x14ac:dyDescent="0.25">
      <c r="A32" s="87" t="s">
        <v>499</v>
      </c>
      <c r="B32" s="87" t="s">
        <v>528</v>
      </c>
      <c r="C32" s="87" t="s">
        <v>471</v>
      </c>
      <c r="D32" s="87">
        <v>1</v>
      </c>
      <c r="E32" s="283">
        <v>4.4000000000000004</v>
      </c>
      <c r="F32" s="85">
        <f>E32*D32</f>
        <v>4.4000000000000004</v>
      </c>
      <c r="G32" s="86">
        <f t="shared" ref="G32" si="6">F32/yield</f>
        <v>5.8666666666666667E-3</v>
      </c>
    </row>
    <row r="33" spans="1:13" s="190" customFormat="1" x14ac:dyDescent="0.25">
      <c r="A33" s="87" t="s">
        <v>503</v>
      </c>
      <c r="B33" s="87"/>
      <c r="C33" s="87" t="s">
        <v>470</v>
      </c>
      <c r="D33" s="87">
        <v>22</v>
      </c>
      <c r="E33" s="85">
        <v>0.5</v>
      </c>
      <c r="F33" s="85">
        <f>E33*D33</f>
        <v>11</v>
      </c>
      <c r="G33" s="86">
        <f>F33/yield</f>
        <v>1.4666666666666666E-2</v>
      </c>
    </row>
    <row r="34" spans="1:13" s="190" customFormat="1" x14ac:dyDescent="0.25">
      <c r="A34" s="87" t="s">
        <v>502</v>
      </c>
      <c r="B34" s="87" t="s">
        <v>529</v>
      </c>
      <c r="C34" s="87" t="s">
        <v>471</v>
      </c>
      <c r="D34" s="87">
        <v>1</v>
      </c>
      <c r="E34" s="283">
        <v>4.4000000000000004</v>
      </c>
      <c r="F34" s="85">
        <f>E34*D34</f>
        <v>4.4000000000000004</v>
      </c>
      <c r="G34" s="86">
        <f>F34/yield</f>
        <v>5.8666666666666667E-3</v>
      </c>
    </row>
    <row r="35" spans="1:13" s="190" customFormat="1" x14ac:dyDescent="0.25">
      <c r="A35" s="87" t="s">
        <v>501</v>
      </c>
      <c r="B35" s="87"/>
      <c r="C35" s="87" t="s">
        <v>472</v>
      </c>
      <c r="D35" s="87">
        <v>1.5</v>
      </c>
      <c r="E35" s="85">
        <v>2.25</v>
      </c>
      <c r="F35" s="85">
        <f>E35*D35</f>
        <v>3.375</v>
      </c>
      <c r="G35" s="86">
        <f>F35/yield</f>
        <v>4.4999999999999997E-3</v>
      </c>
    </row>
    <row r="36" spans="1:13" s="190" customFormat="1" x14ac:dyDescent="0.25">
      <c r="A36" s="87" t="s">
        <v>531</v>
      </c>
      <c r="B36" s="87"/>
      <c r="C36" s="87" t="s">
        <v>470</v>
      </c>
      <c r="D36" s="87">
        <v>7.4999999999999997E-2</v>
      </c>
      <c r="E36" s="85">
        <v>84</v>
      </c>
      <c r="F36" s="85">
        <f t="shared" si="5"/>
        <v>6.3</v>
      </c>
      <c r="G36" s="229">
        <f>F36/yield</f>
        <v>8.3999999999999995E-3</v>
      </c>
    </row>
    <row r="37" spans="1:13" s="190" customFormat="1" x14ac:dyDescent="0.25">
      <c r="A37" s="308" t="s">
        <v>377</v>
      </c>
      <c r="B37" s="308"/>
      <c r="C37" s="308"/>
      <c r="D37" s="308"/>
      <c r="E37" s="308"/>
      <c r="F37" s="74">
        <f>SUM(F27:F36)</f>
        <v>53.674999999999997</v>
      </c>
      <c r="G37" s="74">
        <f>SUM(G27:G36)</f>
        <v>7.1566666666666667E-2</v>
      </c>
      <c r="I37" s="132" t="s">
        <v>418</v>
      </c>
    </row>
    <row r="38" spans="1:13" s="190" customFormat="1" x14ac:dyDescent="0.25"/>
    <row r="39" spans="1:13" s="190" customFormat="1" x14ac:dyDescent="0.25">
      <c r="A39" s="306" t="s">
        <v>378</v>
      </c>
      <c r="B39" s="306"/>
      <c r="C39" s="306"/>
      <c r="D39" s="306"/>
      <c r="E39" s="306"/>
      <c r="F39" s="306"/>
      <c r="G39" s="75"/>
    </row>
    <row r="40" spans="1:13" x14ac:dyDescent="0.25">
      <c r="A40" s="76" t="s">
        <v>353</v>
      </c>
      <c r="B40" s="76" t="s">
        <v>354</v>
      </c>
      <c r="C40" s="76" t="s">
        <v>355</v>
      </c>
      <c r="D40" s="76" t="s">
        <v>356</v>
      </c>
      <c r="E40" s="76" t="s">
        <v>362</v>
      </c>
      <c r="F40" s="76" t="str">
        <f>CONCATENATE("$/",Main!$D$5)</f>
        <v>$/Lb</v>
      </c>
      <c r="G40" s="258"/>
      <c r="H40" s="190"/>
      <c r="I40" s="190"/>
      <c r="J40" s="190"/>
      <c r="K40" s="190"/>
      <c r="L40" s="190"/>
      <c r="M40" s="190"/>
    </row>
    <row r="41" spans="1:13" s="190" customFormat="1" x14ac:dyDescent="0.25">
      <c r="A41" s="77" t="s">
        <v>485</v>
      </c>
      <c r="B41" s="77" t="s">
        <v>484</v>
      </c>
      <c r="C41" s="77">
        <v>1</v>
      </c>
      <c r="D41" s="78">
        <v>10</v>
      </c>
      <c r="E41" s="79">
        <f>D41*C41</f>
        <v>10</v>
      </c>
      <c r="F41" s="80">
        <f t="shared" ref="F41:F43" si="7">E41/yield</f>
        <v>1.3333333333333334E-2</v>
      </c>
      <c r="G41" s="80"/>
    </row>
    <row r="42" spans="1:13" s="190" customFormat="1" x14ac:dyDescent="0.25">
      <c r="A42" s="81" t="s">
        <v>563</v>
      </c>
      <c r="B42" s="81" t="s">
        <v>470</v>
      </c>
      <c r="C42" s="81">
        <v>6</v>
      </c>
      <c r="D42" s="79">
        <v>1.1000000000000001</v>
      </c>
      <c r="E42" s="79">
        <f t="shared" ref="E42:E43" si="8">D42*C42</f>
        <v>6.6000000000000005</v>
      </c>
      <c r="F42" s="80">
        <f t="shared" si="7"/>
        <v>8.8000000000000005E-3</v>
      </c>
      <c r="G42" s="80"/>
    </row>
    <row r="43" spans="1:13" s="190" customFormat="1" x14ac:dyDescent="0.25">
      <c r="A43" s="81" t="s">
        <v>564</v>
      </c>
      <c r="B43" s="81" t="s">
        <v>470</v>
      </c>
      <c r="C43" s="81">
        <v>6.4</v>
      </c>
      <c r="D43" s="79">
        <v>0.64800000000000002</v>
      </c>
      <c r="E43" s="79">
        <f t="shared" si="8"/>
        <v>4.1472000000000007</v>
      </c>
      <c r="F43" s="80">
        <f t="shared" si="7"/>
        <v>5.5296000000000008E-3</v>
      </c>
      <c r="G43" s="80"/>
    </row>
    <row r="44" spans="1:13" s="178" customFormat="1" x14ac:dyDescent="0.25">
      <c r="A44" s="306" t="s">
        <v>379</v>
      </c>
      <c r="B44" s="306"/>
      <c r="C44" s="306"/>
      <c r="D44" s="306"/>
      <c r="E44" s="75">
        <f>SUM(E41:E43)</f>
        <v>20.747200000000003</v>
      </c>
      <c r="F44" s="75">
        <f>SUM(F41:F43)</f>
        <v>2.7662933333333334E-2</v>
      </c>
      <c r="G44" s="75"/>
      <c r="H44"/>
      <c r="I44" s="132" t="s">
        <v>418</v>
      </c>
      <c r="J44"/>
      <c r="K44" s="190"/>
      <c r="L44"/>
    </row>
    <row r="45" spans="1:13" x14ac:dyDescent="0.25">
      <c r="H45" s="190"/>
      <c r="I45" s="190"/>
      <c r="K45" s="190"/>
    </row>
    <row r="46" spans="1:13" s="190" customFormat="1" x14ac:dyDescent="0.25">
      <c r="A46" s="310" t="s">
        <v>536</v>
      </c>
      <c r="B46" s="310"/>
      <c r="C46" s="310"/>
      <c r="D46" s="310"/>
      <c r="E46" s="310"/>
      <c r="F46" s="310"/>
      <c r="G46" s="232"/>
    </row>
    <row r="47" spans="1:13" s="190" customFormat="1" x14ac:dyDescent="0.25">
      <c r="A47" s="231" t="s">
        <v>353</v>
      </c>
      <c r="B47" s="231" t="s">
        <v>535</v>
      </c>
      <c r="C47" s="231" t="s">
        <v>355</v>
      </c>
      <c r="D47" s="231" t="s">
        <v>356</v>
      </c>
      <c r="E47" s="231" t="s">
        <v>362</v>
      </c>
      <c r="F47" s="231" t="str">
        <f>CONCATENATE("$/",Main!$D$5)</f>
        <v>$/Lb</v>
      </c>
      <c r="G47" s="79"/>
    </row>
    <row r="48" spans="1:13" s="190" customFormat="1" x14ac:dyDescent="0.25">
      <c r="A48" s="79" t="s">
        <v>532</v>
      </c>
      <c r="B48" s="79" t="s">
        <v>470</v>
      </c>
      <c r="C48" s="81">
        <v>12.33</v>
      </c>
      <c r="D48" s="79">
        <v>0.45</v>
      </c>
      <c r="E48" s="79">
        <f t="shared" ref="E48:E50" si="9">D48*C48</f>
        <v>5.5484999999999998</v>
      </c>
      <c r="F48" s="79">
        <f t="shared" ref="F48:F50" si="10">100*E48/yield</f>
        <v>0.73980000000000001</v>
      </c>
      <c r="G48" s="79"/>
    </row>
    <row r="49" spans="1:11" s="190" customFormat="1" x14ac:dyDescent="0.25">
      <c r="A49" s="79" t="s">
        <v>533</v>
      </c>
      <c r="B49" s="79" t="s">
        <v>470</v>
      </c>
      <c r="C49" s="81">
        <v>2.5</v>
      </c>
      <c r="D49" s="79">
        <v>1.1499999999999999</v>
      </c>
      <c r="E49" s="79">
        <f t="shared" si="9"/>
        <v>2.875</v>
      </c>
      <c r="F49" s="79">
        <f t="shared" si="10"/>
        <v>0.38333333333333336</v>
      </c>
      <c r="G49" s="79"/>
    </row>
    <row r="50" spans="1:11" s="190" customFormat="1" x14ac:dyDescent="0.25">
      <c r="A50" s="79" t="s">
        <v>534</v>
      </c>
      <c r="B50" s="79" t="s">
        <v>470</v>
      </c>
      <c r="C50" s="81">
        <v>29.17</v>
      </c>
      <c r="D50" s="79">
        <v>0.2</v>
      </c>
      <c r="E50" s="79">
        <f t="shared" si="9"/>
        <v>5.8340000000000005</v>
      </c>
      <c r="F50" s="79">
        <f t="shared" si="10"/>
        <v>0.77786666666666682</v>
      </c>
      <c r="G50" s="79"/>
    </row>
    <row r="51" spans="1:11" s="190" customFormat="1" x14ac:dyDescent="0.25">
      <c r="A51" s="310" t="s">
        <v>569</v>
      </c>
      <c r="B51" s="310"/>
      <c r="C51" s="310"/>
      <c r="D51" s="310"/>
      <c r="E51" s="232">
        <f>SUM(E48:E50)</f>
        <v>14.2575</v>
      </c>
      <c r="F51" s="232">
        <f>SUM(F48:F50)</f>
        <v>1.9010000000000002</v>
      </c>
      <c r="G51" s="232"/>
      <c r="I51" s="132" t="s">
        <v>418</v>
      </c>
      <c r="K51"/>
    </row>
    <row r="52" spans="1:11" s="190" customFormat="1" x14ac:dyDescent="0.25">
      <c r="K52"/>
    </row>
    <row r="53" spans="1:11" x14ac:dyDescent="0.25">
      <c r="A53" s="305" t="s">
        <v>505</v>
      </c>
      <c r="B53" s="305"/>
      <c r="C53" s="305"/>
      <c r="D53" s="305"/>
      <c r="E53" s="305"/>
      <c r="F53" s="305"/>
      <c r="G53" s="226"/>
    </row>
    <row r="54" spans="1:11" x14ac:dyDescent="0.25">
      <c r="A54" s="121" t="s">
        <v>353</v>
      </c>
      <c r="B54" s="121" t="s">
        <v>354</v>
      </c>
      <c r="C54" s="121" t="s">
        <v>355</v>
      </c>
      <c r="D54" s="121" t="s">
        <v>356</v>
      </c>
      <c r="E54" s="121" t="s">
        <v>362</v>
      </c>
      <c r="F54" s="121" t="str">
        <f>CONCATENATE("$/",Main!$D$5)</f>
        <v>$/Lb</v>
      </c>
      <c r="G54" s="122" t="s">
        <v>523</v>
      </c>
    </row>
    <row r="55" spans="1:11" x14ac:dyDescent="0.25">
      <c r="A55" s="122" t="s">
        <v>506</v>
      </c>
      <c r="B55" s="122" t="s">
        <v>488</v>
      </c>
      <c r="C55" s="122">
        <f>yield</f>
        <v>750</v>
      </c>
      <c r="D55" s="123">
        <v>0.08</v>
      </c>
      <c r="E55" s="124">
        <f>D55*C55</f>
        <v>60</v>
      </c>
      <c r="F55" s="125">
        <f t="shared" ref="F55:F56" si="11">E55/yield</f>
        <v>0.08</v>
      </c>
      <c r="G55" s="122"/>
    </row>
    <row r="56" spans="1:11" x14ac:dyDescent="0.25">
      <c r="A56" s="126" t="s">
        <v>507</v>
      </c>
      <c r="B56" s="126" t="s">
        <v>496</v>
      </c>
      <c r="C56" s="269">
        <f>C55/496</f>
        <v>1.5120967741935485</v>
      </c>
      <c r="D56" s="124">
        <v>0</v>
      </c>
      <c r="E56" s="124">
        <f t="shared" ref="E56" si="12">D56*C56</f>
        <v>0</v>
      </c>
      <c r="F56" s="125">
        <f t="shared" si="11"/>
        <v>0</v>
      </c>
      <c r="G56" s="225"/>
    </row>
    <row r="57" spans="1:11" x14ac:dyDescent="0.25">
      <c r="A57" s="126" t="s">
        <v>508</v>
      </c>
      <c r="B57" s="126" t="s">
        <v>496</v>
      </c>
      <c r="C57" s="269">
        <f>C55/496</f>
        <v>1.5120967741935485</v>
      </c>
      <c r="D57" s="124">
        <v>10.5</v>
      </c>
      <c r="E57" s="124">
        <f t="shared" ref="E57" si="13">D57*C57</f>
        <v>15.87701612903226</v>
      </c>
      <c r="F57" s="125">
        <f t="shared" ref="F57:F58" si="14">E57/yield</f>
        <v>2.1169354838709679E-2</v>
      </c>
      <c r="G57" s="225"/>
    </row>
    <row r="58" spans="1:11" x14ac:dyDescent="0.25">
      <c r="A58" s="126" t="s">
        <v>555</v>
      </c>
      <c r="B58" s="126" t="s">
        <v>496</v>
      </c>
      <c r="C58" s="269">
        <f>C55/496</f>
        <v>1.5120967741935485</v>
      </c>
      <c r="D58" s="124">
        <f>2+2.25+0.005*Main!B61*496</f>
        <v>6.1099999999999994</v>
      </c>
      <c r="E58" s="124">
        <f>D58*C58</f>
        <v>9.2389112903225801</v>
      </c>
      <c r="F58" s="125">
        <f t="shared" si="14"/>
        <v>1.2318548387096773E-2</v>
      </c>
      <c r="G58" s="225"/>
    </row>
    <row r="59" spans="1:11" x14ac:dyDescent="0.25">
      <c r="A59" s="126" t="s">
        <v>509</v>
      </c>
      <c r="B59" s="126" t="s">
        <v>510</v>
      </c>
      <c r="C59" s="269">
        <f>((1-G59-0.1)/G59)*yield/2000</f>
        <v>0.46875</v>
      </c>
      <c r="D59" s="124">
        <v>120</v>
      </c>
      <c r="E59" s="124">
        <f xml:space="preserve"> -D59*C59</f>
        <v>-56.25</v>
      </c>
      <c r="F59" s="125">
        <f>E59/yield</f>
        <v>-7.4999999999999997E-2</v>
      </c>
      <c r="G59" s="225">
        <v>0.4</v>
      </c>
    </row>
    <row r="60" spans="1:11" s="190" customFormat="1" x14ac:dyDescent="0.25">
      <c r="A60" s="126" t="s">
        <v>495</v>
      </c>
      <c r="B60" s="126" t="s">
        <v>496</v>
      </c>
      <c r="C60" s="269">
        <f>C55/496</f>
        <v>1.5120967741935485</v>
      </c>
      <c r="D60" s="124">
        <v>0.75</v>
      </c>
      <c r="E60" s="124">
        <f xml:space="preserve"> D60*C60</f>
        <v>1.1340725806451615</v>
      </c>
      <c r="F60" s="125">
        <f>E60/yield</f>
        <v>1.5120967741935486E-3</v>
      </c>
      <c r="G60" s="225"/>
    </row>
    <row r="61" spans="1:11" x14ac:dyDescent="0.25">
      <c r="A61" s="305" t="s">
        <v>522</v>
      </c>
      <c r="B61" s="305"/>
      <c r="C61" s="305"/>
      <c r="D61" s="305"/>
      <c r="E61" s="120">
        <f>SUM(E55:E60)</f>
        <v>29.999999999999993</v>
      </c>
      <c r="F61" s="120">
        <f>SUM(F55:F60)</f>
        <v>3.9999999999999994E-2</v>
      </c>
      <c r="G61" s="226"/>
      <c r="I61" s="132" t="s">
        <v>418</v>
      </c>
    </row>
    <row r="62" spans="1:11" x14ac:dyDescent="0.25">
      <c r="G62" s="227"/>
    </row>
  </sheetData>
  <mergeCells count="12">
    <mergeCell ref="A61:D61"/>
    <mergeCell ref="A39:F39"/>
    <mergeCell ref="A44:D44"/>
    <mergeCell ref="A1:F1"/>
    <mergeCell ref="A9:D9"/>
    <mergeCell ref="A11:F11"/>
    <mergeCell ref="A53:F53"/>
    <mergeCell ref="A25:F25"/>
    <mergeCell ref="A46:F46"/>
    <mergeCell ref="A23:E23"/>
    <mergeCell ref="A37:E37"/>
    <mergeCell ref="A51:D51"/>
  </mergeCells>
  <hyperlinks>
    <hyperlink ref="I9" location="main" display="Back to Budget Detail"/>
    <hyperlink ref="I61" location="main" display="Back to Budget Detail"/>
    <hyperlink ref="I37" location="main" display="Back to Budget Detail"/>
    <hyperlink ref="I44" location="main" display="Back to Budget Detail"/>
    <hyperlink ref="I51" location="main" display="Back to Budget Detail"/>
  </hyperlinks>
  <pageMargins left="0.7" right="0.7" top="0.75" bottom="0.75" header="0.3" footer="0.3"/>
  <pageSetup orientation="portrait"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heetViews>
  <sheetFormatPr defaultColWidth="8.85546875" defaultRowHeight="15" x14ac:dyDescent="0.25"/>
  <cols>
    <col min="1" max="1" width="4.7109375" style="43" customWidth="1"/>
    <col min="2" max="2" width="24.42578125" style="43" bestFit="1" customWidth="1"/>
    <col min="3" max="3" width="19.140625" style="43" bestFit="1" customWidth="1"/>
    <col min="4" max="4" width="7.85546875" style="43" bestFit="1" customWidth="1"/>
    <col min="5" max="5" width="8" style="43" bestFit="1" customWidth="1"/>
    <col min="6" max="6" width="9.7109375" style="43" bestFit="1" customWidth="1"/>
    <col min="7" max="7" width="5.42578125" style="43" bestFit="1" customWidth="1"/>
    <col min="8" max="8" width="8" style="43" bestFit="1" customWidth="1"/>
    <col min="9" max="9" width="7.42578125" style="43" bestFit="1" customWidth="1"/>
    <col min="10" max="10" width="8" style="43" bestFit="1" customWidth="1"/>
    <col min="11" max="11" width="7.42578125" style="43" bestFit="1" customWidth="1"/>
    <col min="12" max="12" width="26.42578125" style="148" bestFit="1" customWidth="1"/>
    <col min="13" max="13" width="22.42578125" style="148" bestFit="1" customWidth="1"/>
    <col min="14" max="14" width="9.28515625" style="43" bestFit="1" customWidth="1"/>
    <col min="15" max="15" width="8.42578125" style="43" bestFit="1" customWidth="1"/>
    <col min="16" max="16" width="8" style="43" bestFit="1" customWidth="1"/>
    <col min="17" max="17" width="7.42578125" style="43" bestFit="1" customWidth="1"/>
    <col min="18" max="18" width="8" style="43" bestFit="1" customWidth="1"/>
    <col min="19" max="20" width="11" style="43" bestFit="1" customWidth="1"/>
    <col min="21" max="21" width="9.85546875" style="43" bestFit="1" customWidth="1"/>
    <col min="22" max="16384" width="8.85546875" style="43"/>
  </cols>
  <sheetData>
    <row r="1" spans="1:21" x14ac:dyDescent="0.25">
      <c r="B1" s="296" t="s">
        <v>182</v>
      </c>
      <c r="C1" s="296"/>
      <c r="D1" s="296"/>
      <c r="E1" s="296"/>
      <c r="F1" s="296"/>
      <c r="G1" s="296"/>
      <c r="H1" s="296"/>
      <c r="I1" s="296"/>
      <c r="J1" s="296"/>
      <c r="K1" s="296"/>
      <c r="L1" s="296"/>
      <c r="M1" s="296"/>
      <c r="N1" s="296"/>
      <c r="O1" s="296"/>
      <c r="P1" s="296"/>
      <c r="Q1" s="296"/>
      <c r="R1" s="296"/>
      <c r="S1" s="296"/>
      <c r="T1" s="296"/>
      <c r="U1" s="296"/>
    </row>
    <row r="2" spans="1:21" s="46" customFormat="1" ht="38.25" x14ac:dyDescent="0.2">
      <c r="A2" s="312" t="s">
        <v>169</v>
      </c>
      <c r="B2" s="42" t="s">
        <v>181</v>
      </c>
      <c r="C2" s="42" t="s">
        <v>428</v>
      </c>
      <c r="D2" s="42" t="s">
        <v>176</v>
      </c>
      <c r="E2" s="42" t="s">
        <v>161</v>
      </c>
      <c r="F2" s="42" t="s">
        <v>162</v>
      </c>
      <c r="G2" s="42" t="s">
        <v>163</v>
      </c>
      <c r="H2" s="44" t="s">
        <v>164</v>
      </c>
      <c r="I2" s="44" t="s">
        <v>165</v>
      </c>
      <c r="J2" s="44" t="s">
        <v>95</v>
      </c>
      <c r="K2" s="44" t="s">
        <v>166</v>
      </c>
      <c r="L2" s="147" t="s">
        <v>180</v>
      </c>
      <c r="M2" s="147" t="s">
        <v>427</v>
      </c>
      <c r="N2" s="45" t="s">
        <v>170</v>
      </c>
      <c r="O2" s="45" t="s">
        <v>167</v>
      </c>
      <c r="P2" s="44" t="s">
        <v>164</v>
      </c>
      <c r="Q2" s="44" t="s">
        <v>165</v>
      </c>
      <c r="R2" s="44" t="s">
        <v>405</v>
      </c>
      <c r="S2" s="44" t="s">
        <v>172</v>
      </c>
      <c r="T2" s="44" t="s">
        <v>171</v>
      </c>
      <c r="U2" s="42" t="s">
        <v>168</v>
      </c>
    </row>
    <row r="3" spans="1:21" x14ac:dyDescent="0.25">
      <c r="A3" s="313"/>
      <c r="B3" s="151" t="s">
        <v>539</v>
      </c>
      <c r="C3" s="197" t="str">
        <f t="shared" ref="C3:C14" si="0">IF(B3&gt;0,VLOOKUP($B3,pre_implement,6)," ")</f>
        <v>Disk Harrow 32'</v>
      </c>
      <c r="D3" s="197" t="str">
        <f t="shared" ref="D3:D14" si="1">IF(B3&gt;0,VLOOKUP($B3,pre_implement,5),0)</f>
        <v>32'</v>
      </c>
      <c r="E3" s="253">
        <f t="shared" ref="E3:E14" si="2">IF(B3&gt;0,VLOOKUP($B3,pre_implement,11),0)</f>
        <v>6.1383928571428575E-2</v>
      </c>
      <c r="F3" s="52">
        <v>2</v>
      </c>
      <c r="G3" s="253">
        <f>F3*E3</f>
        <v>0.12276785714285715</v>
      </c>
      <c r="H3" s="57">
        <f t="shared" ref="H3:H14" si="3">IF(B3&gt;0,VLOOKUP($B3,pre_implement,24),0)</f>
        <v>17.055555555555557</v>
      </c>
      <c r="I3" s="57">
        <f>H3*G3</f>
        <v>2.0938740079365084</v>
      </c>
      <c r="J3" s="57">
        <f t="shared" ref="J3:J14" si="4">IF(B3&gt;0,VLOOKUP($B3,pre_implement,31),0)</f>
        <v>49.154111111111106</v>
      </c>
      <c r="K3" s="58">
        <f>J3*G3</f>
        <v>6.0345448908730157</v>
      </c>
      <c r="L3" s="148" t="s">
        <v>512</v>
      </c>
      <c r="M3" s="150" t="str">
        <f t="shared" ref="M3:M14" si="5">IF(K3&gt;0,VLOOKUP($L3,tractor_data,6)," ")</f>
        <v>Tractor (200-249 hp) MFWD 225</v>
      </c>
      <c r="N3" s="253">
        <f t="shared" ref="N3:N7" si="6">IF(L3&gt;0,VLOOKUP($L3,tractor_data,8),0)</f>
        <v>11.581300000000001</v>
      </c>
      <c r="O3" s="253">
        <f>N3*G3</f>
        <v>1.4218113839285715</v>
      </c>
      <c r="P3" s="57">
        <f t="shared" ref="P3:P7" si="7">IF(L3&gt;0,VLOOKUP($L3,tractor_data,17),0)</f>
        <v>16.642857142857142</v>
      </c>
      <c r="Q3" s="57">
        <f>P3*G3</f>
        <v>2.0432079081632653</v>
      </c>
      <c r="R3" s="57">
        <f>I3+Q3</f>
        <v>4.137081916099774</v>
      </c>
      <c r="S3" s="57">
        <f t="shared" ref="S3:S7" si="8">IF(L3&gt;0,VLOOKUP($L3,tractor_data,24),0)</f>
        <v>48.752476190476187</v>
      </c>
      <c r="T3" s="57">
        <f>S3*G3</f>
        <v>5.9852370323129254</v>
      </c>
      <c r="U3" s="57">
        <f>T3+K3</f>
        <v>12.019781923185942</v>
      </c>
    </row>
    <row r="4" spans="1:21" x14ac:dyDescent="0.25">
      <c r="A4" s="313"/>
      <c r="B4" s="197" t="s">
        <v>517</v>
      </c>
      <c r="C4" s="197" t="str">
        <f t="shared" si="0"/>
        <v>Bed-Rip/Disk Rigid 8R-36</v>
      </c>
      <c r="D4" s="197" t="str">
        <f t="shared" si="1"/>
        <v xml:space="preserve"> 8R-36</v>
      </c>
      <c r="E4" s="253">
        <f t="shared" si="2"/>
        <v>7.7030812324929962E-2</v>
      </c>
      <c r="F4" s="52">
        <v>1</v>
      </c>
      <c r="G4" s="253">
        <f t="shared" ref="G4:G14" si="9">F4*E4</f>
        <v>7.7030812324929962E-2</v>
      </c>
      <c r="H4" s="57">
        <f t="shared" si="3"/>
        <v>1.99</v>
      </c>
      <c r="I4" s="57">
        <f t="shared" ref="I4:I14" si="10">H4*G4</f>
        <v>0.15329131652661063</v>
      </c>
      <c r="J4" s="57">
        <f t="shared" si="4"/>
        <v>14.473933333333331</v>
      </c>
      <c r="K4" s="58">
        <f t="shared" ref="K4:K14" si="11">J4*G4</f>
        <v>1.1149388422035478</v>
      </c>
      <c r="L4" s="148" t="s">
        <v>516</v>
      </c>
      <c r="M4" s="196" t="str">
        <f t="shared" si="5"/>
        <v>Tractor (200-249 hp) Track 225</v>
      </c>
      <c r="N4" s="253">
        <f t="shared" si="6"/>
        <v>11.581300000000001</v>
      </c>
      <c r="O4" s="253">
        <f t="shared" ref="O4:O7" si="12">N4*G4</f>
        <v>0.89211694677871145</v>
      </c>
      <c r="P4" s="57">
        <f t="shared" si="7"/>
        <v>19.785714285714285</v>
      </c>
      <c r="Q4" s="57">
        <f t="shared" ref="Q4:Q7" si="13">P4*G4</f>
        <v>1.5241096438575428</v>
      </c>
      <c r="R4" s="57">
        <f t="shared" ref="R4:R7" si="14">I4+Q4</f>
        <v>1.6774009603841533</v>
      </c>
      <c r="S4" s="57">
        <f t="shared" si="8"/>
        <v>57.958952380952383</v>
      </c>
      <c r="T4" s="57">
        <f t="shared" ref="T4:T7" si="15">S4*G4</f>
        <v>4.4646251834066959</v>
      </c>
      <c r="U4" s="57">
        <f t="shared" ref="U4:U7" si="16">T4+K4</f>
        <v>5.5795640256102441</v>
      </c>
    </row>
    <row r="5" spans="1:21" x14ac:dyDescent="0.25">
      <c r="A5" s="313"/>
      <c r="B5" s="197" t="s">
        <v>540</v>
      </c>
      <c r="C5" s="197" t="str">
        <f t="shared" si="0"/>
        <v>Plant &amp; Pre-Folding 12R-36</v>
      </c>
      <c r="D5" s="197" t="str">
        <f t="shared" si="1"/>
        <v>12R-36</v>
      </c>
      <c r="E5" s="253">
        <f t="shared" si="2"/>
        <v>5.6410256410256411E-2</v>
      </c>
      <c r="F5" s="52">
        <v>1</v>
      </c>
      <c r="G5" s="253">
        <f t="shared" si="9"/>
        <v>5.6410256410256411E-2</v>
      </c>
      <c r="H5" s="57">
        <f t="shared" si="3"/>
        <v>34.762500000000003</v>
      </c>
      <c r="I5" s="57">
        <f t="shared" si="10"/>
        <v>1.9609615384615386</v>
      </c>
      <c r="J5" s="57">
        <f t="shared" si="4"/>
        <v>93.56519999999999</v>
      </c>
      <c r="K5" s="58">
        <f t="shared" si="11"/>
        <v>5.2780369230769226</v>
      </c>
      <c r="L5" s="148" t="s">
        <v>512</v>
      </c>
      <c r="M5" s="196" t="str">
        <f t="shared" si="5"/>
        <v>Tractor (200-249 hp) MFWD 225</v>
      </c>
      <c r="N5" s="253">
        <f t="shared" si="6"/>
        <v>11.581300000000001</v>
      </c>
      <c r="O5" s="253">
        <f t="shared" si="12"/>
        <v>0.65330410256410265</v>
      </c>
      <c r="P5" s="57">
        <f t="shared" si="7"/>
        <v>16.642857142857142</v>
      </c>
      <c r="Q5" s="57">
        <f t="shared" si="13"/>
        <v>0.93882783882783882</v>
      </c>
      <c r="R5" s="57">
        <f t="shared" si="14"/>
        <v>2.8997893772893777</v>
      </c>
      <c r="S5" s="57">
        <f t="shared" si="8"/>
        <v>48.752476190476187</v>
      </c>
      <c r="T5" s="57">
        <f t="shared" si="15"/>
        <v>2.7501396825396824</v>
      </c>
      <c r="U5" s="57">
        <f t="shared" si="16"/>
        <v>8.0281766056166042</v>
      </c>
    </row>
    <row r="6" spans="1:21" x14ac:dyDescent="0.25">
      <c r="A6" s="313"/>
      <c r="B6" s="151" t="s">
        <v>521</v>
      </c>
      <c r="C6" s="197" t="str">
        <f t="shared" si="0"/>
        <v>Fert Appl (Liquid)  8R-36</v>
      </c>
      <c r="D6" s="197" t="str">
        <f t="shared" si="1"/>
        <v xml:space="preserve"> 8R-36</v>
      </c>
      <c r="E6" s="253">
        <f t="shared" si="2"/>
        <v>8.1845238095238096E-2</v>
      </c>
      <c r="F6" s="52">
        <v>1</v>
      </c>
      <c r="G6" s="253">
        <f t="shared" si="9"/>
        <v>8.1845238095238096E-2</v>
      </c>
      <c r="H6" s="57">
        <f t="shared" si="3"/>
        <v>13.733333333333333</v>
      </c>
      <c r="I6" s="57">
        <f t="shared" si="10"/>
        <v>1.1240079365079365</v>
      </c>
      <c r="J6" s="57">
        <f t="shared" si="4"/>
        <v>21.2592</v>
      </c>
      <c r="K6" s="58">
        <f t="shared" si="11"/>
        <v>1.7399642857142856</v>
      </c>
      <c r="L6" s="148" t="s">
        <v>473</v>
      </c>
      <c r="M6" s="196" t="str">
        <f t="shared" si="5"/>
        <v>Tractor (180-199 hp) MFWD 190</v>
      </c>
      <c r="N6" s="253">
        <f t="shared" si="6"/>
        <v>9.7797999999999998</v>
      </c>
      <c r="O6" s="253">
        <f t="shared" si="12"/>
        <v>0.80043005952380952</v>
      </c>
      <c r="P6" s="57">
        <f t="shared" si="7"/>
        <v>13.857142857142856</v>
      </c>
      <c r="Q6" s="57">
        <f t="shared" si="13"/>
        <v>1.134141156462585</v>
      </c>
      <c r="R6" s="57">
        <f t="shared" si="14"/>
        <v>2.2581490929705215</v>
      </c>
      <c r="S6" s="57">
        <f t="shared" si="8"/>
        <v>40.592190476190474</v>
      </c>
      <c r="T6" s="57">
        <f t="shared" si="15"/>
        <v>3.3222774943310656</v>
      </c>
      <c r="U6" s="57">
        <f t="shared" si="16"/>
        <v>5.0622417800453512</v>
      </c>
    </row>
    <row r="7" spans="1:21" x14ac:dyDescent="0.25">
      <c r="A7" s="313"/>
      <c r="B7" s="151" t="s">
        <v>538</v>
      </c>
      <c r="C7" s="197" t="str">
        <f t="shared" si="0"/>
        <v>Spray (Direct/Layby)  8R-36</v>
      </c>
      <c r="D7" s="197" t="str">
        <f t="shared" si="1"/>
        <v xml:space="preserve"> 8R-36</v>
      </c>
      <c r="E7" s="253">
        <f t="shared" si="2"/>
        <v>7.0512820512820512E-2</v>
      </c>
      <c r="F7" s="52">
        <v>1</v>
      </c>
      <c r="G7" s="253">
        <f t="shared" si="9"/>
        <v>7.0512820512820512E-2</v>
      </c>
      <c r="H7" s="57">
        <f t="shared" si="3"/>
        <v>7.265625</v>
      </c>
      <c r="I7" s="57">
        <f t="shared" si="10"/>
        <v>0.51231971153846156</v>
      </c>
      <c r="J7" s="57">
        <f t="shared" si="4"/>
        <v>11.997</v>
      </c>
      <c r="K7" s="58">
        <f t="shared" si="11"/>
        <v>0.84594230769230772</v>
      </c>
      <c r="L7" s="148" t="s">
        <v>473</v>
      </c>
      <c r="M7" s="196" t="str">
        <f t="shared" si="5"/>
        <v>Tractor (180-199 hp) MFWD 190</v>
      </c>
      <c r="N7" s="253">
        <f t="shared" si="6"/>
        <v>9.7797999999999998</v>
      </c>
      <c r="O7" s="253">
        <f t="shared" si="12"/>
        <v>0.68960128205128202</v>
      </c>
      <c r="P7" s="57">
        <f t="shared" si="7"/>
        <v>13.857142857142856</v>
      </c>
      <c r="Q7" s="57">
        <f t="shared" si="13"/>
        <v>0.97710622710622697</v>
      </c>
      <c r="R7" s="57">
        <f t="shared" si="14"/>
        <v>1.4894259386446884</v>
      </c>
      <c r="S7" s="57">
        <f t="shared" si="8"/>
        <v>40.592190476190474</v>
      </c>
      <c r="T7" s="57">
        <f t="shared" si="15"/>
        <v>2.8622698412698413</v>
      </c>
      <c r="U7" s="57">
        <f t="shared" si="16"/>
        <v>3.7082121489621489</v>
      </c>
    </row>
    <row r="8" spans="1:21" x14ac:dyDescent="0.25">
      <c r="A8" s="313"/>
      <c r="B8" s="151"/>
      <c r="C8" s="197" t="str">
        <f t="shared" si="0"/>
        <v xml:space="preserve"> </v>
      </c>
      <c r="D8" s="197">
        <f t="shared" si="1"/>
        <v>0</v>
      </c>
      <c r="E8" s="253">
        <f t="shared" si="2"/>
        <v>0</v>
      </c>
      <c r="F8" s="52">
        <v>1</v>
      </c>
      <c r="G8" s="253">
        <f t="shared" si="9"/>
        <v>0</v>
      </c>
      <c r="H8" s="57">
        <f t="shared" si="3"/>
        <v>0</v>
      </c>
      <c r="I8" s="57">
        <f t="shared" si="10"/>
        <v>0</v>
      </c>
      <c r="J8" s="57">
        <f t="shared" si="4"/>
        <v>0</v>
      </c>
      <c r="K8" s="58">
        <f t="shared" si="11"/>
        <v>0</v>
      </c>
      <c r="M8" s="196" t="str">
        <f t="shared" si="5"/>
        <v xml:space="preserve"> </v>
      </c>
      <c r="N8" s="253">
        <f t="shared" ref="N8:N14" si="17">IF(L8&gt;0,VLOOKUP($L8,tractor_data,8),0)</f>
        <v>0</v>
      </c>
      <c r="O8" s="253">
        <f t="shared" ref="O8:O14" si="18">N8*G8</f>
        <v>0</v>
      </c>
      <c r="P8" s="57">
        <f t="shared" ref="P8:P14" si="19">IF(L8&gt;0,VLOOKUP($L8,tractor_data,17),0)</f>
        <v>0</v>
      </c>
      <c r="Q8" s="57">
        <f t="shared" ref="Q8:Q14" si="20">P8*G8</f>
        <v>0</v>
      </c>
      <c r="R8" s="57">
        <f t="shared" ref="R8:R14" si="21">I8+Q8</f>
        <v>0</v>
      </c>
      <c r="S8" s="57">
        <f t="shared" ref="S8:S14" si="22">IF(L8&gt;0,VLOOKUP($L8,tractor_data,24),0)</f>
        <v>0</v>
      </c>
      <c r="T8" s="57">
        <f t="shared" ref="T8:T14" si="23">S8*G8</f>
        <v>0</v>
      </c>
      <c r="U8" s="57">
        <f t="shared" ref="U8:U14" si="24">T8+K8</f>
        <v>0</v>
      </c>
    </row>
    <row r="9" spans="1:21" x14ac:dyDescent="0.25">
      <c r="A9" s="313"/>
      <c r="B9" s="151"/>
      <c r="C9" s="197" t="str">
        <f t="shared" si="0"/>
        <v xml:space="preserve"> </v>
      </c>
      <c r="D9" s="197">
        <f t="shared" si="1"/>
        <v>0</v>
      </c>
      <c r="E9" s="253">
        <f t="shared" si="2"/>
        <v>0</v>
      </c>
      <c r="F9" s="52">
        <v>1</v>
      </c>
      <c r="G9" s="253">
        <f t="shared" si="9"/>
        <v>0</v>
      </c>
      <c r="H9" s="57">
        <f t="shared" si="3"/>
        <v>0</v>
      </c>
      <c r="I9" s="57">
        <f t="shared" si="10"/>
        <v>0</v>
      </c>
      <c r="J9" s="57">
        <f t="shared" si="4"/>
        <v>0</v>
      </c>
      <c r="K9" s="58">
        <f t="shared" si="11"/>
        <v>0</v>
      </c>
      <c r="M9" s="196" t="str">
        <f t="shared" si="5"/>
        <v xml:space="preserve"> </v>
      </c>
      <c r="N9" s="253">
        <f t="shared" si="17"/>
        <v>0</v>
      </c>
      <c r="O9" s="253">
        <f t="shared" si="18"/>
        <v>0</v>
      </c>
      <c r="P9" s="57">
        <f t="shared" si="19"/>
        <v>0</v>
      </c>
      <c r="Q9" s="57">
        <f t="shared" si="20"/>
        <v>0</v>
      </c>
      <c r="R9" s="57">
        <f t="shared" si="21"/>
        <v>0</v>
      </c>
      <c r="S9" s="57">
        <f t="shared" si="22"/>
        <v>0</v>
      </c>
      <c r="T9" s="57">
        <f t="shared" si="23"/>
        <v>0</v>
      </c>
      <c r="U9" s="57">
        <f t="shared" si="24"/>
        <v>0</v>
      </c>
    </row>
    <row r="10" spans="1:21" x14ac:dyDescent="0.25">
      <c r="A10" s="313"/>
      <c r="B10" s="151"/>
      <c r="C10" s="197" t="str">
        <f t="shared" si="0"/>
        <v xml:space="preserve"> </v>
      </c>
      <c r="D10" s="197">
        <f t="shared" si="1"/>
        <v>0</v>
      </c>
      <c r="E10" s="253">
        <f t="shared" si="2"/>
        <v>0</v>
      </c>
      <c r="F10" s="52">
        <v>1</v>
      </c>
      <c r="G10" s="253">
        <f t="shared" si="9"/>
        <v>0</v>
      </c>
      <c r="H10" s="57">
        <f t="shared" si="3"/>
        <v>0</v>
      </c>
      <c r="I10" s="57">
        <f t="shared" si="10"/>
        <v>0</v>
      </c>
      <c r="J10" s="57">
        <f t="shared" si="4"/>
        <v>0</v>
      </c>
      <c r="K10" s="58">
        <f t="shared" si="11"/>
        <v>0</v>
      </c>
      <c r="M10" s="196" t="str">
        <f t="shared" si="5"/>
        <v xml:space="preserve"> </v>
      </c>
      <c r="N10" s="253">
        <f t="shared" si="17"/>
        <v>0</v>
      </c>
      <c r="O10" s="253">
        <f t="shared" si="18"/>
        <v>0</v>
      </c>
      <c r="P10" s="57">
        <f t="shared" si="19"/>
        <v>0</v>
      </c>
      <c r="Q10" s="57">
        <f t="shared" si="20"/>
        <v>0</v>
      </c>
      <c r="R10" s="57">
        <f t="shared" si="21"/>
        <v>0</v>
      </c>
      <c r="S10" s="57">
        <f t="shared" si="22"/>
        <v>0</v>
      </c>
      <c r="T10" s="57">
        <f t="shared" si="23"/>
        <v>0</v>
      </c>
      <c r="U10" s="57">
        <f t="shared" si="24"/>
        <v>0</v>
      </c>
    </row>
    <row r="11" spans="1:21" x14ac:dyDescent="0.25">
      <c r="A11" s="313"/>
      <c r="B11" s="151"/>
      <c r="C11" s="197" t="str">
        <f t="shared" si="0"/>
        <v xml:space="preserve"> </v>
      </c>
      <c r="D11" s="197">
        <f t="shared" si="1"/>
        <v>0</v>
      </c>
      <c r="E11" s="253">
        <f t="shared" si="2"/>
        <v>0</v>
      </c>
      <c r="F11" s="52">
        <v>1</v>
      </c>
      <c r="G11" s="253">
        <f t="shared" si="9"/>
        <v>0</v>
      </c>
      <c r="H11" s="57">
        <f t="shared" si="3"/>
        <v>0</v>
      </c>
      <c r="I11" s="57">
        <f t="shared" si="10"/>
        <v>0</v>
      </c>
      <c r="J11" s="57">
        <f t="shared" si="4"/>
        <v>0</v>
      </c>
      <c r="K11" s="58">
        <f t="shared" si="11"/>
        <v>0</v>
      </c>
      <c r="M11" s="196" t="str">
        <f t="shared" si="5"/>
        <v xml:space="preserve"> </v>
      </c>
      <c r="N11" s="253">
        <f t="shared" si="17"/>
        <v>0</v>
      </c>
      <c r="O11" s="253">
        <f t="shared" si="18"/>
        <v>0</v>
      </c>
      <c r="P11" s="57">
        <f t="shared" si="19"/>
        <v>0</v>
      </c>
      <c r="Q11" s="57">
        <f t="shared" si="20"/>
        <v>0</v>
      </c>
      <c r="R11" s="57">
        <f t="shared" si="21"/>
        <v>0</v>
      </c>
      <c r="S11" s="57">
        <f t="shared" si="22"/>
        <v>0</v>
      </c>
      <c r="T11" s="57">
        <f t="shared" si="23"/>
        <v>0</v>
      </c>
      <c r="U11" s="57">
        <f t="shared" si="24"/>
        <v>0</v>
      </c>
    </row>
    <row r="12" spans="1:21" x14ac:dyDescent="0.25">
      <c r="A12" s="313"/>
      <c r="B12" s="151"/>
      <c r="C12" s="197" t="str">
        <f t="shared" si="0"/>
        <v xml:space="preserve"> </v>
      </c>
      <c r="D12" s="197">
        <f t="shared" si="1"/>
        <v>0</v>
      </c>
      <c r="E12" s="253">
        <f t="shared" si="2"/>
        <v>0</v>
      </c>
      <c r="F12" s="52">
        <v>1</v>
      </c>
      <c r="G12" s="253">
        <f t="shared" si="9"/>
        <v>0</v>
      </c>
      <c r="H12" s="57">
        <f t="shared" si="3"/>
        <v>0</v>
      </c>
      <c r="I12" s="57">
        <f t="shared" si="10"/>
        <v>0</v>
      </c>
      <c r="J12" s="57">
        <f t="shared" si="4"/>
        <v>0</v>
      </c>
      <c r="K12" s="58">
        <f t="shared" si="11"/>
        <v>0</v>
      </c>
      <c r="M12" s="196" t="str">
        <f t="shared" si="5"/>
        <v xml:space="preserve"> </v>
      </c>
      <c r="N12" s="253">
        <f t="shared" si="17"/>
        <v>0</v>
      </c>
      <c r="O12" s="253">
        <f t="shared" si="18"/>
        <v>0</v>
      </c>
      <c r="P12" s="57">
        <f t="shared" si="19"/>
        <v>0</v>
      </c>
      <c r="Q12" s="57">
        <f t="shared" si="20"/>
        <v>0</v>
      </c>
      <c r="R12" s="57">
        <f t="shared" si="21"/>
        <v>0</v>
      </c>
      <c r="S12" s="57">
        <f t="shared" si="22"/>
        <v>0</v>
      </c>
      <c r="T12" s="57">
        <f t="shared" si="23"/>
        <v>0</v>
      </c>
      <c r="U12" s="57">
        <f t="shared" si="24"/>
        <v>0</v>
      </c>
    </row>
    <row r="13" spans="1:21" x14ac:dyDescent="0.25">
      <c r="A13" s="313"/>
      <c r="B13" s="151"/>
      <c r="C13" s="197" t="str">
        <f t="shared" si="0"/>
        <v xml:space="preserve"> </v>
      </c>
      <c r="D13" s="197">
        <f t="shared" si="1"/>
        <v>0</v>
      </c>
      <c r="E13" s="253">
        <f t="shared" si="2"/>
        <v>0</v>
      </c>
      <c r="F13" s="52">
        <v>1</v>
      </c>
      <c r="G13" s="253">
        <f t="shared" si="9"/>
        <v>0</v>
      </c>
      <c r="H13" s="57">
        <f t="shared" si="3"/>
        <v>0</v>
      </c>
      <c r="I13" s="57">
        <f t="shared" si="10"/>
        <v>0</v>
      </c>
      <c r="J13" s="57">
        <f t="shared" si="4"/>
        <v>0</v>
      </c>
      <c r="K13" s="58">
        <f t="shared" si="11"/>
        <v>0</v>
      </c>
      <c r="M13" s="196" t="str">
        <f t="shared" si="5"/>
        <v xml:space="preserve"> </v>
      </c>
      <c r="N13" s="253">
        <f t="shared" si="17"/>
        <v>0</v>
      </c>
      <c r="O13" s="253">
        <f t="shared" si="18"/>
        <v>0</v>
      </c>
      <c r="P13" s="57">
        <f t="shared" si="19"/>
        <v>0</v>
      </c>
      <c r="Q13" s="57">
        <f t="shared" si="20"/>
        <v>0</v>
      </c>
      <c r="R13" s="57">
        <f t="shared" si="21"/>
        <v>0</v>
      </c>
      <c r="S13" s="57">
        <f t="shared" si="22"/>
        <v>0</v>
      </c>
      <c r="T13" s="57">
        <f t="shared" si="23"/>
        <v>0</v>
      </c>
      <c r="U13" s="57">
        <f t="shared" si="24"/>
        <v>0</v>
      </c>
    </row>
    <row r="14" spans="1:21" x14ac:dyDescent="0.25">
      <c r="A14" s="313"/>
      <c r="B14" s="151"/>
      <c r="C14" s="197" t="str">
        <f t="shared" si="0"/>
        <v xml:space="preserve"> </v>
      </c>
      <c r="D14" s="197">
        <f t="shared" si="1"/>
        <v>0</v>
      </c>
      <c r="E14" s="253">
        <f t="shared" si="2"/>
        <v>0</v>
      </c>
      <c r="F14" s="52">
        <v>1</v>
      </c>
      <c r="G14" s="253">
        <f t="shared" si="9"/>
        <v>0</v>
      </c>
      <c r="H14" s="57">
        <f t="shared" si="3"/>
        <v>0</v>
      </c>
      <c r="I14" s="57">
        <f t="shared" si="10"/>
        <v>0</v>
      </c>
      <c r="J14" s="57">
        <f t="shared" si="4"/>
        <v>0</v>
      </c>
      <c r="K14" s="58">
        <f t="shared" si="11"/>
        <v>0</v>
      </c>
      <c r="M14" s="196" t="str">
        <f t="shared" si="5"/>
        <v xml:space="preserve"> </v>
      </c>
      <c r="N14" s="253">
        <f t="shared" si="17"/>
        <v>0</v>
      </c>
      <c r="O14" s="253">
        <f t="shared" si="18"/>
        <v>0</v>
      </c>
      <c r="P14" s="57">
        <f t="shared" si="19"/>
        <v>0</v>
      </c>
      <c r="Q14" s="57">
        <f t="shared" si="20"/>
        <v>0</v>
      </c>
      <c r="R14" s="57">
        <f t="shared" si="21"/>
        <v>0</v>
      </c>
      <c r="S14" s="57">
        <f t="shared" si="22"/>
        <v>0</v>
      </c>
      <c r="T14" s="57">
        <f t="shared" si="23"/>
        <v>0</v>
      </c>
      <c r="U14" s="57">
        <f t="shared" si="24"/>
        <v>0</v>
      </c>
    </row>
    <row r="15" spans="1:21" x14ac:dyDescent="0.25">
      <c r="A15" s="314"/>
      <c r="B15" s="47"/>
      <c r="C15" s="47"/>
      <c r="D15" s="59"/>
      <c r="E15" s="59"/>
      <c r="F15" s="59"/>
      <c r="G15" s="254">
        <f>SUM(G3:G14)</f>
        <v>0.40856698448610218</v>
      </c>
      <c r="H15" s="59"/>
      <c r="I15" s="61"/>
      <c r="J15" s="59"/>
      <c r="K15" s="61"/>
      <c r="L15" s="149"/>
      <c r="M15" s="149"/>
      <c r="N15" s="254"/>
      <c r="O15" s="254">
        <f>SUM(O3:O14)</f>
        <v>4.4572637748464778</v>
      </c>
      <c r="P15" s="59"/>
      <c r="Q15" s="61"/>
      <c r="R15" s="61">
        <f>SUM(R3:R14)</f>
        <v>12.461847285388515</v>
      </c>
      <c r="S15" s="59"/>
      <c r="T15" s="61"/>
      <c r="U15" s="61">
        <f>SUM(U3:U14)</f>
        <v>34.397976483420287</v>
      </c>
    </row>
    <row r="16" spans="1:21" x14ac:dyDescent="0.25">
      <c r="B16" s="132" t="s">
        <v>418</v>
      </c>
      <c r="C16" s="132"/>
    </row>
    <row r="17" spans="1:14" x14ac:dyDescent="0.25">
      <c r="A17" s="51"/>
      <c r="B17" s="296" t="s">
        <v>175</v>
      </c>
      <c r="C17" s="296"/>
      <c r="D17" s="296"/>
      <c r="E17" s="296"/>
      <c r="F17" s="296"/>
      <c r="G17" s="296"/>
      <c r="H17" s="296"/>
      <c r="I17" s="296"/>
      <c r="J17" s="296"/>
      <c r="K17" s="296"/>
      <c r="L17" s="296"/>
      <c r="M17" s="296"/>
      <c r="N17" s="104"/>
    </row>
    <row r="18" spans="1:14" s="48" customFormat="1" ht="38.25" x14ac:dyDescent="0.25">
      <c r="A18" s="311" t="s">
        <v>174</v>
      </c>
      <c r="B18" s="49" t="s">
        <v>183</v>
      </c>
      <c r="C18" s="161" t="s">
        <v>428</v>
      </c>
      <c r="D18" s="49" t="s">
        <v>176</v>
      </c>
      <c r="E18" s="42" t="s">
        <v>161</v>
      </c>
      <c r="F18" s="42" t="s">
        <v>162</v>
      </c>
      <c r="G18" s="42" t="s">
        <v>163</v>
      </c>
      <c r="H18" s="45" t="s">
        <v>170</v>
      </c>
      <c r="I18" s="45" t="s">
        <v>167</v>
      </c>
      <c r="J18" s="44" t="s">
        <v>164</v>
      </c>
      <c r="K18" s="44" t="s">
        <v>165</v>
      </c>
      <c r="L18" s="154" t="s">
        <v>177</v>
      </c>
      <c r="M18" s="154" t="s">
        <v>178</v>
      </c>
      <c r="N18" s="146"/>
    </row>
    <row r="19" spans="1:14" x14ac:dyDescent="0.25">
      <c r="A19" s="311"/>
      <c r="B19" s="152" t="s">
        <v>541</v>
      </c>
      <c r="C19" s="152" t="str">
        <f>IF(B19&lt;&gt;"",VLOOKUP($B19,selfpro_data,6)," ")</f>
        <v>Sprayer  800 gal 80' 250 hp</v>
      </c>
      <c r="D19" s="197" t="str">
        <f>IF(B19&lt;&gt;"",VLOOKUP($B19,selfpro_data,5),0)</f>
        <v>80' 250 hp</v>
      </c>
      <c r="E19" s="251">
        <f>IF(B19&lt;&gt;"",VLOOKUP($B19,selfpro_data,12),0)</f>
        <v>1.3221153846153846E-2</v>
      </c>
      <c r="F19" s="162">
        <v>6</v>
      </c>
      <c r="G19" s="253">
        <f>F19*E19</f>
        <v>7.9326923076923073E-2</v>
      </c>
      <c r="H19" s="251">
        <f>IF(B19&lt;&gt;"",VLOOKUP($B19,selfpro_data,8),0)</f>
        <v>12.8681</v>
      </c>
      <c r="I19" s="253">
        <f>H19*E19</f>
        <v>0.17013112980769229</v>
      </c>
      <c r="J19" s="62">
        <f>IF(B19&lt;&gt;"",VLOOKUP($B19,selfpro_data,25),0)</f>
        <v>15.642857142857142</v>
      </c>
      <c r="K19" s="57">
        <f>J19*G19</f>
        <v>1.2408997252747251</v>
      </c>
      <c r="L19" s="155">
        <f>IF(B19&lt;&gt;"",VLOOKUP($B19,selfpro_data,32),0)</f>
        <v>134.82057142857141</v>
      </c>
      <c r="M19" s="156">
        <f>L19*G19</f>
        <v>10.694901098901097</v>
      </c>
    </row>
    <row r="20" spans="1:14" x14ac:dyDescent="0.25">
      <c r="A20" s="311"/>
      <c r="B20" s="153"/>
      <c r="C20" s="198" t="str">
        <f>IF(B20&lt;&gt;"",VLOOKUP($B20,selfpro_data,6)," ")</f>
        <v xml:space="preserve"> </v>
      </c>
      <c r="D20" s="197">
        <f>IF(B20&lt;&gt;"",VLOOKUP($B20,selfpro_data,5),0)</f>
        <v>0</v>
      </c>
      <c r="E20" s="252">
        <f>IF(B20&lt;&gt;"",VLOOKUP($B20,selfpro_data,12),0)</f>
        <v>0</v>
      </c>
      <c r="F20" s="163">
        <v>1</v>
      </c>
      <c r="G20" s="252">
        <f t="shared" ref="G20:G23" si="25">F20*E20</f>
        <v>0</v>
      </c>
      <c r="H20" s="252">
        <f>IF(B20&lt;&gt;"",VLOOKUP($B20,selfpro_data,8),0)</f>
        <v>0</v>
      </c>
      <c r="I20" s="252">
        <f t="shared" ref="I20:I23" si="26">H20*E20</f>
        <v>0</v>
      </c>
      <c r="J20" s="64">
        <f>IF(B20&lt;&gt;"",VLOOKUP($B20,selfpro_data,25),0)</f>
        <v>0</v>
      </c>
      <c r="K20" s="64">
        <f t="shared" ref="K20:K23" si="27">J20*G20</f>
        <v>0</v>
      </c>
      <c r="L20" s="157">
        <f>IF(B20&lt;&gt;"",VLOOKUP($B20,selfpro_data,32),0)</f>
        <v>0</v>
      </c>
      <c r="M20" s="156">
        <f t="shared" ref="M20:M23" si="28">L20*G20</f>
        <v>0</v>
      </c>
    </row>
    <row r="21" spans="1:14" x14ac:dyDescent="0.25">
      <c r="A21" s="311"/>
      <c r="B21" s="153"/>
      <c r="C21" s="198" t="str">
        <f>IF(B21&lt;&gt;"",VLOOKUP($B21,selfpro_data,6)," ")</f>
        <v xml:space="preserve"> </v>
      </c>
      <c r="D21" s="197">
        <f>IF(B21&lt;&gt;"",VLOOKUP($B21,selfpro_data,5),0)</f>
        <v>0</v>
      </c>
      <c r="E21" s="252">
        <f>IF(B21&lt;&gt;"",VLOOKUP($B21,selfpro_data,12),0)</f>
        <v>0</v>
      </c>
      <c r="F21" s="163">
        <v>1</v>
      </c>
      <c r="G21" s="252">
        <f t="shared" si="25"/>
        <v>0</v>
      </c>
      <c r="H21" s="252">
        <f>IF(B21&lt;&gt;"",VLOOKUP($B21,selfpro_data,8),0)</f>
        <v>0</v>
      </c>
      <c r="I21" s="252">
        <f t="shared" si="26"/>
        <v>0</v>
      </c>
      <c r="J21" s="64">
        <f>IF(B21&lt;&gt;"",VLOOKUP($B21,selfpro_data,25),0)</f>
        <v>0</v>
      </c>
      <c r="K21" s="64">
        <f t="shared" si="27"/>
        <v>0</v>
      </c>
      <c r="L21" s="157">
        <f>IF(B21&lt;&gt;"",VLOOKUP($B21,selfpro_data,32),0)</f>
        <v>0</v>
      </c>
      <c r="M21" s="156">
        <f t="shared" si="28"/>
        <v>0</v>
      </c>
    </row>
    <row r="22" spans="1:14" x14ac:dyDescent="0.25">
      <c r="A22" s="311"/>
      <c r="B22" s="153"/>
      <c r="C22" s="198" t="str">
        <f>IF(B22&lt;&gt;"",VLOOKUP($B22,selfpro_data,6)," ")</f>
        <v xml:space="preserve"> </v>
      </c>
      <c r="D22" s="197">
        <f>IF(B22&lt;&gt;"",VLOOKUP($B22,selfpro_data,5),0)</f>
        <v>0</v>
      </c>
      <c r="E22" s="252">
        <f>IF(B22&lt;&gt;"",VLOOKUP($B22,selfpro_data,12),0)</f>
        <v>0</v>
      </c>
      <c r="F22" s="163">
        <v>1</v>
      </c>
      <c r="G22" s="252">
        <f t="shared" si="25"/>
        <v>0</v>
      </c>
      <c r="H22" s="252">
        <f>IF(B22&lt;&gt;"",VLOOKUP($B22,selfpro_data,8),0)</f>
        <v>0</v>
      </c>
      <c r="I22" s="252">
        <f t="shared" si="26"/>
        <v>0</v>
      </c>
      <c r="J22" s="64">
        <f>IF(B22&lt;&gt;"",VLOOKUP($B22,selfpro_data,25),0)</f>
        <v>0</v>
      </c>
      <c r="K22" s="64">
        <f t="shared" si="27"/>
        <v>0</v>
      </c>
      <c r="L22" s="157">
        <f>IF(B22&lt;&gt;"",VLOOKUP($B22,selfpro_data,32),0)</f>
        <v>0</v>
      </c>
      <c r="M22" s="156">
        <f t="shared" si="28"/>
        <v>0</v>
      </c>
    </row>
    <row r="23" spans="1:14" x14ac:dyDescent="0.25">
      <c r="A23" s="311"/>
      <c r="B23" s="153"/>
      <c r="C23" s="198" t="str">
        <f>IF(B23&lt;&gt;"",VLOOKUP($B23,selfpro_data,6)," ")</f>
        <v xml:space="preserve"> </v>
      </c>
      <c r="D23" s="197">
        <f>IF(B23&lt;&gt;"",VLOOKUP($B23,selfpro_data,5),0)</f>
        <v>0</v>
      </c>
      <c r="E23" s="252">
        <f>IF(B23&lt;&gt;"",VLOOKUP($B23,selfpro_data,12),0)</f>
        <v>0</v>
      </c>
      <c r="F23" s="162">
        <v>1</v>
      </c>
      <c r="G23" s="253">
        <f t="shared" si="25"/>
        <v>0</v>
      </c>
      <c r="H23" s="252">
        <f>IF(B23&lt;&gt;"",VLOOKUP($B23,selfpro_data,8),0)</f>
        <v>0</v>
      </c>
      <c r="I23" s="253">
        <f t="shared" si="26"/>
        <v>0</v>
      </c>
      <c r="J23" s="64">
        <f>IF(B23&lt;&gt;"",VLOOKUP($B23,selfpro_data,25),0)</f>
        <v>0</v>
      </c>
      <c r="K23" s="57">
        <f t="shared" si="27"/>
        <v>0</v>
      </c>
      <c r="L23" s="157">
        <f>IF(B23&lt;&gt;"",VLOOKUP($B23,selfpro_data,32),0)</f>
        <v>0</v>
      </c>
      <c r="M23" s="156">
        <f t="shared" si="28"/>
        <v>0</v>
      </c>
    </row>
    <row r="24" spans="1:14" x14ac:dyDescent="0.25">
      <c r="A24" s="311"/>
      <c r="B24" s="50"/>
      <c r="C24" s="50"/>
      <c r="D24" s="59"/>
      <c r="E24" s="60"/>
      <c r="F24" s="59"/>
      <c r="G24" s="254">
        <f>SUM(G19:G23)</f>
        <v>7.9326923076923073E-2</v>
      </c>
      <c r="H24" s="254"/>
      <c r="I24" s="254">
        <f>SUM(I19:I23)</f>
        <v>0.17013112980769229</v>
      </c>
      <c r="J24" s="65"/>
      <c r="K24" s="65">
        <f>SUM(K19:K23)</f>
        <v>1.2408997252747251</v>
      </c>
      <c r="L24" s="158"/>
      <c r="M24" s="158">
        <f>SUM(M19:M23)</f>
        <v>10.694901098901097</v>
      </c>
    </row>
    <row r="25" spans="1:14" x14ac:dyDescent="0.25">
      <c r="B25" s="132" t="s">
        <v>418</v>
      </c>
      <c r="C25" s="132"/>
    </row>
  </sheetData>
  <mergeCells count="4">
    <mergeCell ref="A18:A24"/>
    <mergeCell ref="A2:A15"/>
    <mergeCell ref="B1:U1"/>
    <mergeCell ref="B17:M17"/>
  </mergeCells>
  <dataValidations count="3">
    <dataValidation type="list" allowBlank="1" showInputMessage="1" showErrorMessage="1" sqref="B3:B14">
      <formula1>Implement</formula1>
    </dataValidation>
    <dataValidation type="list" allowBlank="1" showInputMessage="1" showErrorMessage="1" sqref="L3:L14">
      <formula1>tractor</formula1>
    </dataValidation>
    <dataValidation type="list" allowBlank="1" showInputMessage="1" showErrorMessage="1" sqref="B19:B23">
      <formula1>selfpro</formula1>
    </dataValidation>
  </dataValidations>
  <hyperlinks>
    <hyperlink ref="B16" location="main" display="Back to Budget Detail"/>
    <hyperlink ref="B25" location="main" display="Back to Budget Detail"/>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
  <sheetViews>
    <sheetView topLeftCell="A2" zoomScale="150" zoomScaleNormal="150" zoomScalePageLayoutView="150" workbookViewId="0">
      <selection activeCell="A2" sqref="A2"/>
    </sheetView>
  </sheetViews>
  <sheetFormatPr defaultColWidth="8.85546875" defaultRowHeight="15" x14ac:dyDescent="0.25"/>
  <cols>
    <col min="1" max="1" width="4.7109375" style="43" customWidth="1"/>
    <col min="2" max="2" width="27.85546875" style="43" bestFit="1" customWidth="1"/>
    <col min="3" max="3" width="24" style="43" bestFit="1" customWidth="1"/>
    <col min="4" max="5" width="8.42578125" style="43" bestFit="1" customWidth="1"/>
    <col min="6" max="6" width="9.7109375" style="43" bestFit="1" customWidth="1"/>
    <col min="7" max="9" width="8.42578125" style="43" bestFit="1" customWidth="1"/>
    <col min="10" max="10" width="9" style="43" bestFit="1" customWidth="1"/>
    <col min="11" max="11" width="8.42578125" style="43" bestFit="1" customWidth="1"/>
    <col min="12" max="12" width="26.42578125" style="148" bestFit="1" customWidth="1"/>
    <col min="13" max="13" width="22.42578125" style="148" bestFit="1" customWidth="1"/>
    <col min="14" max="14" width="9.28515625" style="43" bestFit="1" customWidth="1"/>
    <col min="15" max="15" width="8.42578125" style="43" bestFit="1" customWidth="1"/>
    <col min="16" max="16" width="8" style="43" bestFit="1" customWidth="1"/>
    <col min="17" max="18" width="8.42578125" style="43" bestFit="1" customWidth="1"/>
    <col min="19" max="20" width="11" style="43" bestFit="1" customWidth="1"/>
    <col min="21" max="21" width="9.85546875" style="43" bestFit="1" customWidth="1"/>
    <col min="22" max="16384" width="8.85546875" style="43"/>
  </cols>
  <sheetData>
    <row r="2" spans="1:21" x14ac:dyDescent="0.25">
      <c r="A2" s="190"/>
      <c r="B2" s="296" t="s">
        <v>192</v>
      </c>
      <c r="C2" s="296"/>
      <c r="D2" s="296"/>
      <c r="E2" s="296"/>
      <c r="F2" s="296"/>
      <c r="G2" s="296"/>
      <c r="H2" s="296"/>
      <c r="I2" s="296"/>
      <c r="J2" s="296"/>
      <c r="K2" s="296"/>
      <c r="L2" s="296"/>
      <c r="M2" s="296"/>
      <c r="N2" s="296"/>
      <c r="O2" s="296"/>
      <c r="P2" s="296"/>
      <c r="Q2" s="296"/>
      <c r="R2" s="296"/>
      <c r="S2" s="296"/>
      <c r="T2" s="296"/>
      <c r="U2" s="296"/>
    </row>
    <row r="3" spans="1:21" ht="51" x14ac:dyDescent="0.25">
      <c r="A3" s="54"/>
      <c r="B3" s="42" t="s">
        <v>543</v>
      </c>
      <c r="C3" s="42" t="s">
        <v>428</v>
      </c>
      <c r="D3" s="42" t="s">
        <v>176</v>
      </c>
      <c r="E3" s="42" t="s">
        <v>161</v>
      </c>
      <c r="F3" s="42" t="s">
        <v>162</v>
      </c>
      <c r="G3" s="42" t="s">
        <v>163</v>
      </c>
      <c r="H3" s="44" t="s">
        <v>184</v>
      </c>
      <c r="I3" s="44" t="s">
        <v>185</v>
      </c>
      <c r="J3" s="44" t="s">
        <v>186</v>
      </c>
      <c r="K3" s="44" t="s">
        <v>187</v>
      </c>
      <c r="L3" s="42" t="s">
        <v>179</v>
      </c>
      <c r="M3" s="42" t="s">
        <v>428</v>
      </c>
      <c r="N3" s="45" t="s">
        <v>170</v>
      </c>
      <c r="O3" s="45" t="s">
        <v>167</v>
      </c>
      <c r="P3" s="44" t="s">
        <v>190</v>
      </c>
      <c r="Q3" s="44" t="s">
        <v>191</v>
      </c>
      <c r="R3" s="44" t="s">
        <v>405</v>
      </c>
      <c r="S3" s="44" t="s">
        <v>188</v>
      </c>
      <c r="T3" s="44" t="s">
        <v>189</v>
      </c>
      <c r="U3" s="42" t="s">
        <v>168</v>
      </c>
    </row>
    <row r="4" spans="1:21" x14ac:dyDescent="0.25">
      <c r="A4" s="315" t="s">
        <v>203</v>
      </c>
      <c r="B4" s="148" t="s">
        <v>524</v>
      </c>
      <c r="C4" s="200" t="str">
        <f t="shared" ref="C4:C7" si="0">IF(B4&lt;&gt;"",VLOOKUP($B4,harvest_info,6)," ")</f>
        <v>Stalk Shredder-Flail 18'</v>
      </c>
      <c r="D4" s="200" t="str">
        <f t="shared" ref="D4:D7" si="1">IF(B4&lt;&gt;"",VLOOKUP($B4,harvest_info,5),0)</f>
        <v>18'</v>
      </c>
      <c r="E4" s="255">
        <f t="shared" ref="E4:E7" si="2">IF(B4&lt;&gt;"",VLOOKUP($B4,harvest_info,11),0)</f>
        <v>9.1666666666666674E-2</v>
      </c>
      <c r="F4" s="53">
        <v>1</v>
      </c>
      <c r="G4" s="66">
        <f t="shared" ref="G4:G7" si="3">F4*E4</f>
        <v>9.1666666666666674E-2</v>
      </c>
      <c r="H4" s="57">
        <f t="shared" ref="H4:H7" si="4">IF(B4&lt;&gt;"",VLOOKUP($B4,harvest_info,24),0)</f>
        <v>25.287500000000001</v>
      </c>
      <c r="I4" s="57">
        <f t="shared" ref="I4:I7" si="5">H4*G4</f>
        <v>2.3180208333333336</v>
      </c>
      <c r="J4" s="57">
        <f t="shared" ref="J4:J7" si="6">IF(B4&lt;&gt;"",VLOOKUP($B4,harvest_info,31),0)</f>
        <v>20.82245</v>
      </c>
      <c r="K4" s="57">
        <f t="shared" ref="K4:K7" si="7">J4*G4</f>
        <v>1.9087245833333335</v>
      </c>
      <c r="L4" s="197" t="s">
        <v>512</v>
      </c>
      <c r="M4" s="201" t="str">
        <f t="shared" ref="M4:M7" si="8">IF(L4&lt;&gt;"",VLOOKUP($L4,tractor_data,6)," ")</f>
        <v>Tractor (200-249 hp) MFWD 225</v>
      </c>
      <c r="N4" s="255">
        <f t="shared" ref="N4:N7" si="9">IF(L4&lt;&gt;"",VLOOKUP($L4,tractor_data,8),0)</f>
        <v>11.581300000000001</v>
      </c>
      <c r="O4" s="255">
        <f t="shared" ref="O4:O7" si="10">N4*G4</f>
        <v>1.0616191666666668</v>
      </c>
      <c r="P4" s="57">
        <f t="shared" ref="P4:P7" si="11">IF(L4&lt;&gt;"",VLOOKUP($L4,tractor_data,17),0)</f>
        <v>16.642857142857142</v>
      </c>
      <c r="Q4" s="57">
        <f t="shared" ref="Q4:Q7" si="12">G4*P4</f>
        <v>1.5255952380952382</v>
      </c>
      <c r="R4" s="64">
        <f t="shared" ref="R4:R6" si="13">I4+Q4</f>
        <v>3.8436160714285719</v>
      </c>
      <c r="S4" s="57">
        <f t="shared" ref="S4:S7" si="14">IF(L4&lt;&gt;"",VLOOKUP($L4,tractor_data,24),0)</f>
        <v>48.752476190476187</v>
      </c>
      <c r="T4" s="57">
        <f t="shared" ref="T4:T7" si="15">S4*G4</f>
        <v>4.468976984126984</v>
      </c>
      <c r="U4" s="57">
        <f t="shared" ref="U4:U7" si="16">T4+K4</f>
        <v>6.377701567460317</v>
      </c>
    </row>
    <row r="5" spans="1:21" x14ac:dyDescent="0.25">
      <c r="A5" s="315"/>
      <c r="B5" s="148" t="str">
        <f>IF(Main!B27='Fert, Weed, Insct, Dis'!K6,(Implmnt!B438),"")</f>
        <v/>
      </c>
      <c r="C5" s="200" t="str">
        <f>IF(B5&lt;&gt;"",VLOOKUP($B5,harvest_info,6)," ")</f>
        <v xml:space="preserve"> </v>
      </c>
      <c r="D5" s="200">
        <f t="shared" si="1"/>
        <v>0</v>
      </c>
      <c r="E5" s="255">
        <f t="shared" si="2"/>
        <v>0</v>
      </c>
      <c r="F5" s="53">
        <v>1</v>
      </c>
      <c r="G5" s="66">
        <f t="shared" si="3"/>
        <v>0</v>
      </c>
      <c r="H5" s="57">
        <f t="shared" si="4"/>
        <v>0</v>
      </c>
      <c r="I5" s="57">
        <f t="shared" si="5"/>
        <v>0</v>
      </c>
      <c r="J5" s="57">
        <f t="shared" si="6"/>
        <v>0</v>
      </c>
      <c r="K5" s="57">
        <f t="shared" si="7"/>
        <v>0</v>
      </c>
      <c r="L5" s="197" t="str">
        <f>IF(Main!B27='Fert, Weed, Insct, Dis'!K6,(Tractors!B22),"")</f>
        <v/>
      </c>
      <c r="M5" s="201" t="str">
        <f t="shared" si="8"/>
        <v xml:space="preserve"> </v>
      </c>
      <c r="N5" s="255">
        <f t="shared" si="9"/>
        <v>0</v>
      </c>
      <c r="O5" s="255">
        <f t="shared" si="10"/>
        <v>0</v>
      </c>
      <c r="P5" s="57">
        <f t="shared" si="11"/>
        <v>0</v>
      </c>
      <c r="Q5" s="57">
        <f t="shared" si="12"/>
        <v>0</v>
      </c>
      <c r="R5" s="64">
        <f t="shared" si="13"/>
        <v>0</v>
      </c>
      <c r="S5" s="57">
        <f t="shared" si="14"/>
        <v>0</v>
      </c>
      <c r="T5" s="57">
        <f t="shared" si="15"/>
        <v>0</v>
      </c>
      <c r="U5" s="57">
        <f t="shared" si="16"/>
        <v>0</v>
      </c>
    </row>
    <row r="6" spans="1:21" x14ac:dyDescent="0.25">
      <c r="A6" s="315"/>
      <c r="B6" s="148" t="str">
        <f>IF(Main!B27='Fert, Weed, Insct, Dis'!K6,(Implmnt!B394),"")</f>
        <v/>
      </c>
      <c r="C6" s="200" t="str">
        <f t="shared" si="0"/>
        <v xml:space="preserve"> </v>
      </c>
      <c r="D6" s="200">
        <f t="shared" si="1"/>
        <v>0</v>
      </c>
      <c r="E6" s="255">
        <f t="shared" si="2"/>
        <v>0</v>
      </c>
      <c r="F6" s="53">
        <v>1</v>
      </c>
      <c r="G6" s="66">
        <f t="shared" si="3"/>
        <v>0</v>
      </c>
      <c r="H6" s="57">
        <f t="shared" si="4"/>
        <v>0</v>
      </c>
      <c r="I6" s="57">
        <f t="shared" si="5"/>
        <v>0</v>
      </c>
      <c r="J6" s="57">
        <f t="shared" si="6"/>
        <v>0</v>
      </c>
      <c r="K6" s="57">
        <f t="shared" si="7"/>
        <v>0</v>
      </c>
      <c r="L6" s="197" t="str">
        <f>IF(Main!B27='Fert, Weed, Insct, Dis'!K6,(Tractors!B31),"")</f>
        <v/>
      </c>
      <c r="M6" s="201" t="str">
        <f>IF(L6&lt;&gt;"",VLOOKUP($L6,tractor_data,6)," ")</f>
        <v xml:space="preserve"> </v>
      </c>
      <c r="N6" s="255">
        <f t="shared" si="9"/>
        <v>0</v>
      </c>
      <c r="O6" s="255">
        <f>N6*G6</f>
        <v>0</v>
      </c>
      <c r="P6" s="57">
        <f t="shared" si="11"/>
        <v>0</v>
      </c>
      <c r="Q6" s="57">
        <f t="shared" si="12"/>
        <v>0</v>
      </c>
      <c r="R6" s="64">
        <f t="shared" si="13"/>
        <v>0</v>
      </c>
      <c r="S6" s="57">
        <f t="shared" si="14"/>
        <v>0</v>
      </c>
      <c r="T6" s="57">
        <f t="shared" si="15"/>
        <v>0</v>
      </c>
      <c r="U6" s="57">
        <f t="shared" si="16"/>
        <v>0</v>
      </c>
    </row>
    <row r="7" spans="1:21" x14ac:dyDescent="0.25">
      <c r="A7" s="315"/>
      <c r="B7" s="148" t="str">
        <f>IF(Main!B27='Fert, Weed, Insct, Dis'!K6,"",(Implmnt!B410))</f>
        <v xml:space="preserve">0.25, Flat Bed Trailer  </v>
      </c>
      <c r="C7" s="200" t="str">
        <f t="shared" si="0"/>
        <v xml:space="preserve">Flat Bed Trailer  </v>
      </c>
      <c r="D7" s="200">
        <f t="shared" si="1"/>
        <v>0</v>
      </c>
      <c r="E7" s="255">
        <f t="shared" si="2"/>
        <v>9.4E-2</v>
      </c>
      <c r="F7" s="53">
        <v>1</v>
      </c>
      <c r="G7" s="66">
        <f t="shared" si="3"/>
        <v>9.4E-2</v>
      </c>
      <c r="H7" s="57">
        <f t="shared" si="4"/>
        <v>15.68125</v>
      </c>
      <c r="I7" s="57">
        <f t="shared" si="5"/>
        <v>1.4740375000000001</v>
      </c>
      <c r="J7" s="57">
        <f t="shared" si="6"/>
        <v>38.339449999999999</v>
      </c>
      <c r="K7" s="57">
        <f t="shared" si="7"/>
        <v>3.6039083000000001</v>
      </c>
      <c r="L7" s="197" t="str">
        <f>IF(Main!B27='Fert, Weed, Insct, Dis'!K6,"",(Tractors!B26))</f>
        <v>0.23, Tractor (120-139 hp) MFWD 130</v>
      </c>
      <c r="M7" s="201" t="str">
        <f t="shared" si="8"/>
        <v>Tractor (120-139 hp) MFWD 130</v>
      </c>
      <c r="N7" s="255">
        <f t="shared" si="9"/>
        <v>6.6913999999999998</v>
      </c>
      <c r="O7" s="255">
        <f t="shared" si="10"/>
        <v>0.62899159999999998</v>
      </c>
      <c r="P7" s="57">
        <f t="shared" si="11"/>
        <v>9</v>
      </c>
      <c r="Q7" s="57">
        <f t="shared" si="12"/>
        <v>0.84599999999999997</v>
      </c>
      <c r="R7" s="64">
        <f>Q7</f>
        <v>0.84599999999999997</v>
      </c>
      <c r="S7" s="57">
        <f t="shared" si="14"/>
        <v>26.364000000000001</v>
      </c>
      <c r="T7" s="57">
        <f t="shared" si="15"/>
        <v>2.4782160000000002</v>
      </c>
      <c r="U7" s="57">
        <f t="shared" si="16"/>
        <v>6.0821243000000003</v>
      </c>
    </row>
    <row r="8" spans="1:21" x14ac:dyDescent="0.25">
      <c r="A8" s="315"/>
      <c r="B8" s="148"/>
      <c r="C8" s="200" t="str">
        <f t="shared" ref="C8:C9" si="17">IF(B8&lt;&gt;"",VLOOKUP($B8,harvest_info,6)," ")</f>
        <v xml:space="preserve"> </v>
      </c>
      <c r="D8" s="200">
        <f t="shared" ref="D8:D9" si="18">IF(B8&lt;&gt;"",VLOOKUP($B8,harvest_info,5),0)</f>
        <v>0</v>
      </c>
      <c r="E8" s="255">
        <f t="shared" ref="E8:E9" si="19">IF(B8&lt;&gt;"",VLOOKUP($B8,harvest_info,11),0)</f>
        <v>0</v>
      </c>
      <c r="F8" s="53">
        <v>1</v>
      </c>
      <c r="G8" s="66">
        <f t="shared" ref="G8:G9" si="20">F8*E8</f>
        <v>0</v>
      </c>
      <c r="H8" s="57">
        <f t="shared" ref="H8:H9" si="21">IF(B8&lt;&gt;"",VLOOKUP($B8,harvest_info,24),0)</f>
        <v>0</v>
      </c>
      <c r="I8" s="57">
        <f t="shared" ref="I8:I9" si="22">H8*G8</f>
        <v>0</v>
      </c>
      <c r="J8" s="57">
        <f t="shared" ref="J8:J9" si="23">IF(B8&lt;&gt;"",VLOOKUP($B8,harvest_info,31),0)</f>
        <v>0</v>
      </c>
      <c r="K8" s="57">
        <f t="shared" ref="K8:K9" si="24">J8*G8</f>
        <v>0</v>
      </c>
      <c r="L8" s="197"/>
      <c r="M8" s="201"/>
      <c r="N8" s="255">
        <f t="shared" ref="N8:N9" si="25">IF(L8&lt;&gt;"",VLOOKUP($L8,tractor_data,8),0)</f>
        <v>0</v>
      </c>
      <c r="O8" s="255">
        <f t="shared" ref="O8:O9" si="26">N8*G8</f>
        <v>0</v>
      </c>
      <c r="P8" s="57">
        <f t="shared" ref="P8:P9" si="27">IF(L8&lt;&gt;"",VLOOKUP($L8,tractor_data,17),0)</f>
        <v>0</v>
      </c>
      <c r="Q8" s="57">
        <f t="shared" ref="Q8:Q9" si="28">G8*P8</f>
        <v>0</v>
      </c>
      <c r="R8" s="64">
        <f t="shared" ref="R8:R9" si="29">Q8</f>
        <v>0</v>
      </c>
      <c r="S8" s="57">
        <f t="shared" ref="S8:S9" si="30">IF(L8&lt;&gt;"",VLOOKUP($L8,tractor_data,24),0)</f>
        <v>0</v>
      </c>
      <c r="T8" s="57">
        <f t="shared" ref="T8:T9" si="31">S8*G8</f>
        <v>0</v>
      </c>
      <c r="U8" s="57">
        <f t="shared" ref="U8:U9" si="32">T8+K8</f>
        <v>0</v>
      </c>
    </row>
    <row r="9" spans="1:21" ht="23.25" customHeight="1" x14ac:dyDescent="0.25">
      <c r="A9" s="314"/>
      <c r="B9" s="173"/>
      <c r="C9" s="200" t="str">
        <f t="shared" si="17"/>
        <v xml:space="preserve"> </v>
      </c>
      <c r="D9" s="200">
        <f t="shared" si="18"/>
        <v>0</v>
      </c>
      <c r="E9" s="255">
        <f t="shared" si="19"/>
        <v>0</v>
      </c>
      <c r="F9" s="53">
        <v>1</v>
      </c>
      <c r="G9" s="66">
        <f t="shared" si="20"/>
        <v>0</v>
      </c>
      <c r="H9" s="57">
        <f t="shared" si="21"/>
        <v>0</v>
      </c>
      <c r="I9" s="57">
        <f t="shared" si="22"/>
        <v>0</v>
      </c>
      <c r="J9" s="57">
        <f t="shared" si="23"/>
        <v>0</v>
      </c>
      <c r="K9" s="57">
        <f t="shared" si="24"/>
        <v>0</v>
      </c>
      <c r="L9" s="197"/>
      <c r="M9" s="201"/>
      <c r="N9" s="255">
        <f t="shared" si="25"/>
        <v>0</v>
      </c>
      <c r="O9" s="255">
        <f t="shared" si="26"/>
        <v>0</v>
      </c>
      <c r="P9" s="57">
        <f t="shared" si="27"/>
        <v>0</v>
      </c>
      <c r="Q9" s="57">
        <f t="shared" si="28"/>
        <v>0</v>
      </c>
      <c r="R9" s="64">
        <f t="shared" si="29"/>
        <v>0</v>
      </c>
      <c r="S9" s="57">
        <f t="shared" si="30"/>
        <v>0</v>
      </c>
      <c r="T9" s="57">
        <f t="shared" si="31"/>
        <v>0</v>
      </c>
      <c r="U9" s="57">
        <f t="shared" si="32"/>
        <v>0</v>
      </c>
    </row>
    <row r="10" spans="1:21" x14ac:dyDescent="0.25">
      <c r="A10" s="67"/>
      <c r="B10" s="67"/>
      <c r="C10" s="67"/>
      <c r="D10" s="67"/>
      <c r="E10" s="67"/>
      <c r="F10" s="67"/>
      <c r="G10" s="68">
        <f>IF(Main!B27='Fert, Weed, Insct, Dis'!K6,(SUM(G4:G6)),(SUM(G4,G7)))</f>
        <v>0.18566666666666667</v>
      </c>
      <c r="H10" s="67"/>
      <c r="I10" s="69"/>
      <c r="J10" s="67"/>
      <c r="K10" s="69"/>
      <c r="L10" s="67"/>
      <c r="M10" s="67"/>
      <c r="N10" s="256"/>
      <c r="O10" s="256">
        <f>IF(Main!B27='Fert, Weed, Insct, Dis'!K6,(SUM(O4:O6)),(SUM(O4,O7)))</f>
        <v>1.6906107666666668</v>
      </c>
      <c r="P10" s="67"/>
      <c r="Q10" s="69"/>
      <c r="R10" s="69">
        <f>IF(Main!B27='Fert, Weed, Insct, Dis'!K6,(SUM(R4:R6)),(SUM(R4,R7)))</f>
        <v>4.6896160714285715</v>
      </c>
      <c r="S10" s="67"/>
      <c r="T10" s="69"/>
      <c r="U10" s="69">
        <f>IF(Main!B27='Fert, Weed, Insct, Dis'!K6,(SUM(U4:U6)),(SUM(U4,U7)))</f>
        <v>12.459825867460317</v>
      </c>
    </row>
    <row r="11" spans="1:21" x14ac:dyDescent="0.25">
      <c r="A11" s="190"/>
      <c r="B11" s="132"/>
      <c r="C11" s="132"/>
      <c r="D11" s="190"/>
      <c r="E11" s="190"/>
      <c r="F11" s="190"/>
      <c r="G11" s="190"/>
      <c r="H11" s="190"/>
      <c r="I11" s="190"/>
      <c r="J11" s="190"/>
      <c r="K11" s="190"/>
      <c r="L11" s="190"/>
      <c r="M11" s="190"/>
      <c r="N11" s="190"/>
      <c r="O11" s="190"/>
      <c r="P11" s="190"/>
      <c r="Q11" s="190"/>
      <c r="R11" s="190"/>
      <c r="S11" s="190"/>
      <c r="T11" s="190"/>
      <c r="U11" s="190"/>
    </row>
    <row r="12" spans="1:21" x14ac:dyDescent="0.25">
      <c r="B12" s="132" t="s">
        <v>418</v>
      </c>
      <c r="C12" s="132"/>
    </row>
    <row r="13" spans="1:21" x14ac:dyDescent="0.25">
      <c r="A13" s="51"/>
      <c r="B13" s="296" t="s">
        <v>542</v>
      </c>
      <c r="C13" s="296"/>
      <c r="D13" s="296"/>
      <c r="E13" s="296"/>
      <c r="F13" s="296"/>
      <c r="G13" s="296"/>
      <c r="H13" s="296"/>
      <c r="I13" s="296"/>
      <c r="J13" s="296"/>
      <c r="K13" s="296"/>
      <c r="L13" s="296"/>
      <c r="M13" s="296"/>
      <c r="N13" s="104"/>
    </row>
    <row r="14" spans="1:21" ht="38.25" x14ac:dyDescent="0.25">
      <c r="A14" s="311" t="s">
        <v>174</v>
      </c>
      <c r="B14" s="49" t="s">
        <v>183</v>
      </c>
      <c r="C14" s="161" t="s">
        <v>428</v>
      </c>
      <c r="D14" s="49" t="s">
        <v>176</v>
      </c>
      <c r="E14" s="42" t="s">
        <v>161</v>
      </c>
      <c r="F14" s="42" t="s">
        <v>162</v>
      </c>
      <c r="G14" s="42" t="s">
        <v>163</v>
      </c>
      <c r="H14" s="45" t="s">
        <v>170</v>
      </c>
      <c r="I14" s="45" t="s">
        <v>167</v>
      </c>
      <c r="J14" s="44" t="s">
        <v>164</v>
      </c>
      <c r="K14" s="44" t="s">
        <v>165</v>
      </c>
      <c r="L14" s="154" t="s">
        <v>177</v>
      </c>
      <c r="M14" s="154" t="s">
        <v>178</v>
      </c>
      <c r="N14" s="146"/>
      <c r="O14" s="48"/>
      <c r="P14" s="48"/>
      <c r="Q14" s="48"/>
      <c r="R14" s="48"/>
      <c r="S14" s="48"/>
      <c r="T14" s="48"/>
      <c r="U14" s="48"/>
    </row>
    <row r="15" spans="1:21" x14ac:dyDescent="0.25">
      <c r="A15" s="311"/>
      <c r="B15" s="198" t="str">
        <f>IF(Main!B27="Basket Picker",SelfPros!B6,(IF(Main!B27="Round Module Picker",SelfPros!B9)))</f>
        <v>0.14, Cotton Picker/Module 6R-36 (500)</v>
      </c>
      <c r="C15" s="198" t="str">
        <f>IF(B15&lt;&gt;"",VLOOKUP($B15,selfpro_data,6)," ")</f>
        <v>Cotton Picker/Module 6R-36 (500)</v>
      </c>
      <c r="D15" s="200" t="str">
        <f>IF(B15&lt;&gt;"",VLOOKUP($B15,selfpro_data,5),0)</f>
        <v>6R-36 (500)</v>
      </c>
      <c r="E15" s="63">
        <f>IF(B15&lt;&gt;"",VLOOKUP($B15,selfpro_data,12),0)</f>
        <v>0.18187830687830689</v>
      </c>
      <c r="F15" s="163">
        <v>1</v>
      </c>
      <c r="G15" s="63">
        <f t="shared" ref="G15" si="33">F15*E15</f>
        <v>0.18187830687830689</v>
      </c>
      <c r="H15" s="63">
        <f>IF(B15&lt;&gt;"",VLOOKUP($B15,selfpro_data,8),0)</f>
        <v>25.736000000000001</v>
      </c>
      <c r="I15" s="63">
        <f t="shared" ref="I15" si="34">H15*E15</f>
        <v>4.6808201058201062</v>
      </c>
      <c r="J15" s="64">
        <f>IF(B15&lt;&gt;"",VLOOKUP($B15,selfpro_data,25),0)</f>
        <v>125.125</v>
      </c>
      <c r="K15" s="64">
        <f t="shared" ref="K15" si="35">J15*G15</f>
        <v>22.757523148148149</v>
      </c>
      <c r="L15" s="157">
        <f>IF(B15&lt;&gt;"",VLOOKUP($B15,selfpro_data,32),0)</f>
        <v>647.04639999999995</v>
      </c>
      <c r="M15" s="156">
        <f t="shared" ref="M15" si="36">L15*G15</f>
        <v>117.6837037037037</v>
      </c>
    </row>
    <row r="16" spans="1:21" x14ac:dyDescent="0.25">
      <c r="A16" s="311"/>
      <c r="B16" s="198"/>
      <c r="C16" s="198" t="str">
        <f>IF(B16&lt;&gt;"",VLOOKUP($B16,selfpro_data,6)," ")</f>
        <v xml:space="preserve"> </v>
      </c>
      <c r="D16" s="200">
        <f>IF(B16&lt;&gt;"",VLOOKUP($B16,selfpro_data,5),0)</f>
        <v>0</v>
      </c>
      <c r="E16" s="63">
        <f>IF(B16&lt;&gt;"",VLOOKUP($B16,selfpro_data,12),0)</f>
        <v>0</v>
      </c>
      <c r="F16" s="163">
        <v>1</v>
      </c>
      <c r="G16" s="63">
        <f t="shared" ref="G16:G19" si="37">F16*E16</f>
        <v>0</v>
      </c>
      <c r="H16" s="63">
        <f>IF(B16&lt;&gt;"",VLOOKUP($B16,selfpro_data,8),0)</f>
        <v>0</v>
      </c>
      <c r="I16" s="63">
        <f t="shared" ref="I16:I19" si="38">H16*E16</f>
        <v>0</v>
      </c>
      <c r="J16" s="64">
        <f>IF(B16&lt;&gt;"",VLOOKUP($B16,selfpro_data,25),0)</f>
        <v>0</v>
      </c>
      <c r="K16" s="64">
        <f t="shared" ref="K16:K19" si="39">J16*G16</f>
        <v>0</v>
      </c>
      <c r="L16" s="157">
        <f>IF(B16&lt;&gt;"",VLOOKUP($B16,selfpro_data,32),0)</f>
        <v>0</v>
      </c>
      <c r="M16" s="156">
        <f t="shared" ref="M16:M19" si="40">L16*G16</f>
        <v>0</v>
      </c>
    </row>
    <row r="17" spans="1:13" x14ac:dyDescent="0.25">
      <c r="A17" s="311"/>
      <c r="B17" s="198"/>
      <c r="C17" s="198" t="str">
        <f>IF(B17&lt;&gt;"",VLOOKUP($B17,selfpro_data,6)," ")</f>
        <v xml:space="preserve"> </v>
      </c>
      <c r="D17" s="200">
        <f>IF(B17&lt;&gt;"",VLOOKUP($B17,selfpro_data,5),0)</f>
        <v>0</v>
      </c>
      <c r="E17" s="63">
        <f>IF(B17&lt;&gt;"",VLOOKUP($B17,selfpro_data,12),0)</f>
        <v>0</v>
      </c>
      <c r="F17" s="163">
        <v>1</v>
      </c>
      <c r="G17" s="63">
        <f t="shared" si="37"/>
        <v>0</v>
      </c>
      <c r="H17" s="63">
        <f>IF(B17&lt;&gt;"",VLOOKUP($B17,selfpro_data,8),0)</f>
        <v>0</v>
      </c>
      <c r="I17" s="63">
        <f t="shared" si="38"/>
        <v>0</v>
      </c>
      <c r="J17" s="64">
        <f>IF(B17&lt;&gt;"",VLOOKUP($B17,selfpro_data,25),0)</f>
        <v>0</v>
      </c>
      <c r="K17" s="64">
        <f t="shared" si="39"/>
        <v>0</v>
      </c>
      <c r="L17" s="157">
        <f>IF(B17&lt;&gt;"",VLOOKUP($B17,selfpro_data,32),0)</f>
        <v>0</v>
      </c>
      <c r="M17" s="156">
        <f t="shared" si="40"/>
        <v>0</v>
      </c>
    </row>
    <row r="18" spans="1:13" x14ac:dyDescent="0.25">
      <c r="A18" s="311"/>
      <c r="B18" s="198"/>
      <c r="C18" s="198" t="str">
        <f>IF(B18&lt;&gt;"",VLOOKUP($B18,selfpro_data,6)," ")</f>
        <v xml:space="preserve"> </v>
      </c>
      <c r="D18" s="200">
        <f>IF(B18&lt;&gt;"",VLOOKUP($B18,selfpro_data,5),0)</f>
        <v>0</v>
      </c>
      <c r="E18" s="63">
        <f>IF(B18&lt;&gt;"",VLOOKUP($B18,selfpro_data,12),0)</f>
        <v>0</v>
      </c>
      <c r="F18" s="163">
        <v>1</v>
      </c>
      <c r="G18" s="63">
        <f t="shared" si="37"/>
        <v>0</v>
      </c>
      <c r="H18" s="63">
        <f>IF(B18&lt;&gt;"",VLOOKUP($B18,selfpro_data,8),0)</f>
        <v>0</v>
      </c>
      <c r="I18" s="63">
        <f t="shared" si="38"/>
        <v>0</v>
      </c>
      <c r="J18" s="64">
        <f>IF(B18&lt;&gt;"",VLOOKUP($B18,selfpro_data,25),0)</f>
        <v>0</v>
      </c>
      <c r="K18" s="64">
        <f t="shared" si="39"/>
        <v>0</v>
      </c>
      <c r="L18" s="157">
        <f>IF(B18&lt;&gt;"",VLOOKUP($B18,selfpro_data,32),0)</f>
        <v>0</v>
      </c>
      <c r="M18" s="156">
        <f t="shared" si="40"/>
        <v>0</v>
      </c>
    </row>
    <row r="19" spans="1:13" x14ac:dyDescent="0.25">
      <c r="A19" s="311"/>
      <c r="B19" s="198"/>
      <c r="C19" s="198" t="str">
        <f>IF(B19&lt;&gt;"",VLOOKUP($B19,selfpro_data,6)," ")</f>
        <v xml:space="preserve"> </v>
      </c>
      <c r="D19" s="200">
        <f>IF(B19&lt;&gt;"",VLOOKUP($B19,selfpro_data,5),0)</f>
        <v>0</v>
      </c>
      <c r="E19" s="63">
        <f>IF(B19&lt;&gt;"",VLOOKUP($B19,selfpro_data,12),0)</f>
        <v>0</v>
      </c>
      <c r="F19" s="162">
        <v>1</v>
      </c>
      <c r="G19" s="56">
        <f t="shared" si="37"/>
        <v>0</v>
      </c>
      <c r="H19" s="63">
        <f>IF(B19&lt;&gt;"",VLOOKUP($B19,selfpro_data,8),0)</f>
        <v>0</v>
      </c>
      <c r="I19" s="56">
        <f t="shared" si="38"/>
        <v>0</v>
      </c>
      <c r="J19" s="64">
        <f>IF(B19&lt;&gt;"",VLOOKUP($B19,selfpro_data,25),0)</f>
        <v>0</v>
      </c>
      <c r="K19" s="57">
        <f t="shared" si="39"/>
        <v>0</v>
      </c>
      <c r="L19" s="157">
        <f>IF(B19&lt;&gt;"",VLOOKUP($B19,selfpro_data,32),0)</f>
        <v>0</v>
      </c>
      <c r="M19" s="156">
        <f t="shared" si="40"/>
        <v>0</v>
      </c>
    </row>
    <row r="20" spans="1:13" x14ac:dyDescent="0.25">
      <c r="A20" s="311"/>
      <c r="B20" s="50"/>
      <c r="C20" s="50"/>
      <c r="D20" s="59"/>
      <c r="E20" s="60"/>
      <c r="F20" s="59"/>
      <c r="G20" s="254">
        <f>SUM(G15:G19)</f>
        <v>0.18187830687830689</v>
      </c>
      <c r="H20" s="254"/>
      <c r="I20" s="254">
        <f t="shared" ref="I20" si="41">SUM(I15:I19)</f>
        <v>4.6808201058201062</v>
      </c>
      <c r="J20" s="254"/>
      <c r="K20" s="65">
        <f>SUM(K15:K19)</f>
        <v>22.757523148148149</v>
      </c>
      <c r="L20" s="158"/>
      <c r="M20" s="158">
        <f>SUM(M15:M19)</f>
        <v>117.6837037037037</v>
      </c>
    </row>
    <row r="21" spans="1:13" x14ac:dyDescent="0.25">
      <c r="B21" s="132" t="s">
        <v>418</v>
      </c>
      <c r="C21" s="132"/>
    </row>
  </sheetData>
  <dataConsolidate/>
  <mergeCells count="4">
    <mergeCell ref="B2:U2"/>
    <mergeCell ref="B13:M13"/>
    <mergeCell ref="A14:A20"/>
    <mergeCell ref="A4:A9"/>
  </mergeCells>
  <dataValidations count="3">
    <dataValidation type="list" allowBlank="1" showInputMessage="1" showErrorMessage="1" sqref="B16:B19 B15">
      <formula1>picker</formula1>
    </dataValidation>
    <dataValidation type="list" allowBlank="1" showInputMessage="1" showErrorMessage="1" sqref="B4:B9">
      <formula1>harvest</formula1>
    </dataValidation>
    <dataValidation type="list" allowBlank="1" showInputMessage="1" showErrorMessage="1" sqref="L4 L8:L9 L5 L6 L7">
      <formula1>tractor</formula1>
    </dataValidation>
  </dataValidations>
  <hyperlinks>
    <hyperlink ref="B12" location="main" display="Back to Budget Detail"/>
    <hyperlink ref="B21" location="main" display="Back to Budget Detail"/>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3"/>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 bestFit="1" customWidth="1"/>
    <col min="2" max="2" width="32.85546875" style="1" bestFit="1" customWidth="1"/>
    <col min="3" max="3" width="3.42578125" style="142" bestFit="1" customWidth="1"/>
    <col min="4" max="4" width="2" style="142" bestFit="1" customWidth="1"/>
    <col min="5" max="5" width="14.42578125" style="138" bestFit="1" customWidth="1"/>
    <col min="6" max="6" width="9" style="138" bestFit="1" customWidth="1"/>
    <col min="7" max="7" width="18.28515625" style="138" bestFit="1" customWidth="1"/>
    <col min="8" max="8" width="11" style="30" bestFit="1" customWidth="1"/>
    <col min="9" max="10" width="5" style="1" bestFit="1" customWidth="1"/>
    <col min="11" max="11" width="3" style="1" bestFit="1" customWidth="1"/>
    <col min="12" max="12" width="8.140625" style="4"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318" t="s">
        <v>431</v>
      </c>
      <c r="B1" s="319"/>
      <c r="C1" s="320" t="s">
        <v>127</v>
      </c>
      <c r="D1" s="321"/>
      <c r="E1" s="321"/>
      <c r="F1" s="184">
        <v>0.09</v>
      </c>
    </row>
    <row r="2" spans="1:35" ht="15.75" thickBot="1" x14ac:dyDescent="0.3">
      <c r="C2" s="322" t="s">
        <v>126</v>
      </c>
      <c r="D2" s="323"/>
      <c r="E2" s="323"/>
      <c r="F2" s="185">
        <v>2.4E-2</v>
      </c>
      <c r="G2" s="137">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x14ac:dyDescent="0.25">
      <c r="C3" s="1"/>
      <c r="D3" s="183"/>
      <c r="E3" s="1"/>
      <c r="R3" s="316" t="s">
        <v>125</v>
      </c>
      <c r="S3" s="316"/>
      <c r="T3" s="316"/>
      <c r="U3" s="316"/>
      <c r="V3" s="316"/>
      <c r="W3" s="316"/>
      <c r="X3" s="317" t="s">
        <v>124</v>
      </c>
      <c r="Y3" s="317"/>
    </row>
    <row r="4" spans="1:35" s="15" customFormat="1" ht="11.25" x14ac:dyDescent="0.2">
      <c r="A4" s="26"/>
      <c r="B4" s="26" t="s">
        <v>122</v>
      </c>
      <c r="C4" s="139" t="s">
        <v>123</v>
      </c>
      <c r="D4" s="140" t="s">
        <v>425</v>
      </c>
      <c r="E4" s="141" t="s">
        <v>121</v>
      </c>
      <c r="F4" s="141" t="s">
        <v>120</v>
      </c>
      <c r="G4" s="141" t="s">
        <v>426</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x14ac:dyDescent="0.25">
      <c r="A5" s="207">
        <v>65</v>
      </c>
      <c r="B5" s="1" t="str">
        <f t="shared" ref="B5:B68" si="0">CONCATENATE(C5,D5,E5,F5)</f>
        <v>0.01, Bed-Disk  (Hipper)  4R-36</v>
      </c>
      <c r="C5" s="142">
        <v>0.01</v>
      </c>
      <c r="D5" s="138" t="s">
        <v>424</v>
      </c>
      <c r="E5" s="138" t="s">
        <v>442</v>
      </c>
      <c r="F5" s="138" t="s">
        <v>195</v>
      </c>
      <c r="G5" s="138" t="str">
        <f t="shared" ref="G5:G68" si="1">CONCATENATE(E5,F5)</f>
        <v>Bed-Disk  (Hipper)  4R-36</v>
      </c>
      <c r="H5" s="30">
        <v>10500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217.93201730159089</v>
      </c>
      <c r="W5" s="9">
        <f t="shared" ref="W5:W68" si="5">V5/P5</f>
        <v>1.3620751081349431</v>
      </c>
      <c r="X5" s="8">
        <f t="shared" ref="X5:X68" si="6">(H5*N5/100)/O5</f>
        <v>420</v>
      </c>
      <c r="Y5" s="7">
        <f t="shared" ref="Y5:Y68" si="7">X5/P5</f>
        <v>2.625</v>
      </c>
      <c r="Z5" s="2">
        <f t="shared" ref="Z5:Z68" si="8">H5*M5/100</f>
        <v>3150</v>
      </c>
      <c r="AA5" s="2">
        <f t="shared" ref="AA5:AA68" si="9">(H5-Z5)/O5</f>
        <v>735</v>
      </c>
      <c r="AB5" s="2">
        <f t="shared" ref="AB5:AB68" si="10">(Z5+H5)/2</f>
        <v>6825</v>
      </c>
      <c r="AC5" s="6">
        <f t="shared" ref="AC5:AC68" si="11">AB5*intir</f>
        <v>614.25</v>
      </c>
      <c r="AD5" s="6">
        <f t="shared" ref="AD5:AD68" si="12">AB5*itr</f>
        <v>163.80000000000001</v>
      </c>
      <c r="AE5" s="6">
        <f t="shared" ref="AE5:AE68" si="13">AA5+AC5+AD5</f>
        <v>1513.05</v>
      </c>
      <c r="AF5" s="5">
        <f t="shared" ref="AF5:AF68" si="14">AE5/P5</f>
        <v>9.4565625000000004</v>
      </c>
    </row>
    <row r="6" spans="1:35" x14ac:dyDescent="0.25">
      <c r="A6" s="207">
        <v>66</v>
      </c>
      <c r="B6" s="1" t="str">
        <f t="shared" si="0"/>
        <v>0.02, Bed-Disk  (Hipper)  6R-30</v>
      </c>
      <c r="C6" s="142">
        <v>0.02</v>
      </c>
      <c r="D6" s="138" t="s">
        <v>424</v>
      </c>
      <c r="E6" s="138" t="s">
        <v>442</v>
      </c>
      <c r="F6" s="138" t="s">
        <v>53</v>
      </c>
      <c r="G6" s="138" t="str">
        <f t="shared" si="1"/>
        <v>Bed-Disk  (Hipper)  6R-30</v>
      </c>
      <c r="H6" s="284">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x14ac:dyDescent="0.25">
      <c r="A7" s="207">
        <v>67</v>
      </c>
      <c r="B7" s="1" t="str">
        <f t="shared" si="0"/>
        <v>0.03, Bed-Disk  (Hipper)  6R-36</v>
      </c>
      <c r="C7" s="142">
        <v>0.03</v>
      </c>
      <c r="D7" s="138" t="s">
        <v>424</v>
      </c>
      <c r="E7" s="138" t="s">
        <v>442</v>
      </c>
      <c r="F7" s="138" t="s">
        <v>196</v>
      </c>
      <c r="G7" s="138" t="str">
        <f t="shared" si="1"/>
        <v>Bed-Disk  (Hipper)  6R-36</v>
      </c>
      <c r="H7" s="30">
        <v>16200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336.23796955102597</v>
      </c>
      <c r="W7" s="9">
        <f t="shared" si="5"/>
        <v>2.1014873096939124</v>
      </c>
      <c r="X7" s="8">
        <f t="shared" si="6"/>
        <v>648</v>
      </c>
      <c r="Y7" s="7">
        <f t="shared" si="7"/>
        <v>4.05</v>
      </c>
      <c r="Z7" s="2">
        <f t="shared" si="8"/>
        <v>4860</v>
      </c>
      <c r="AA7" s="2">
        <f t="shared" si="9"/>
        <v>1134</v>
      </c>
      <c r="AB7" s="2">
        <f t="shared" si="10"/>
        <v>10530</v>
      </c>
      <c r="AC7" s="6">
        <f t="shared" si="11"/>
        <v>947.69999999999993</v>
      </c>
      <c r="AD7" s="6">
        <f t="shared" si="12"/>
        <v>252.72</v>
      </c>
      <c r="AE7" s="6">
        <f t="shared" si="13"/>
        <v>2334.4199999999996</v>
      </c>
      <c r="AF7" s="5">
        <f t="shared" si="14"/>
        <v>14.590124999999997</v>
      </c>
    </row>
    <row r="8" spans="1:35" x14ac:dyDescent="0.25">
      <c r="A8" s="207">
        <v>68</v>
      </c>
      <c r="B8" s="1" t="str">
        <f t="shared" si="0"/>
        <v>0.04, Bed-Disk  (Hipper)  8R-30</v>
      </c>
      <c r="C8" s="142">
        <v>0.04</v>
      </c>
      <c r="D8" s="138" t="s">
        <v>424</v>
      </c>
      <c r="E8" s="138" t="s">
        <v>442</v>
      </c>
      <c r="F8" s="138" t="s">
        <v>25</v>
      </c>
      <c r="G8" s="138" t="str">
        <f t="shared" si="1"/>
        <v>Bed-Disk  (Hipper)  8R-30</v>
      </c>
      <c r="H8" s="30">
        <v>20800</v>
      </c>
      <c r="I8" s="1">
        <v>20</v>
      </c>
      <c r="J8" s="1">
        <v>5.5</v>
      </c>
      <c r="K8" s="1">
        <v>80</v>
      </c>
      <c r="L8" s="4">
        <f t="shared" si="2"/>
        <v>9.375E-2</v>
      </c>
      <c r="M8" s="1">
        <v>30</v>
      </c>
      <c r="N8" s="1">
        <v>40</v>
      </c>
      <c r="O8" s="1">
        <v>10</v>
      </c>
      <c r="P8" s="1">
        <v>160</v>
      </c>
      <c r="Q8" s="1">
        <v>0</v>
      </c>
      <c r="R8" s="11">
        <f t="shared" si="3"/>
        <v>1600</v>
      </c>
      <c r="S8" s="11">
        <v>1</v>
      </c>
      <c r="T8" s="11">
        <v>0.27</v>
      </c>
      <c r="U8" s="11">
        <v>1.4</v>
      </c>
      <c r="V8" s="10">
        <f t="shared" si="4"/>
        <v>431.71294855934195</v>
      </c>
      <c r="W8" s="9">
        <f t="shared" si="5"/>
        <v>2.698205928495887</v>
      </c>
      <c r="X8" s="8">
        <f t="shared" si="6"/>
        <v>832</v>
      </c>
      <c r="Y8" s="7">
        <f t="shared" si="7"/>
        <v>5.2</v>
      </c>
      <c r="Z8" s="2">
        <f t="shared" si="8"/>
        <v>6240</v>
      </c>
      <c r="AA8" s="2">
        <f t="shared" si="9"/>
        <v>1456</v>
      </c>
      <c r="AB8" s="2">
        <f t="shared" si="10"/>
        <v>13520</v>
      </c>
      <c r="AC8" s="6">
        <f t="shared" si="11"/>
        <v>1216.8</v>
      </c>
      <c r="AD8" s="6">
        <f t="shared" si="12"/>
        <v>324.48</v>
      </c>
      <c r="AE8" s="6">
        <f t="shared" si="13"/>
        <v>2997.28</v>
      </c>
      <c r="AF8" s="5">
        <f t="shared" si="14"/>
        <v>18.733000000000001</v>
      </c>
    </row>
    <row r="9" spans="1:35" x14ac:dyDescent="0.25">
      <c r="A9" s="207">
        <v>70</v>
      </c>
      <c r="B9" s="1" t="str">
        <f t="shared" si="0"/>
        <v>0.05, Bed-Disk  (Hipper) 10R-30</v>
      </c>
      <c r="C9" s="142">
        <v>0.05</v>
      </c>
      <c r="D9" s="138" t="s">
        <v>424</v>
      </c>
      <c r="E9" s="138" t="s">
        <v>442</v>
      </c>
      <c r="F9" s="138" t="s">
        <v>24</v>
      </c>
      <c r="G9" s="138" t="str">
        <f t="shared" si="1"/>
        <v>Bed-Disk  (Hipper) 10R-30</v>
      </c>
      <c r="H9" s="284">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x14ac:dyDescent="0.25">
      <c r="A10" s="207">
        <v>298</v>
      </c>
      <c r="B10" s="1" t="str">
        <f t="shared" si="0"/>
        <v>0.06, Bed-Disk  (Hipper) 12R-30</v>
      </c>
      <c r="C10" s="142">
        <v>0.06</v>
      </c>
      <c r="D10" s="138" t="s">
        <v>424</v>
      </c>
      <c r="E10" s="138" t="s">
        <v>442</v>
      </c>
      <c r="F10" s="138" t="s">
        <v>6</v>
      </c>
      <c r="G10" s="138" t="str">
        <f t="shared" si="1"/>
        <v>Bed-Disk  (Hipper) 12R-30</v>
      </c>
      <c r="H10" s="30">
        <v>40100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832.2927517898853</v>
      </c>
      <c r="W10" s="9">
        <f t="shared" si="5"/>
        <v>5.2018296986867831</v>
      </c>
      <c r="X10" s="8">
        <f t="shared" si="6"/>
        <v>1604</v>
      </c>
      <c r="Y10" s="7">
        <f t="shared" si="7"/>
        <v>10.025</v>
      </c>
      <c r="Z10" s="2">
        <f t="shared" si="8"/>
        <v>12030</v>
      </c>
      <c r="AA10" s="2">
        <f t="shared" si="9"/>
        <v>2807</v>
      </c>
      <c r="AB10" s="2">
        <f t="shared" si="10"/>
        <v>26065</v>
      </c>
      <c r="AC10" s="6">
        <f t="shared" si="11"/>
        <v>2345.85</v>
      </c>
      <c r="AD10" s="6">
        <f t="shared" si="12"/>
        <v>625.56000000000006</v>
      </c>
      <c r="AE10" s="6">
        <f t="shared" si="13"/>
        <v>5778.4100000000008</v>
      </c>
      <c r="AF10" s="5">
        <f t="shared" si="14"/>
        <v>36.115062500000008</v>
      </c>
    </row>
    <row r="11" spans="1:35" x14ac:dyDescent="0.25">
      <c r="A11" s="207">
        <v>71</v>
      </c>
      <c r="B11" s="1" t="str">
        <f t="shared" si="0"/>
        <v>0.07, Bed-Disk  (Hipper) 10R-36</v>
      </c>
      <c r="C11" s="142">
        <v>7.0000000000000007E-2</v>
      </c>
      <c r="D11" s="138" t="s">
        <v>424</v>
      </c>
      <c r="E11" s="138" t="s">
        <v>442</v>
      </c>
      <c r="F11" s="138" t="s">
        <v>198</v>
      </c>
      <c r="G11" s="138" t="str">
        <f t="shared" si="1"/>
        <v>Bed-Disk  (Hipper) 10R-36</v>
      </c>
      <c r="H11" s="284">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x14ac:dyDescent="0.25">
      <c r="A12" s="207">
        <v>240</v>
      </c>
      <c r="B12" s="1" t="str">
        <f t="shared" si="0"/>
        <v>0.08, Bed-Disk  (Hipper)  8R-36 2x1</v>
      </c>
      <c r="C12" s="142">
        <v>0.08</v>
      </c>
      <c r="D12" s="138" t="s">
        <v>424</v>
      </c>
      <c r="E12" s="138" t="s">
        <v>442</v>
      </c>
      <c r="F12" s="138" t="s">
        <v>197</v>
      </c>
      <c r="G12" s="138" t="str">
        <f t="shared" si="1"/>
        <v>Bed-Disk  (Hipper)  8R-36 2x1</v>
      </c>
      <c r="H12" s="30">
        <v>51400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1066.8291132668355</v>
      </c>
      <c r="W12" s="9">
        <f t="shared" si="5"/>
        <v>6.667681957917722</v>
      </c>
      <c r="X12" s="8">
        <f t="shared" si="6"/>
        <v>2056</v>
      </c>
      <c r="Y12" s="7">
        <f t="shared" si="7"/>
        <v>12.85</v>
      </c>
      <c r="Z12" s="2">
        <f t="shared" si="8"/>
        <v>15420</v>
      </c>
      <c r="AA12" s="2">
        <f t="shared" si="9"/>
        <v>3598</v>
      </c>
      <c r="AB12" s="2">
        <f t="shared" si="10"/>
        <v>33410</v>
      </c>
      <c r="AC12" s="6">
        <f t="shared" si="11"/>
        <v>3006.9</v>
      </c>
      <c r="AD12" s="6">
        <f t="shared" si="12"/>
        <v>801.84</v>
      </c>
      <c r="AE12" s="6">
        <f t="shared" si="13"/>
        <v>7406.74</v>
      </c>
      <c r="AF12" s="5">
        <f t="shared" si="14"/>
        <v>46.292124999999999</v>
      </c>
    </row>
    <row r="13" spans="1:35" x14ac:dyDescent="0.25">
      <c r="A13" s="207">
        <v>241</v>
      </c>
      <c r="B13" s="1" t="str">
        <f t="shared" si="0"/>
        <v>0.09, Bed-Disk  (Hipper) 12R-36</v>
      </c>
      <c r="C13" s="142">
        <v>0.09</v>
      </c>
      <c r="D13" s="138" t="s">
        <v>424</v>
      </c>
      <c r="E13" s="138" t="s">
        <v>442</v>
      </c>
      <c r="F13" s="138" t="s">
        <v>194</v>
      </c>
      <c r="G13" s="138" t="str">
        <f t="shared" si="1"/>
        <v>Bed-Disk  (Hipper) 12R-36</v>
      </c>
      <c r="H13" s="30">
        <v>51400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1066.8291132668355</v>
      </c>
      <c r="W13" s="9">
        <f t="shared" si="5"/>
        <v>6.667681957917722</v>
      </c>
      <c r="X13" s="8">
        <f t="shared" si="6"/>
        <v>2056</v>
      </c>
      <c r="Y13" s="7">
        <f t="shared" si="7"/>
        <v>12.85</v>
      </c>
      <c r="Z13" s="2">
        <f t="shared" si="8"/>
        <v>15420</v>
      </c>
      <c r="AA13" s="2">
        <f t="shared" si="9"/>
        <v>3598</v>
      </c>
      <c r="AB13" s="2">
        <f t="shared" si="10"/>
        <v>33410</v>
      </c>
      <c r="AC13" s="6">
        <f t="shared" si="11"/>
        <v>3006.9</v>
      </c>
      <c r="AD13" s="6">
        <f t="shared" si="12"/>
        <v>801.84</v>
      </c>
      <c r="AE13" s="6">
        <f t="shared" si="13"/>
        <v>7406.74</v>
      </c>
      <c r="AF13" s="5">
        <f t="shared" si="14"/>
        <v>46.292124999999999</v>
      </c>
    </row>
    <row r="14" spans="1:35" x14ac:dyDescent="0.25">
      <c r="A14" s="207">
        <v>411</v>
      </c>
      <c r="B14" s="1" t="str">
        <f t="shared" si="0"/>
        <v>0.1, Bed-Disk  (Hipper) Fl  8R-36</v>
      </c>
      <c r="C14" s="142">
        <v>0.1</v>
      </c>
      <c r="D14" s="138" t="s">
        <v>424</v>
      </c>
      <c r="E14" s="138" t="s">
        <v>443</v>
      </c>
      <c r="F14" s="138" t="s">
        <v>193</v>
      </c>
      <c r="G14" s="138" t="str">
        <f t="shared" si="1"/>
        <v>Bed-Disk  (Hipper) Fl  8R-36</v>
      </c>
      <c r="H14" s="30">
        <v>22000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456.61946482238096</v>
      </c>
      <c r="W14" s="9">
        <f t="shared" si="5"/>
        <v>2.8538716551398808</v>
      </c>
      <c r="X14" s="8">
        <f t="shared" si="6"/>
        <v>880</v>
      </c>
      <c r="Y14" s="7">
        <f t="shared" si="7"/>
        <v>5.5</v>
      </c>
      <c r="Z14" s="2">
        <f t="shared" si="8"/>
        <v>6600</v>
      </c>
      <c r="AA14" s="2">
        <f t="shared" si="9"/>
        <v>1540</v>
      </c>
      <c r="AB14" s="2">
        <f t="shared" si="10"/>
        <v>14300</v>
      </c>
      <c r="AC14" s="6">
        <f t="shared" si="11"/>
        <v>1287</v>
      </c>
      <c r="AD14" s="6">
        <f t="shared" si="12"/>
        <v>343.2</v>
      </c>
      <c r="AE14" s="6">
        <f t="shared" si="13"/>
        <v>3170.2</v>
      </c>
      <c r="AF14" s="5">
        <f t="shared" si="14"/>
        <v>19.813749999999999</v>
      </c>
    </row>
    <row r="15" spans="1:35" x14ac:dyDescent="0.25">
      <c r="A15" s="207">
        <v>69</v>
      </c>
      <c r="B15" s="1" t="str">
        <f t="shared" si="0"/>
        <v>0.11, Bed-Disk  (Hipper) Rd  8R-36</v>
      </c>
      <c r="C15" s="142">
        <v>0.11</v>
      </c>
      <c r="D15" s="138" t="s">
        <v>424</v>
      </c>
      <c r="E15" s="138" t="s">
        <v>444</v>
      </c>
      <c r="F15" s="138" t="s">
        <v>193</v>
      </c>
      <c r="G15" s="138" t="str">
        <f t="shared" si="1"/>
        <v>Bed-Disk  (Hipper) Rd  8R-36</v>
      </c>
      <c r="H15" s="30">
        <v>19700</v>
      </c>
      <c r="I15" s="1">
        <v>24</v>
      </c>
      <c r="J15" s="188">
        <v>5.5</v>
      </c>
      <c r="K15" s="188">
        <v>80</v>
      </c>
      <c r="L15" s="4">
        <f t="shared" si="2"/>
        <v>7.8125E-2</v>
      </c>
      <c r="M15" s="1">
        <v>30</v>
      </c>
      <c r="N15" s="1">
        <v>40</v>
      </c>
      <c r="O15" s="1">
        <v>10</v>
      </c>
      <c r="P15" s="1">
        <v>160</v>
      </c>
      <c r="Q15" s="1">
        <v>0</v>
      </c>
      <c r="R15" s="11">
        <f t="shared" si="3"/>
        <v>1600</v>
      </c>
      <c r="S15" s="11">
        <v>1</v>
      </c>
      <c r="T15" s="11">
        <v>0.27</v>
      </c>
      <c r="U15" s="11">
        <v>1.4</v>
      </c>
      <c r="V15" s="10">
        <f t="shared" si="4"/>
        <v>408.88197531822294</v>
      </c>
      <c r="W15" s="9">
        <f t="shared" si="5"/>
        <v>2.5555123457388933</v>
      </c>
      <c r="X15" s="8">
        <f t="shared" si="6"/>
        <v>788</v>
      </c>
      <c r="Y15" s="7">
        <f t="shared" si="7"/>
        <v>4.9249999999999998</v>
      </c>
      <c r="Z15" s="2">
        <f t="shared" si="8"/>
        <v>5910</v>
      </c>
      <c r="AA15" s="2">
        <f t="shared" si="9"/>
        <v>1379</v>
      </c>
      <c r="AB15" s="2">
        <f t="shared" si="10"/>
        <v>12805</v>
      </c>
      <c r="AC15" s="6">
        <f t="shared" si="11"/>
        <v>1152.45</v>
      </c>
      <c r="AD15" s="6">
        <f t="shared" si="12"/>
        <v>307.32</v>
      </c>
      <c r="AE15" s="6">
        <f t="shared" si="13"/>
        <v>2838.77</v>
      </c>
      <c r="AF15" s="5">
        <f t="shared" si="14"/>
        <v>17.742312500000001</v>
      </c>
    </row>
    <row r="16" spans="1:35" x14ac:dyDescent="0.25">
      <c r="A16" s="207">
        <v>611</v>
      </c>
      <c r="B16" s="1" t="str">
        <f t="shared" si="0"/>
        <v>0.12, Bed-Disk  w/roller 8R-30</v>
      </c>
      <c r="C16" s="142">
        <v>0.12</v>
      </c>
      <c r="D16" s="138" t="s">
        <v>424</v>
      </c>
      <c r="E16" s="138" t="s">
        <v>440</v>
      </c>
      <c r="F16" s="138" t="s">
        <v>25</v>
      </c>
      <c r="G16" s="138" t="str">
        <f t="shared" si="1"/>
        <v>Bed-Disk  w/roller 8R-30</v>
      </c>
      <c r="H16" s="30">
        <v>26900</v>
      </c>
      <c r="I16" s="1">
        <v>20</v>
      </c>
      <c r="J16" s="188">
        <v>5.5</v>
      </c>
      <c r="K16" s="188">
        <v>80</v>
      </c>
      <c r="L16" s="4">
        <f t="shared" si="2"/>
        <v>9.375E-2</v>
      </c>
      <c r="M16" s="1">
        <v>30</v>
      </c>
      <c r="N16" s="1">
        <v>40</v>
      </c>
      <c r="O16" s="1">
        <v>10</v>
      </c>
      <c r="P16" s="1">
        <v>160</v>
      </c>
      <c r="Q16" s="1">
        <v>0</v>
      </c>
      <c r="R16" s="11">
        <f t="shared" si="3"/>
        <v>1600</v>
      </c>
      <c r="S16" s="11">
        <v>1</v>
      </c>
      <c r="T16" s="11">
        <v>0.27</v>
      </c>
      <c r="U16" s="11">
        <v>1.4</v>
      </c>
      <c r="V16" s="10">
        <f t="shared" si="4"/>
        <v>558.32107289645671</v>
      </c>
      <c r="W16" s="9">
        <f t="shared" si="5"/>
        <v>3.4895067056028544</v>
      </c>
      <c r="X16" s="8">
        <f t="shared" si="6"/>
        <v>1076</v>
      </c>
      <c r="Y16" s="7">
        <f t="shared" si="7"/>
        <v>6.7249999999999996</v>
      </c>
      <c r="Z16" s="2">
        <f t="shared" si="8"/>
        <v>8070</v>
      </c>
      <c r="AA16" s="2">
        <f t="shared" si="9"/>
        <v>1883</v>
      </c>
      <c r="AB16" s="2">
        <f t="shared" si="10"/>
        <v>17485</v>
      </c>
      <c r="AC16" s="6">
        <f t="shared" si="11"/>
        <v>1573.6499999999999</v>
      </c>
      <c r="AD16" s="6">
        <f t="shared" si="12"/>
        <v>419.64</v>
      </c>
      <c r="AE16" s="6">
        <f t="shared" si="13"/>
        <v>3876.2899999999995</v>
      </c>
      <c r="AF16" s="5">
        <f t="shared" si="14"/>
        <v>24.226812499999998</v>
      </c>
    </row>
    <row r="17" spans="1:35" x14ac:dyDescent="0.25">
      <c r="A17" s="207">
        <v>732</v>
      </c>
      <c r="B17" s="1" t="str">
        <f t="shared" si="0"/>
        <v>0.13, Bed-Disk  w/roller 8R-36</v>
      </c>
      <c r="C17" s="142">
        <v>0.13</v>
      </c>
      <c r="D17" s="138" t="s">
        <v>424</v>
      </c>
      <c r="E17" s="138" t="s">
        <v>440</v>
      </c>
      <c r="F17" s="138" t="s">
        <v>193</v>
      </c>
      <c r="G17" s="138" t="str">
        <f t="shared" si="1"/>
        <v>Bed-Disk  w/roller 8R-36</v>
      </c>
      <c r="H17" s="30">
        <v>30800</v>
      </c>
      <c r="I17" s="1">
        <v>24</v>
      </c>
      <c r="J17" s="188">
        <v>5.5</v>
      </c>
      <c r="K17" s="188">
        <v>80</v>
      </c>
      <c r="L17" s="4">
        <f t="shared" si="2"/>
        <v>7.8125E-2</v>
      </c>
      <c r="M17" s="1">
        <v>30</v>
      </c>
      <c r="N17" s="1">
        <v>40</v>
      </c>
      <c r="O17" s="1">
        <v>10</v>
      </c>
      <c r="P17" s="1">
        <v>160</v>
      </c>
      <c r="Q17" s="1">
        <v>0</v>
      </c>
      <c r="R17" s="11">
        <f t="shared" si="3"/>
        <v>1600</v>
      </c>
      <c r="S17" s="11">
        <v>1</v>
      </c>
      <c r="T17" s="11">
        <v>0.27</v>
      </c>
      <c r="U17" s="11">
        <v>1.4</v>
      </c>
      <c r="V17" s="10">
        <f t="shared" si="4"/>
        <v>639.26725075133334</v>
      </c>
      <c r="W17" s="9">
        <f t="shared" si="5"/>
        <v>3.9954203171958333</v>
      </c>
      <c r="X17" s="8">
        <f t="shared" si="6"/>
        <v>1232</v>
      </c>
      <c r="Y17" s="7">
        <f t="shared" si="7"/>
        <v>7.7</v>
      </c>
      <c r="Z17" s="2">
        <f t="shared" si="8"/>
        <v>9240</v>
      </c>
      <c r="AA17" s="2">
        <f t="shared" si="9"/>
        <v>2156</v>
      </c>
      <c r="AB17" s="2">
        <f t="shared" si="10"/>
        <v>20020</v>
      </c>
      <c r="AC17" s="6">
        <f t="shared" si="11"/>
        <v>1801.8</v>
      </c>
      <c r="AD17" s="6">
        <f t="shared" si="12"/>
        <v>480.48</v>
      </c>
      <c r="AE17" s="6">
        <f t="shared" si="13"/>
        <v>4438.2800000000007</v>
      </c>
      <c r="AF17" s="5">
        <f t="shared" si="14"/>
        <v>27.739250000000006</v>
      </c>
    </row>
    <row r="18" spans="1:35" x14ac:dyDescent="0.25">
      <c r="A18" s="207">
        <v>301</v>
      </c>
      <c r="B18" s="1" t="str">
        <f t="shared" si="0"/>
        <v>0.14, Bed-Disk  w/roller 12R-30</v>
      </c>
      <c r="C18" s="142">
        <v>0.14000000000000001</v>
      </c>
      <c r="D18" s="138" t="s">
        <v>424</v>
      </c>
      <c r="E18" s="138" t="s">
        <v>440</v>
      </c>
      <c r="F18" s="138" t="s">
        <v>441</v>
      </c>
      <c r="G18" s="138" t="str">
        <f t="shared" si="1"/>
        <v>Bed-Disk  w/roller 12R-30</v>
      </c>
      <c r="H18" s="30">
        <v>50900</v>
      </c>
      <c r="I18" s="1">
        <v>30</v>
      </c>
      <c r="J18" s="188">
        <v>5.5</v>
      </c>
      <c r="K18" s="188">
        <v>80</v>
      </c>
      <c r="L18" s="4">
        <f t="shared" si="2"/>
        <v>6.25E-2</v>
      </c>
      <c r="M18" s="1">
        <v>30</v>
      </c>
      <c r="N18" s="1">
        <v>40</v>
      </c>
      <c r="O18" s="1">
        <v>10</v>
      </c>
      <c r="P18" s="1">
        <v>160</v>
      </c>
      <c r="Q18" s="1">
        <v>0</v>
      </c>
      <c r="R18" s="11">
        <f t="shared" si="3"/>
        <v>1600</v>
      </c>
      <c r="S18" s="11">
        <v>1</v>
      </c>
      <c r="T18" s="11">
        <v>0.27</v>
      </c>
      <c r="U18" s="11">
        <v>1.4</v>
      </c>
      <c r="V18" s="10">
        <f t="shared" si="4"/>
        <v>1056.4513981572359</v>
      </c>
      <c r="W18" s="9">
        <f t="shared" si="5"/>
        <v>6.6028212384827238</v>
      </c>
      <c r="X18" s="8">
        <f t="shared" si="6"/>
        <v>2036</v>
      </c>
      <c r="Y18" s="7">
        <f t="shared" si="7"/>
        <v>12.725</v>
      </c>
      <c r="Z18" s="2">
        <f t="shared" si="8"/>
        <v>15270</v>
      </c>
      <c r="AA18" s="2">
        <f t="shared" si="9"/>
        <v>3563</v>
      </c>
      <c r="AB18" s="2">
        <f t="shared" si="10"/>
        <v>33085</v>
      </c>
      <c r="AC18" s="6">
        <f t="shared" si="11"/>
        <v>2977.65</v>
      </c>
      <c r="AD18" s="6">
        <f t="shared" si="12"/>
        <v>794.04</v>
      </c>
      <c r="AE18" s="6">
        <f t="shared" si="13"/>
        <v>7334.69</v>
      </c>
      <c r="AF18" s="5">
        <f t="shared" si="14"/>
        <v>45.841812499999996</v>
      </c>
    </row>
    <row r="19" spans="1:35" x14ac:dyDescent="0.25">
      <c r="A19" s="207">
        <v>594</v>
      </c>
      <c r="B19" s="1" t="str">
        <f t="shared" si="0"/>
        <v>0.15, Bed-Middle Buster 4R-36</v>
      </c>
      <c r="C19" s="142">
        <v>0.15</v>
      </c>
      <c r="D19" s="138" t="s">
        <v>424</v>
      </c>
      <c r="E19" s="138" t="s">
        <v>445</v>
      </c>
      <c r="F19" s="138" t="s">
        <v>195</v>
      </c>
      <c r="G19" s="138" t="str">
        <f t="shared" si="1"/>
        <v>Bed-Middle Buster 4R-36</v>
      </c>
      <c r="H19" s="284">
        <v>18842.46</v>
      </c>
      <c r="I19" s="1">
        <v>10</v>
      </c>
      <c r="J19" s="188">
        <v>4.25</v>
      </c>
      <c r="K19" s="188">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x14ac:dyDescent="0.25">
      <c r="A20" s="207">
        <v>119</v>
      </c>
      <c r="B20" s="1" t="str">
        <f t="shared" si="0"/>
        <v>0.16, Bed-Middle Buster 6R-36</v>
      </c>
      <c r="C20" s="142">
        <v>0.16</v>
      </c>
      <c r="D20" s="138" t="s">
        <v>424</v>
      </c>
      <c r="E20" s="138" t="s">
        <v>445</v>
      </c>
      <c r="F20" s="138" t="s">
        <v>196</v>
      </c>
      <c r="G20" s="138" t="str">
        <f t="shared" si="1"/>
        <v>Bed-Middle Buster 6R-36</v>
      </c>
      <c r="H20" s="284">
        <v>16047.149999999998</v>
      </c>
      <c r="I20" s="1">
        <v>18</v>
      </c>
      <c r="J20" s="188">
        <v>4.25</v>
      </c>
      <c r="K20" s="188">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x14ac:dyDescent="0.25">
      <c r="A21" s="207">
        <v>120</v>
      </c>
      <c r="B21" s="1" t="str">
        <f t="shared" si="0"/>
        <v>0.17, Bed-Middle Buster 8R-30</v>
      </c>
      <c r="C21" s="142">
        <v>0.17</v>
      </c>
      <c r="D21" s="138" t="s">
        <v>424</v>
      </c>
      <c r="E21" s="138" t="s">
        <v>445</v>
      </c>
      <c r="F21" s="138" t="s">
        <v>25</v>
      </c>
      <c r="G21" s="138" t="str">
        <f t="shared" si="1"/>
        <v>Bed-Middle Buster 8R-30</v>
      </c>
      <c r="H21" s="285">
        <v>23190.719999999998</v>
      </c>
      <c r="I21" s="188">
        <v>20</v>
      </c>
      <c r="J21" s="188">
        <v>4.25</v>
      </c>
      <c r="K21" s="188">
        <v>85</v>
      </c>
      <c r="L21" s="189">
        <f t="shared" si="2"/>
        <v>0.11418685121107267</v>
      </c>
      <c r="M21" s="188">
        <v>35</v>
      </c>
      <c r="N21" s="188">
        <v>30</v>
      </c>
      <c r="O21" s="188">
        <v>8</v>
      </c>
      <c r="P21" s="188">
        <v>160</v>
      </c>
      <c r="Q21" s="188">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8"/>
      <c r="AH21" s="188"/>
      <c r="AI21" s="188"/>
    </row>
    <row r="22" spans="1:35" x14ac:dyDescent="0.25">
      <c r="A22" s="207">
        <v>121</v>
      </c>
      <c r="B22" s="1" t="str">
        <f t="shared" si="0"/>
        <v>0.18, Bed-Middle Buster 8R-36</v>
      </c>
      <c r="C22" s="142">
        <v>0.18</v>
      </c>
      <c r="D22" s="138" t="s">
        <v>424</v>
      </c>
      <c r="E22" s="138" t="s">
        <v>445</v>
      </c>
      <c r="F22" s="138" t="s">
        <v>193</v>
      </c>
      <c r="G22" s="138" t="str">
        <f t="shared" si="1"/>
        <v>Bed-Middle Buster 8R-36</v>
      </c>
      <c r="H22" s="285">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x14ac:dyDescent="0.25">
      <c r="A23" s="207">
        <v>246</v>
      </c>
      <c r="B23" s="1" t="str">
        <f t="shared" si="0"/>
        <v>0.19, Bed-Middle Buster 8R-36 2x1</v>
      </c>
      <c r="C23" s="142">
        <v>0.19</v>
      </c>
      <c r="D23" s="138" t="s">
        <v>424</v>
      </c>
      <c r="E23" s="138" t="s">
        <v>445</v>
      </c>
      <c r="F23" s="138" t="s">
        <v>197</v>
      </c>
      <c r="G23" s="138" t="str">
        <f t="shared" si="1"/>
        <v>Bed-Middle Buster 8R-36 2x1</v>
      </c>
      <c r="H23" s="285">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x14ac:dyDescent="0.25">
      <c r="A24" s="207">
        <v>122</v>
      </c>
      <c r="B24" s="1" t="str">
        <f t="shared" si="0"/>
        <v>0.2, Bed-Middle Buster 10R-30</v>
      </c>
      <c r="C24" s="142">
        <v>0.2</v>
      </c>
      <c r="D24" s="138" t="s">
        <v>424</v>
      </c>
      <c r="E24" s="138" t="s">
        <v>446</v>
      </c>
      <c r="F24" s="138" t="s">
        <v>24</v>
      </c>
      <c r="G24" s="138" t="str">
        <f t="shared" si="1"/>
        <v>Bed-Middle Buster 10R-30</v>
      </c>
      <c r="H24" s="285">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x14ac:dyDescent="0.25">
      <c r="A25" s="207">
        <v>123</v>
      </c>
      <c r="B25" s="1" t="str">
        <f t="shared" si="0"/>
        <v>0.21, Bed-Middle Buster 10R-36</v>
      </c>
      <c r="C25" s="142">
        <v>0.21</v>
      </c>
      <c r="D25" s="138" t="s">
        <v>424</v>
      </c>
      <c r="E25" s="138" t="s">
        <v>446</v>
      </c>
      <c r="F25" s="138" t="s">
        <v>198</v>
      </c>
      <c r="G25" s="138" t="str">
        <f t="shared" si="1"/>
        <v>Bed-Middle Buster 10R-36</v>
      </c>
      <c r="H25" s="285">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x14ac:dyDescent="0.25">
      <c r="A26" s="207">
        <v>247</v>
      </c>
      <c r="B26" s="1" t="str">
        <f t="shared" si="0"/>
        <v>0.22, Bed-Middle Buster 12R-36</v>
      </c>
      <c r="C26" s="142">
        <v>0.22</v>
      </c>
      <c r="D26" s="138" t="s">
        <v>424</v>
      </c>
      <c r="E26" s="138" t="s">
        <v>446</v>
      </c>
      <c r="F26" s="138" t="s">
        <v>194</v>
      </c>
      <c r="G26" s="138" t="str">
        <f t="shared" si="1"/>
        <v>Bed-Middle Buster 12R-36</v>
      </c>
      <c r="H26" s="285">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x14ac:dyDescent="0.25">
      <c r="A27" s="207">
        <v>416</v>
      </c>
      <c r="B27" s="1" t="str">
        <f t="shared" si="0"/>
        <v>0.23, Bed-Paratill   Fold 8R-36</v>
      </c>
      <c r="C27" s="142">
        <v>0.23</v>
      </c>
      <c r="D27" s="138" t="s">
        <v>424</v>
      </c>
      <c r="E27" s="138" t="s">
        <v>447</v>
      </c>
      <c r="F27" s="138" t="s">
        <v>193</v>
      </c>
      <c r="G27" s="138" t="str">
        <f t="shared" si="1"/>
        <v>Bed-Paratill   Fold 8R-36</v>
      </c>
      <c r="H27" s="285">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x14ac:dyDescent="0.25">
      <c r="A28" s="207">
        <v>610</v>
      </c>
      <c r="B28" s="1" t="str">
        <f t="shared" si="0"/>
        <v>0.24, Bed-Paratill   Fold10R-30</v>
      </c>
      <c r="C28" s="142">
        <v>0.24</v>
      </c>
      <c r="D28" s="138" t="s">
        <v>424</v>
      </c>
      <c r="E28" s="138" t="s">
        <v>447</v>
      </c>
      <c r="F28" s="138" t="s">
        <v>24</v>
      </c>
      <c r="G28" s="138" t="str">
        <f t="shared" si="1"/>
        <v>Bed-Paratill   Fold10R-30</v>
      </c>
      <c r="H28" s="286">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x14ac:dyDescent="0.25">
      <c r="A29" s="207">
        <v>486</v>
      </c>
      <c r="B29" s="1" t="str">
        <f t="shared" si="0"/>
        <v>0.25, Bed-Paratill   Fold 8R-36 2x1</v>
      </c>
      <c r="C29" s="142">
        <v>0.25</v>
      </c>
      <c r="D29" s="138" t="s">
        <v>424</v>
      </c>
      <c r="E29" s="138" t="s">
        <v>447</v>
      </c>
      <c r="F29" s="138" t="s">
        <v>197</v>
      </c>
      <c r="G29" s="138" t="str">
        <f t="shared" si="1"/>
        <v>Bed-Paratill   Fold 8R-36 2x1</v>
      </c>
      <c r="H29" s="285">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x14ac:dyDescent="0.25">
      <c r="A30" s="207">
        <v>417</v>
      </c>
      <c r="B30" s="1" t="str">
        <f t="shared" si="0"/>
        <v>0.26, Bed-Paratill   Fold12R-36</v>
      </c>
      <c r="C30" s="142">
        <v>0.26</v>
      </c>
      <c r="D30" s="138" t="s">
        <v>424</v>
      </c>
      <c r="E30" s="138" t="s">
        <v>447</v>
      </c>
      <c r="F30" s="138" t="s">
        <v>194</v>
      </c>
      <c r="G30" s="138" t="str">
        <f t="shared" si="1"/>
        <v>Bed-Paratill   Fold12R-36</v>
      </c>
      <c r="H30" s="285">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x14ac:dyDescent="0.25">
      <c r="A31" s="207">
        <v>409</v>
      </c>
      <c r="B31" s="1" t="str">
        <f t="shared" si="0"/>
        <v>0.27, Bed-Paratill   Rigid 4R-30</v>
      </c>
      <c r="C31" s="142">
        <v>0.27</v>
      </c>
      <c r="D31" s="138" t="s">
        <v>424</v>
      </c>
      <c r="E31" s="138" t="s">
        <v>448</v>
      </c>
      <c r="F31" s="138" t="s">
        <v>48</v>
      </c>
      <c r="G31" s="138" t="str">
        <f t="shared" si="1"/>
        <v>Bed-Paratill   Rigid 4R-30</v>
      </c>
      <c r="H31" s="285">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x14ac:dyDescent="0.25">
      <c r="A32" s="207">
        <v>142</v>
      </c>
      <c r="B32" s="1" t="str">
        <f t="shared" si="0"/>
        <v>0.28, Bed-Paratill   Rigid 4R-36</v>
      </c>
      <c r="C32" s="142">
        <v>0.28000000000000003</v>
      </c>
      <c r="D32" s="138" t="s">
        <v>424</v>
      </c>
      <c r="E32" s="138" t="s">
        <v>448</v>
      </c>
      <c r="F32" s="138" t="s">
        <v>195</v>
      </c>
      <c r="G32" s="138" t="str">
        <f t="shared" si="1"/>
        <v>Bed-Paratill   Rigid 4R-36</v>
      </c>
      <c r="H32" s="285">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x14ac:dyDescent="0.25">
      <c r="A33" s="207">
        <v>410</v>
      </c>
      <c r="B33" s="1" t="str">
        <f t="shared" si="0"/>
        <v>0.29, Bed-Paratill   Rigid 6R-30</v>
      </c>
      <c r="C33" s="142">
        <v>0.28999999999999998</v>
      </c>
      <c r="D33" s="138" t="s">
        <v>424</v>
      </c>
      <c r="E33" s="138" t="s">
        <v>448</v>
      </c>
      <c r="F33" s="138" t="s">
        <v>53</v>
      </c>
      <c r="G33" s="138" t="str">
        <f t="shared" si="1"/>
        <v>Bed-Paratill   Rigid 6R-30</v>
      </c>
      <c r="H33" s="285">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x14ac:dyDescent="0.25">
      <c r="A34" s="207">
        <v>258</v>
      </c>
      <c r="B34" s="1" t="str">
        <f t="shared" si="0"/>
        <v>0.3, Bed-Paratill   Rigid 6R-36</v>
      </c>
      <c r="C34" s="142">
        <v>0.3</v>
      </c>
      <c r="D34" s="138" t="s">
        <v>424</v>
      </c>
      <c r="E34" s="138" t="s">
        <v>448</v>
      </c>
      <c r="F34" s="138" t="s">
        <v>196</v>
      </c>
      <c r="G34" s="138" t="str">
        <f t="shared" si="1"/>
        <v>Bed-Paratill   Rigid 6R-36</v>
      </c>
      <c r="H34" s="285">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x14ac:dyDescent="0.25">
      <c r="A35" s="207">
        <v>414</v>
      </c>
      <c r="B35" s="1" t="str">
        <f t="shared" si="0"/>
        <v>0.31, Bed-Paratill   Rigid 8R-30</v>
      </c>
      <c r="C35" s="142">
        <v>0.31</v>
      </c>
      <c r="D35" s="138" t="s">
        <v>424</v>
      </c>
      <c r="E35" s="138" t="s">
        <v>448</v>
      </c>
      <c r="F35" s="138" t="s">
        <v>25</v>
      </c>
      <c r="G35" s="138" t="str">
        <f t="shared" si="1"/>
        <v>Bed-Paratill   Rigid 8R-30</v>
      </c>
      <c r="H35" s="285">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x14ac:dyDescent="0.25">
      <c r="A36" s="207">
        <v>415</v>
      </c>
      <c r="B36" s="1" t="str">
        <f t="shared" si="0"/>
        <v>0.32, Bed-Paratill   Rigid 8R-36</v>
      </c>
      <c r="C36" s="142">
        <v>0.32</v>
      </c>
      <c r="D36" s="138" t="s">
        <v>424</v>
      </c>
      <c r="E36" s="138" t="s">
        <v>448</v>
      </c>
      <c r="F36" s="138" t="s">
        <v>193</v>
      </c>
      <c r="G36" s="138" t="str">
        <f t="shared" si="1"/>
        <v>Bed-Paratill   Rigid 8R-36</v>
      </c>
      <c r="H36" s="285">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x14ac:dyDescent="0.25">
      <c r="A37" s="207">
        <v>609</v>
      </c>
      <c r="B37" s="1" t="str">
        <f t="shared" si="0"/>
        <v>0.33, Bed-Paratill   Rigid10R-30</v>
      </c>
      <c r="C37" s="142">
        <v>0.33</v>
      </c>
      <c r="D37" s="138" t="s">
        <v>424</v>
      </c>
      <c r="E37" s="138" t="s">
        <v>448</v>
      </c>
      <c r="F37" s="138" t="s">
        <v>24</v>
      </c>
      <c r="G37" s="138" t="str">
        <f t="shared" si="1"/>
        <v>Bed-Paratill   Rigid10R-30</v>
      </c>
      <c r="H37" s="285">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x14ac:dyDescent="0.25">
      <c r="A38" s="207">
        <v>401</v>
      </c>
      <c r="B38" s="1" t="str">
        <f t="shared" si="0"/>
        <v>0.34, Bed-Paratill  w/rol4R-30</v>
      </c>
      <c r="C38" s="142">
        <v>0.34</v>
      </c>
      <c r="D38" s="138" t="s">
        <v>424</v>
      </c>
      <c r="E38" s="138" t="s">
        <v>449</v>
      </c>
      <c r="F38" s="138" t="s">
        <v>0</v>
      </c>
      <c r="G38" s="138" t="str">
        <f t="shared" si="1"/>
        <v>Bed-Paratill  w/rol4R-30</v>
      </c>
      <c r="H38" s="285">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x14ac:dyDescent="0.25">
      <c r="A39" s="207">
        <v>290</v>
      </c>
      <c r="B39" s="1" t="str">
        <f t="shared" si="0"/>
        <v>0.35, Bed-Paratill  w/roll 4R-36</v>
      </c>
      <c r="C39" s="142">
        <v>0.35</v>
      </c>
      <c r="D39" s="138" t="s">
        <v>424</v>
      </c>
      <c r="E39" s="138" t="s">
        <v>457</v>
      </c>
      <c r="F39" s="138" t="s">
        <v>73</v>
      </c>
      <c r="G39" s="138" t="str">
        <f t="shared" si="1"/>
        <v>Bed-Paratill  w/roll 4R-36</v>
      </c>
      <c r="H39" s="285">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x14ac:dyDescent="0.25">
      <c r="A40" s="207">
        <v>289</v>
      </c>
      <c r="B40" s="1" t="str">
        <f t="shared" si="0"/>
        <v>0.36, Bed-Paratill  w/roll 6R-36</v>
      </c>
      <c r="C40" s="142">
        <v>0.36</v>
      </c>
      <c r="D40" s="138" t="s">
        <v>424</v>
      </c>
      <c r="E40" s="138" t="s">
        <v>457</v>
      </c>
      <c r="F40" s="138" t="s">
        <v>200</v>
      </c>
      <c r="G40" s="138" t="str">
        <f t="shared" si="1"/>
        <v>Bed-Paratill  w/roll 6R-36</v>
      </c>
      <c r="H40" s="285">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x14ac:dyDescent="0.25">
      <c r="A41" s="207">
        <v>574</v>
      </c>
      <c r="B41" s="1" t="str">
        <f t="shared" si="0"/>
        <v>0.37, Bed-Rip/Disk Fold. 8R-36</v>
      </c>
      <c r="C41" s="142">
        <v>0.37</v>
      </c>
      <c r="D41" s="138" t="s">
        <v>424</v>
      </c>
      <c r="E41" s="138" t="s">
        <v>450</v>
      </c>
      <c r="F41" s="138" t="s">
        <v>193</v>
      </c>
      <c r="G41" s="138" t="str">
        <f t="shared" si="1"/>
        <v>Bed-Rip/Disk Fold. 8R-36</v>
      </c>
      <c r="H41" s="190">
        <v>46900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2346.9636512205411</v>
      </c>
      <c r="W41" s="9">
        <f t="shared" si="5"/>
        <v>7.823212170735137</v>
      </c>
      <c r="X41" s="8">
        <f t="shared" si="6"/>
        <v>703.5</v>
      </c>
      <c r="Y41" s="7">
        <f t="shared" si="7"/>
        <v>2.3450000000000002</v>
      </c>
      <c r="Z41" s="2">
        <f t="shared" si="8"/>
        <v>14070</v>
      </c>
      <c r="AA41" s="2">
        <f t="shared" si="9"/>
        <v>1641.5</v>
      </c>
      <c r="AB41" s="2">
        <f t="shared" si="10"/>
        <v>30485</v>
      </c>
      <c r="AC41" s="6">
        <f t="shared" si="11"/>
        <v>2743.65</v>
      </c>
      <c r="AD41" s="6">
        <f t="shared" si="12"/>
        <v>731.64</v>
      </c>
      <c r="AE41" s="6">
        <f t="shared" si="13"/>
        <v>5116.79</v>
      </c>
      <c r="AF41" s="5">
        <f t="shared" si="14"/>
        <v>17.055966666666666</v>
      </c>
    </row>
    <row r="42" spans="1:32" x14ac:dyDescent="0.25">
      <c r="A42" s="207">
        <v>622</v>
      </c>
      <c r="B42" s="1" t="str">
        <f t="shared" si="0"/>
        <v>0.38, Bed-Rip/Disk Fold.12R-30</v>
      </c>
      <c r="C42" s="142">
        <v>0.38</v>
      </c>
      <c r="D42" s="138" t="s">
        <v>424</v>
      </c>
      <c r="E42" s="138" t="s">
        <v>450</v>
      </c>
      <c r="F42" s="138" t="s">
        <v>6</v>
      </c>
      <c r="G42" s="138" t="str">
        <f t="shared" si="1"/>
        <v>Bed-Rip/Disk Fold.12R-30</v>
      </c>
      <c r="H42" s="190">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x14ac:dyDescent="0.25">
      <c r="A43" s="207">
        <v>571</v>
      </c>
      <c r="B43" s="1" t="str">
        <f t="shared" si="0"/>
        <v>0.39, Bed-Rip/Disk Fold.12R-36</v>
      </c>
      <c r="C43" s="142">
        <v>0.39</v>
      </c>
      <c r="D43" s="138" t="s">
        <v>424</v>
      </c>
      <c r="E43" s="138" t="s">
        <v>450</v>
      </c>
      <c r="F43" s="138" t="s">
        <v>194</v>
      </c>
      <c r="G43" s="138" t="str">
        <f t="shared" si="1"/>
        <v>Bed-Rip/Disk Fold.12R-36</v>
      </c>
      <c r="H43" s="190">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x14ac:dyDescent="0.25">
      <c r="A44" s="207">
        <v>607</v>
      </c>
      <c r="B44" s="1" t="str">
        <f t="shared" si="0"/>
        <v>0.4, Bed-Rip/Disk Rigid 4R-30</v>
      </c>
      <c r="C44" s="142">
        <v>0.4</v>
      </c>
      <c r="D44" s="138" t="s">
        <v>424</v>
      </c>
      <c r="E44" s="138" t="s">
        <v>451</v>
      </c>
      <c r="F44" s="138" t="s">
        <v>48</v>
      </c>
      <c r="G44" s="138" t="str">
        <f t="shared" si="1"/>
        <v>Bed-Rip/Disk Rigid 4R-30</v>
      </c>
      <c r="H44" s="190">
        <v>21300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1065.8918074839557</v>
      </c>
      <c r="W44" s="9">
        <f t="shared" si="5"/>
        <v>3.5529726916131859</v>
      </c>
      <c r="X44" s="8">
        <f t="shared" si="6"/>
        <v>319.5</v>
      </c>
      <c r="Y44" s="7">
        <f t="shared" si="7"/>
        <v>1.0649999999999999</v>
      </c>
      <c r="Z44" s="2">
        <f t="shared" si="8"/>
        <v>6390</v>
      </c>
      <c r="AA44" s="2">
        <f t="shared" si="9"/>
        <v>745.5</v>
      </c>
      <c r="AB44" s="2">
        <f t="shared" si="10"/>
        <v>13845</v>
      </c>
      <c r="AC44" s="6">
        <f t="shared" si="11"/>
        <v>1246.05</v>
      </c>
      <c r="AD44" s="6">
        <f t="shared" si="12"/>
        <v>332.28000000000003</v>
      </c>
      <c r="AE44" s="6">
        <f t="shared" si="13"/>
        <v>2323.83</v>
      </c>
      <c r="AF44" s="5">
        <f t="shared" si="14"/>
        <v>7.7460999999999993</v>
      </c>
    </row>
    <row r="45" spans="1:32" x14ac:dyDescent="0.25">
      <c r="A45" s="207">
        <v>608</v>
      </c>
      <c r="B45" s="1" t="str">
        <f t="shared" si="0"/>
        <v>0.41, Bed-Rip/Disk Rigid 4R-36</v>
      </c>
      <c r="C45" s="142">
        <v>0.41</v>
      </c>
      <c r="D45" s="138" t="s">
        <v>424</v>
      </c>
      <c r="E45" s="138" t="s">
        <v>451</v>
      </c>
      <c r="F45" s="138" t="s">
        <v>195</v>
      </c>
      <c r="G45" s="138" t="str">
        <f t="shared" si="1"/>
        <v>Bed-Rip/Disk Rigid 4R-36</v>
      </c>
      <c r="H45" s="190">
        <v>21300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1065.8918074839557</v>
      </c>
      <c r="W45" s="9">
        <f t="shared" si="5"/>
        <v>3.5529726916131859</v>
      </c>
      <c r="X45" s="8">
        <f t="shared" si="6"/>
        <v>319.5</v>
      </c>
      <c r="Y45" s="7">
        <f t="shared" si="7"/>
        <v>1.0649999999999999</v>
      </c>
      <c r="Z45" s="2">
        <f t="shared" si="8"/>
        <v>6390</v>
      </c>
      <c r="AA45" s="2">
        <f t="shared" si="9"/>
        <v>745.5</v>
      </c>
      <c r="AB45" s="2">
        <f t="shared" si="10"/>
        <v>13845</v>
      </c>
      <c r="AC45" s="6">
        <f t="shared" si="11"/>
        <v>1246.05</v>
      </c>
      <c r="AD45" s="6">
        <f t="shared" si="12"/>
        <v>332.28000000000003</v>
      </c>
      <c r="AE45" s="6">
        <f t="shared" si="13"/>
        <v>2323.83</v>
      </c>
      <c r="AF45" s="5">
        <f t="shared" si="14"/>
        <v>7.7460999999999993</v>
      </c>
    </row>
    <row r="46" spans="1:32" x14ac:dyDescent="0.25">
      <c r="A46" s="207">
        <v>573</v>
      </c>
      <c r="B46" s="1" t="str">
        <f t="shared" si="0"/>
        <v>0.42, Bed-Rip/Disk Rigid 8R-30</v>
      </c>
      <c r="C46" s="142">
        <v>0.42</v>
      </c>
      <c r="D46" s="138" t="s">
        <v>424</v>
      </c>
      <c r="E46" s="138" t="s">
        <v>451</v>
      </c>
      <c r="F46" s="138" t="s">
        <v>25</v>
      </c>
      <c r="G46" s="138" t="str">
        <f t="shared" si="1"/>
        <v>Bed-Rip/Disk Rigid 8R-30</v>
      </c>
      <c r="H46" s="190">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x14ac:dyDescent="0.25">
      <c r="A47" s="207">
        <v>572</v>
      </c>
      <c r="B47" s="1" t="str">
        <f t="shared" si="0"/>
        <v>0.43, Bed-Rip/Disk Rigid 6R-36</v>
      </c>
      <c r="C47" s="142">
        <v>0.43</v>
      </c>
      <c r="D47" s="138" t="s">
        <v>424</v>
      </c>
      <c r="E47" s="138" t="s">
        <v>451</v>
      </c>
      <c r="F47" s="138" t="s">
        <v>196</v>
      </c>
      <c r="G47" s="138" t="str">
        <f t="shared" si="1"/>
        <v>Bed-Rip/Disk Rigid 6R-36</v>
      </c>
      <c r="H47" s="190">
        <v>29700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1486.243506210023</v>
      </c>
      <c r="W47" s="9">
        <f t="shared" si="5"/>
        <v>4.9541450207000768</v>
      </c>
      <c r="X47" s="8">
        <f t="shared" si="6"/>
        <v>445.5</v>
      </c>
      <c r="Y47" s="7">
        <f t="shared" si="7"/>
        <v>1.4850000000000001</v>
      </c>
      <c r="Z47" s="2">
        <f t="shared" si="8"/>
        <v>8910</v>
      </c>
      <c r="AA47" s="2">
        <f t="shared" si="9"/>
        <v>1039.5</v>
      </c>
      <c r="AB47" s="2">
        <f t="shared" si="10"/>
        <v>19305</v>
      </c>
      <c r="AC47" s="6">
        <f t="shared" si="11"/>
        <v>1737.45</v>
      </c>
      <c r="AD47" s="6">
        <f t="shared" si="12"/>
        <v>463.32</v>
      </c>
      <c r="AE47" s="6">
        <f t="shared" si="13"/>
        <v>3240.27</v>
      </c>
      <c r="AF47" s="5">
        <f t="shared" si="14"/>
        <v>10.8009</v>
      </c>
    </row>
    <row r="48" spans="1:32" x14ac:dyDescent="0.25">
      <c r="A48" s="207">
        <v>623</v>
      </c>
      <c r="B48" s="1" t="str">
        <f t="shared" si="0"/>
        <v>0.44, Bed-Rip/Disk Rigid 8R-36</v>
      </c>
      <c r="C48" s="142">
        <v>0.44</v>
      </c>
      <c r="D48" s="138" t="s">
        <v>424</v>
      </c>
      <c r="E48" s="138" t="s">
        <v>451</v>
      </c>
      <c r="F48" s="138" t="s">
        <v>193</v>
      </c>
      <c r="G48" s="138" t="str">
        <f t="shared" si="1"/>
        <v>Bed-Rip/Disk Rigid 8R-36</v>
      </c>
      <c r="H48" s="190">
        <v>39800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1991.6663820592225</v>
      </c>
      <c r="W48" s="9">
        <f t="shared" si="5"/>
        <v>6.6388879401974084</v>
      </c>
      <c r="X48" s="8">
        <f t="shared" si="6"/>
        <v>597</v>
      </c>
      <c r="Y48" s="7">
        <f t="shared" si="7"/>
        <v>1.99</v>
      </c>
      <c r="Z48" s="2">
        <f t="shared" si="8"/>
        <v>11940</v>
      </c>
      <c r="AA48" s="2">
        <f t="shared" si="9"/>
        <v>1393</v>
      </c>
      <c r="AB48" s="2">
        <f t="shared" si="10"/>
        <v>25870</v>
      </c>
      <c r="AC48" s="6">
        <f t="shared" si="11"/>
        <v>2328.2999999999997</v>
      </c>
      <c r="AD48" s="6">
        <f t="shared" si="12"/>
        <v>620.88</v>
      </c>
      <c r="AE48" s="6">
        <f t="shared" si="13"/>
        <v>4342.1799999999994</v>
      </c>
      <c r="AF48" s="5">
        <f t="shared" si="14"/>
        <v>14.473933333333331</v>
      </c>
    </row>
    <row r="49" spans="1:35" x14ac:dyDescent="0.25">
      <c r="A49" s="207">
        <v>624</v>
      </c>
      <c r="B49" s="1" t="str">
        <f t="shared" si="0"/>
        <v>0.45, Bed-Rip/Disk Rigid 6R-30</v>
      </c>
      <c r="C49" s="142">
        <v>0.45</v>
      </c>
      <c r="D49" s="138" t="s">
        <v>424</v>
      </c>
      <c r="E49" s="138" t="s">
        <v>452</v>
      </c>
      <c r="F49" s="138" t="s">
        <v>47</v>
      </c>
      <c r="G49" s="138" t="str">
        <f t="shared" si="1"/>
        <v>Bed-Rip/Disk Rigid 6R-30</v>
      </c>
      <c r="H49" s="190">
        <v>29700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1486.243506210023</v>
      </c>
      <c r="W49" s="9">
        <f t="shared" si="5"/>
        <v>4.9541450207000768</v>
      </c>
      <c r="X49" s="8">
        <f t="shared" si="6"/>
        <v>445.5</v>
      </c>
      <c r="Y49" s="7">
        <f t="shared" si="7"/>
        <v>1.4850000000000001</v>
      </c>
      <c r="Z49" s="2">
        <f t="shared" si="8"/>
        <v>8910</v>
      </c>
      <c r="AA49" s="2">
        <f t="shared" si="9"/>
        <v>1039.5</v>
      </c>
      <c r="AB49" s="2">
        <f t="shared" si="10"/>
        <v>19305</v>
      </c>
      <c r="AC49" s="6">
        <f t="shared" si="11"/>
        <v>1737.45</v>
      </c>
      <c r="AD49" s="6">
        <f t="shared" si="12"/>
        <v>463.32</v>
      </c>
      <c r="AE49" s="6">
        <f t="shared" si="13"/>
        <v>3240.27</v>
      </c>
      <c r="AF49" s="5">
        <f t="shared" si="14"/>
        <v>10.8009</v>
      </c>
    </row>
    <row r="50" spans="1:35" x14ac:dyDescent="0.25">
      <c r="A50" s="207">
        <v>516</v>
      </c>
      <c r="B50" s="1" t="str">
        <f t="shared" si="0"/>
        <v>0.46, Bed-Rip/Disk/Cond. 6-Row</v>
      </c>
      <c r="C50" s="142">
        <v>0.46</v>
      </c>
      <c r="D50" s="138" t="s">
        <v>424</v>
      </c>
      <c r="E50" s="138" t="s">
        <v>453</v>
      </c>
      <c r="F50" s="138" t="s">
        <v>46</v>
      </c>
      <c r="G50" s="138" t="str">
        <f t="shared" si="1"/>
        <v>Bed-Rip/Disk/Cond. 6-Row</v>
      </c>
      <c r="H50" s="190">
        <v>24800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470.26559616944093</v>
      </c>
      <c r="W50" s="9">
        <f t="shared" si="5"/>
        <v>3.1351039744629396</v>
      </c>
      <c r="X50" s="8">
        <f t="shared" si="6"/>
        <v>1343.3333333333333</v>
      </c>
      <c r="Y50" s="7">
        <f t="shared" si="7"/>
        <v>8.9555555555555557</v>
      </c>
      <c r="Z50" s="2">
        <f t="shared" si="8"/>
        <v>7440</v>
      </c>
      <c r="AA50" s="2">
        <f t="shared" si="9"/>
        <v>1446.6666666666667</v>
      </c>
      <c r="AB50" s="2">
        <f t="shared" si="10"/>
        <v>16120</v>
      </c>
      <c r="AC50" s="6">
        <f t="shared" si="11"/>
        <v>1450.8</v>
      </c>
      <c r="AD50" s="6">
        <f t="shared" si="12"/>
        <v>386.88</v>
      </c>
      <c r="AE50" s="6">
        <f t="shared" si="13"/>
        <v>3284.3466666666668</v>
      </c>
      <c r="AF50" s="5">
        <f t="shared" si="14"/>
        <v>21.895644444444446</v>
      </c>
    </row>
    <row r="51" spans="1:35" x14ac:dyDescent="0.25">
      <c r="A51" s="207">
        <v>517</v>
      </c>
      <c r="B51" s="1" t="str">
        <f t="shared" si="0"/>
        <v>0.47, Bed-Rip/Disk/Cond. 8-Row</v>
      </c>
      <c r="C51" s="142">
        <v>0.47</v>
      </c>
      <c r="D51" s="138" t="s">
        <v>424</v>
      </c>
      <c r="E51" s="138" t="s">
        <v>453</v>
      </c>
      <c r="F51" s="138" t="s">
        <v>45</v>
      </c>
      <c r="G51" s="138" t="str">
        <f t="shared" si="1"/>
        <v>Bed-Rip/Disk/Cond. 8-Row</v>
      </c>
      <c r="H51" s="190">
        <v>33000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625.75664006417549</v>
      </c>
      <c r="W51" s="9">
        <f t="shared" si="5"/>
        <v>4.1717109337611697</v>
      </c>
      <c r="X51" s="8">
        <f t="shared" si="6"/>
        <v>1787.5</v>
      </c>
      <c r="Y51" s="7">
        <f t="shared" si="7"/>
        <v>11.916666666666666</v>
      </c>
      <c r="Z51" s="2">
        <f t="shared" si="8"/>
        <v>9900</v>
      </c>
      <c r="AA51" s="2">
        <f t="shared" si="9"/>
        <v>1925</v>
      </c>
      <c r="AB51" s="2">
        <f t="shared" si="10"/>
        <v>21450</v>
      </c>
      <c r="AC51" s="6">
        <f t="shared" si="11"/>
        <v>1930.5</v>
      </c>
      <c r="AD51" s="6">
        <f t="shared" si="12"/>
        <v>514.79999999999995</v>
      </c>
      <c r="AE51" s="6">
        <f t="shared" si="13"/>
        <v>4370.3</v>
      </c>
      <c r="AF51" s="5">
        <f t="shared" si="14"/>
        <v>29.135333333333335</v>
      </c>
    </row>
    <row r="52" spans="1:35" x14ac:dyDescent="0.25">
      <c r="A52" s="207">
        <v>510</v>
      </c>
      <c r="B52" s="1" t="str">
        <f t="shared" si="0"/>
        <v>0.48, Bed-Roll-Fold. 8R-36</v>
      </c>
      <c r="C52" s="142">
        <v>0.48</v>
      </c>
      <c r="D52" s="138" t="s">
        <v>424</v>
      </c>
      <c r="E52" s="138" t="s">
        <v>454</v>
      </c>
      <c r="F52" s="138" t="s">
        <v>193</v>
      </c>
      <c r="G52" s="138" t="str">
        <f t="shared" si="1"/>
        <v>Bed-Roll-Fold. 8R-36</v>
      </c>
      <c r="H52" s="209">
        <v>24300</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504.35695432653893</v>
      </c>
      <c r="W52" s="9">
        <f t="shared" si="5"/>
        <v>3.1522309645408684</v>
      </c>
      <c r="X52" s="8">
        <f t="shared" si="6"/>
        <v>972</v>
      </c>
      <c r="Y52" s="7">
        <f t="shared" si="7"/>
        <v>6.0750000000000002</v>
      </c>
      <c r="Z52" s="2">
        <f t="shared" si="8"/>
        <v>7290</v>
      </c>
      <c r="AA52" s="2">
        <f t="shared" si="9"/>
        <v>1701</v>
      </c>
      <c r="AB52" s="2">
        <f t="shared" si="10"/>
        <v>15795</v>
      </c>
      <c r="AC52" s="6">
        <f t="shared" si="11"/>
        <v>1421.55</v>
      </c>
      <c r="AD52" s="6">
        <f t="shared" si="12"/>
        <v>379.08</v>
      </c>
      <c r="AE52" s="6">
        <f t="shared" si="13"/>
        <v>3501.63</v>
      </c>
      <c r="AF52" s="5">
        <f t="shared" si="14"/>
        <v>21.885187500000001</v>
      </c>
    </row>
    <row r="53" spans="1:35" x14ac:dyDescent="0.25">
      <c r="A53" s="207">
        <v>512</v>
      </c>
      <c r="B53" s="1" t="str">
        <f t="shared" si="0"/>
        <v>0.49, Bed-Roll-Fold. 12R-30</v>
      </c>
      <c r="C53" s="142">
        <v>0.49</v>
      </c>
      <c r="D53" s="138" t="s">
        <v>424</v>
      </c>
      <c r="E53" s="138" t="s">
        <v>455</v>
      </c>
      <c r="F53" s="138" t="s">
        <v>6</v>
      </c>
      <c r="G53" s="138" t="str">
        <f t="shared" si="1"/>
        <v>Bed-Roll-Fold. 12R-30</v>
      </c>
      <c r="H53" s="209">
        <v>37800</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784.55526228572728</v>
      </c>
      <c r="W53" s="9">
        <f t="shared" si="5"/>
        <v>4.9034703892857952</v>
      </c>
      <c r="X53" s="8">
        <f t="shared" si="6"/>
        <v>1512</v>
      </c>
      <c r="Y53" s="7">
        <f t="shared" si="7"/>
        <v>9.4499999999999993</v>
      </c>
      <c r="Z53" s="2">
        <f t="shared" si="8"/>
        <v>11340</v>
      </c>
      <c r="AA53" s="2">
        <f t="shared" si="9"/>
        <v>2646</v>
      </c>
      <c r="AB53" s="2">
        <f t="shared" si="10"/>
        <v>24570</v>
      </c>
      <c r="AC53" s="6">
        <f t="shared" si="11"/>
        <v>2211.2999999999997</v>
      </c>
      <c r="AD53" s="6">
        <f t="shared" si="12"/>
        <v>589.68000000000006</v>
      </c>
      <c r="AE53" s="6">
        <f t="shared" si="13"/>
        <v>5446.98</v>
      </c>
      <c r="AF53" s="5">
        <f t="shared" si="14"/>
        <v>34.043624999999999</v>
      </c>
    </row>
    <row r="54" spans="1:35" x14ac:dyDescent="0.25">
      <c r="A54" s="207">
        <v>513</v>
      </c>
      <c r="B54" s="1" t="str">
        <f t="shared" si="0"/>
        <v>0.5, Bed-Roll-Fold. 12R-36</v>
      </c>
      <c r="C54" s="142">
        <v>0.5</v>
      </c>
      <c r="D54" s="138" t="s">
        <v>424</v>
      </c>
      <c r="E54" s="138" t="s">
        <v>455</v>
      </c>
      <c r="F54" s="138" t="s">
        <v>194</v>
      </c>
      <c r="G54" s="138" t="str">
        <f t="shared" si="1"/>
        <v>Bed-Roll-Fold. 12R-36</v>
      </c>
      <c r="H54" s="209">
        <v>36700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761.72428904460821</v>
      </c>
      <c r="W54" s="9">
        <f t="shared" si="5"/>
        <v>4.760776806528801</v>
      </c>
      <c r="X54" s="8">
        <f t="shared" si="6"/>
        <v>1468</v>
      </c>
      <c r="Y54" s="7">
        <f t="shared" si="7"/>
        <v>9.1750000000000007</v>
      </c>
      <c r="Z54" s="2">
        <f t="shared" si="8"/>
        <v>11010</v>
      </c>
      <c r="AA54" s="2">
        <f t="shared" si="9"/>
        <v>2569</v>
      </c>
      <c r="AB54" s="2">
        <f t="shared" si="10"/>
        <v>23855</v>
      </c>
      <c r="AC54" s="6">
        <f t="shared" si="11"/>
        <v>2146.9499999999998</v>
      </c>
      <c r="AD54" s="6">
        <f t="shared" si="12"/>
        <v>572.52</v>
      </c>
      <c r="AE54" s="6">
        <f t="shared" si="13"/>
        <v>5288.4699999999993</v>
      </c>
      <c r="AF54" s="5">
        <f t="shared" si="14"/>
        <v>33.052937499999999</v>
      </c>
    </row>
    <row r="55" spans="1:35" x14ac:dyDescent="0.25">
      <c r="A55" s="207">
        <v>514</v>
      </c>
      <c r="B55" s="1" t="str">
        <f t="shared" si="0"/>
        <v>0.51, Bed-Roll-Fold. 16R-30</v>
      </c>
      <c r="C55" s="142">
        <v>0.51</v>
      </c>
      <c r="D55" s="138" t="s">
        <v>424</v>
      </c>
      <c r="E55" s="138" t="s">
        <v>455</v>
      </c>
      <c r="F55" s="138" t="s">
        <v>59</v>
      </c>
      <c r="G55" s="138" t="str">
        <f t="shared" si="1"/>
        <v>Bed-Roll-Fold. 16R-30</v>
      </c>
      <c r="H55" s="209">
        <v>48700</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1010.7894516749978</v>
      </c>
      <c r="W55" s="9">
        <f t="shared" si="5"/>
        <v>6.3174340729687364</v>
      </c>
      <c r="X55" s="8">
        <f t="shared" si="6"/>
        <v>1948</v>
      </c>
      <c r="Y55" s="7">
        <f t="shared" si="7"/>
        <v>12.175000000000001</v>
      </c>
      <c r="Z55" s="2">
        <f t="shared" si="8"/>
        <v>14610</v>
      </c>
      <c r="AA55" s="2">
        <f t="shared" si="9"/>
        <v>3409</v>
      </c>
      <c r="AB55" s="2">
        <f t="shared" si="10"/>
        <v>31655</v>
      </c>
      <c r="AC55" s="6">
        <f t="shared" si="11"/>
        <v>2848.95</v>
      </c>
      <c r="AD55" s="6">
        <f t="shared" si="12"/>
        <v>759.72</v>
      </c>
      <c r="AE55" s="6">
        <f t="shared" si="13"/>
        <v>7017.67</v>
      </c>
      <c r="AF55" s="5">
        <f t="shared" si="14"/>
        <v>43.860437500000003</v>
      </c>
    </row>
    <row r="56" spans="1:35" x14ac:dyDescent="0.25">
      <c r="A56" s="207">
        <v>511</v>
      </c>
      <c r="B56" s="1" t="str">
        <f t="shared" si="0"/>
        <v>0.52, Bed-Roll-Rigid  8R-36</v>
      </c>
      <c r="C56" s="142">
        <v>0.52</v>
      </c>
      <c r="D56" s="138" t="s">
        <v>424</v>
      </c>
      <c r="E56" s="138" t="s">
        <v>456</v>
      </c>
      <c r="F56" s="138" t="s">
        <v>193</v>
      </c>
      <c r="G56" s="138" t="str">
        <f t="shared" si="1"/>
        <v>Bed-Roll-Rigid  8R-36</v>
      </c>
      <c r="H56" s="209">
        <v>25000</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518.88575547997834</v>
      </c>
      <c r="W56" s="9">
        <f t="shared" si="5"/>
        <v>3.2430359717498645</v>
      </c>
      <c r="X56" s="8">
        <f t="shared" si="6"/>
        <v>1000</v>
      </c>
      <c r="Y56" s="7">
        <f t="shared" si="7"/>
        <v>6.25</v>
      </c>
      <c r="Z56" s="2">
        <f t="shared" si="8"/>
        <v>7500</v>
      </c>
      <c r="AA56" s="2">
        <f t="shared" si="9"/>
        <v>1750</v>
      </c>
      <c r="AB56" s="2">
        <f t="shared" si="10"/>
        <v>16250</v>
      </c>
      <c r="AC56" s="6">
        <f t="shared" si="11"/>
        <v>1462.5</v>
      </c>
      <c r="AD56" s="6">
        <f t="shared" si="12"/>
        <v>390</v>
      </c>
      <c r="AE56" s="6">
        <f t="shared" si="13"/>
        <v>3602.5</v>
      </c>
      <c r="AF56" s="5">
        <f t="shared" si="14"/>
        <v>22.515625</v>
      </c>
    </row>
    <row r="57" spans="1:35" x14ac:dyDescent="0.25">
      <c r="A57" s="207">
        <v>418</v>
      </c>
      <c r="B57" s="1" t="str">
        <f t="shared" si="0"/>
        <v>0.53, Blade-Box  6'-7'</v>
      </c>
      <c r="C57" s="142">
        <v>0.53</v>
      </c>
      <c r="D57" s="138" t="s">
        <v>424</v>
      </c>
      <c r="E57" s="138" t="s">
        <v>255</v>
      </c>
      <c r="F57" s="138" t="s">
        <v>94</v>
      </c>
      <c r="G57" s="138" t="str">
        <f t="shared" si="1"/>
        <v>Blade-Box  6'-7'</v>
      </c>
      <c r="H57" s="30">
        <v>1470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41.698755422714221</v>
      </c>
      <c r="W57" s="9">
        <f t="shared" si="5"/>
        <v>0.20849377711357112</v>
      </c>
      <c r="X57" s="8">
        <f t="shared" si="6"/>
        <v>139.65</v>
      </c>
      <c r="Y57" s="7">
        <f t="shared" si="7"/>
        <v>0.69825000000000004</v>
      </c>
      <c r="Z57" s="2">
        <f t="shared" si="8"/>
        <v>220.5</v>
      </c>
      <c r="AA57" s="2">
        <f t="shared" si="9"/>
        <v>62.475000000000001</v>
      </c>
      <c r="AB57" s="2">
        <f t="shared" si="10"/>
        <v>845.25</v>
      </c>
      <c r="AC57" s="6">
        <f t="shared" si="11"/>
        <v>76.072499999999991</v>
      </c>
      <c r="AD57" s="6">
        <f t="shared" si="12"/>
        <v>20.286000000000001</v>
      </c>
      <c r="AE57" s="6">
        <f t="shared" si="13"/>
        <v>158.83349999999999</v>
      </c>
      <c r="AF57" s="5">
        <f t="shared" si="14"/>
        <v>0.79416749999999992</v>
      </c>
    </row>
    <row r="58" spans="1:35" x14ac:dyDescent="0.25">
      <c r="A58" s="207">
        <v>473</v>
      </c>
      <c r="B58" s="1" t="str">
        <f t="shared" si="0"/>
        <v>0.54, Blade-Box  8'-10'</v>
      </c>
      <c r="C58" s="142">
        <v>0.54</v>
      </c>
      <c r="D58" s="138" t="s">
        <v>424</v>
      </c>
      <c r="E58" s="138" t="s">
        <v>255</v>
      </c>
      <c r="F58" s="138" t="s">
        <v>93</v>
      </c>
      <c r="G58" s="138"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x14ac:dyDescent="0.25">
      <c r="A59" s="207">
        <v>506</v>
      </c>
      <c r="B59" s="1" t="str">
        <f t="shared" si="0"/>
        <v>0.55, Blade-Box 12'-16'</v>
      </c>
      <c r="C59" s="142">
        <v>0.55000000000000004</v>
      </c>
      <c r="D59" s="138" t="s">
        <v>424</v>
      </c>
      <c r="E59" s="138" t="s">
        <v>255</v>
      </c>
      <c r="F59" s="138" t="s">
        <v>92</v>
      </c>
      <c r="G59" s="138" t="str">
        <f t="shared" si="1"/>
        <v>Blade-Box 12'-16'</v>
      </c>
      <c r="H59" s="30">
        <v>6190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175.58863678000068</v>
      </c>
      <c r="W59" s="9">
        <f t="shared" si="5"/>
        <v>0.87794318390000337</v>
      </c>
      <c r="X59" s="8">
        <f t="shared" si="6"/>
        <v>588.04999999999995</v>
      </c>
      <c r="Y59" s="7">
        <f t="shared" si="7"/>
        <v>2.9402499999999998</v>
      </c>
      <c r="Z59" s="2">
        <f t="shared" si="8"/>
        <v>928.5</v>
      </c>
      <c r="AA59" s="2">
        <f t="shared" si="9"/>
        <v>263.07499999999999</v>
      </c>
      <c r="AB59" s="2">
        <f t="shared" si="10"/>
        <v>3559.25</v>
      </c>
      <c r="AC59" s="6">
        <f t="shared" si="11"/>
        <v>320.33249999999998</v>
      </c>
      <c r="AD59" s="6">
        <f t="shared" si="12"/>
        <v>85.421999999999997</v>
      </c>
      <c r="AE59" s="6">
        <f t="shared" si="13"/>
        <v>668.82950000000005</v>
      </c>
      <c r="AF59" s="5">
        <f t="shared" si="14"/>
        <v>3.3441475000000001</v>
      </c>
    </row>
    <row r="60" spans="1:35" x14ac:dyDescent="0.25">
      <c r="A60" s="207">
        <v>475</v>
      </c>
      <c r="B60" s="1" t="str">
        <f t="shared" si="0"/>
        <v>0.56, Blade-Scraper  6'-7'</v>
      </c>
      <c r="C60" s="142">
        <v>0.56000000000000005</v>
      </c>
      <c r="D60" s="138" t="s">
        <v>424</v>
      </c>
      <c r="E60" s="138" t="s">
        <v>256</v>
      </c>
      <c r="F60" s="138" t="s">
        <v>94</v>
      </c>
      <c r="G60" s="138" t="str">
        <f t="shared" si="1"/>
        <v>Blade-Scraper  6'-7'</v>
      </c>
      <c r="H60" s="30">
        <v>1270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36.025455365202077</v>
      </c>
      <c r="W60" s="9">
        <f t="shared" si="5"/>
        <v>0.18012727682601037</v>
      </c>
      <c r="X60" s="8">
        <f t="shared" si="6"/>
        <v>120.65</v>
      </c>
      <c r="Y60" s="7">
        <f t="shared" si="7"/>
        <v>0.60325000000000006</v>
      </c>
      <c r="Z60" s="2">
        <f t="shared" si="8"/>
        <v>190.5</v>
      </c>
      <c r="AA60" s="2">
        <f t="shared" si="9"/>
        <v>53.975000000000001</v>
      </c>
      <c r="AB60" s="2">
        <f t="shared" si="10"/>
        <v>730.25</v>
      </c>
      <c r="AC60" s="6">
        <f t="shared" si="11"/>
        <v>65.722499999999997</v>
      </c>
      <c r="AD60" s="6">
        <f t="shared" si="12"/>
        <v>17.526</v>
      </c>
      <c r="AE60" s="6">
        <f t="shared" si="13"/>
        <v>137.2235</v>
      </c>
      <c r="AF60" s="5">
        <f t="shared" si="14"/>
        <v>0.68611750000000005</v>
      </c>
    </row>
    <row r="61" spans="1:35" x14ac:dyDescent="0.25">
      <c r="A61" s="207">
        <v>476</v>
      </c>
      <c r="B61" s="1" t="str">
        <f t="shared" si="0"/>
        <v>0.57, Blade-Scraper  8'-10'</v>
      </c>
      <c r="C61" s="142">
        <v>0.56999999999999995</v>
      </c>
      <c r="D61" s="138" t="s">
        <v>424</v>
      </c>
      <c r="E61" s="138" t="s">
        <v>256</v>
      </c>
      <c r="F61" s="138" t="s">
        <v>93</v>
      </c>
      <c r="G61" s="138" t="str">
        <f t="shared" si="1"/>
        <v>Blade-Scraper  8'-10'</v>
      </c>
      <c r="H61" s="30">
        <v>3870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109.77835611285988</v>
      </c>
      <c r="W61" s="9">
        <f t="shared" si="5"/>
        <v>0.54889178056429944</v>
      </c>
      <c r="X61" s="8">
        <f t="shared" si="6"/>
        <v>367.65</v>
      </c>
      <c r="Y61" s="7">
        <f t="shared" si="7"/>
        <v>1.8382499999999999</v>
      </c>
      <c r="Z61" s="2">
        <f t="shared" si="8"/>
        <v>580.5</v>
      </c>
      <c r="AA61" s="2">
        <f t="shared" si="9"/>
        <v>164.47499999999999</v>
      </c>
      <c r="AB61" s="2">
        <f t="shared" si="10"/>
        <v>2225.25</v>
      </c>
      <c r="AC61" s="6">
        <f t="shared" si="11"/>
        <v>200.27249999999998</v>
      </c>
      <c r="AD61" s="6">
        <f t="shared" si="12"/>
        <v>53.405999999999999</v>
      </c>
      <c r="AE61" s="6">
        <f t="shared" si="13"/>
        <v>418.15349999999995</v>
      </c>
      <c r="AF61" s="5">
        <f t="shared" si="14"/>
        <v>2.0907674999999997</v>
      </c>
    </row>
    <row r="62" spans="1:35" x14ac:dyDescent="0.25">
      <c r="A62" s="207">
        <v>477</v>
      </c>
      <c r="B62" s="1" t="str">
        <f t="shared" si="0"/>
        <v>0.58, Blade-Scraper 12'-16'</v>
      </c>
      <c r="C62" s="142">
        <v>0.57999999999999996</v>
      </c>
      <c r="D62" s="138" t="s">
        <v>424</v>
      </c>
      <c r="E62" s="138" t="s">
        <v>256</v>
      </c>
      <c r="F62" s="138" t="s">
        <v>92</v>
      </c>
      <c r="G62" s="138" t="str">
        <f t="shared" si="1"/>
        <v>Blade-Scraper 12'-16'</v>
      </c>
      <c r="H62" s="211">
        <v>9810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278.27536782097042</v>
      </c>
      <c r="W62" s="9">
        <f t="shared" si="5"/>
        <v>1.391376839104852</v>
      </c>
      <c r="X62" s="8">
        <f t="shared" si="6"/>
        <v>931.95</v>
      </c>
      <c r="Y62" s="7">
        <f t="shared" si="7"/>
        <v>4.6597499999999998</v>
      </c>
      <c r="Z62" s="2">
        <f t="shared" si="8"/>
        <v>1471.5</v>
      </c>
      <c r="AA62" s="2">
        <f t="shared" si="9"/>
        <v>416.92500000000001</v>
      </c>
      <c r="AB62" s="2">
        <f t="shared" si="10"/>
        <v>5640.75</v>
      </c>
      <c r="AC62" s="6">
        <f t="shared" si="11"/>
        <v>507.66749999999996</v>
      </c>
      <c r="AD62" s="6">
        <f t="shared" si="12"/>
        <v>135.37800000000001</v>
      </c>
      <c r="AE62" s="6">
        <f t="shared" si="13"/>
        <v>1059.9704999999999</v>
      </c>
      <c r="AF62" s="5">
        <f t="shared" si="14"/>
        <v>5.2998524999999992</v>
      </c>
    </row>
    <row r="63" spans="1:35" x14ac:dyDescent="0.25">
      <c r="A63" s="207">
        <v>5</v>
      </c>
      <c r="B63" s="1" t="str">
        <f t="shared" si="0"/>
        <v>0.59, Chisel Plow-Folding 16'</v>
      </c>
      <c r="C63" s="142">
        <v>0.59</v>
      </c>
      <c r="D63" s="138" t="s">
        <v>424</v>
      </c>
      <c r="E63" s="143" t="s">
        <v>257</v>
      </c>
      <c r="F63" s="143" t="s">
        <v>80</v>
      </c>
      <c r="G63" s="138" t="str">
        <f t="shared" si="1"/>
        <v>Chisel Plow-Folding 16'</v>
      </c>
      <c r="H63" s="284">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x14ac:dyDescent="0.25">
      <c r="A64" s="207">
        <v>408</v>
      </c>
      <c r="B64" s="1" t="str">
        <f t="shared" si="0"/>
        <v>0.6, Chisel Plow-Folding 24'</v>
      </c>
      <c r="C64" s="142">
        <v>0.6</v>
      </c>
      <c r="D64" s="138" t="s">
        <v>424</v>
      </c>
      <c r="E64" s="138" t="s">
        <v>257</v>
      </c>
      <c r="F64" s="138" t="s">
        <v>65</v>
      </c>
      <c r="G64" s="138" t="str">
        <f t="shared" si="1"/>
        <v>Chisel Plow-Folding 24'</v>
      </c>
      <c r="H64" s="30">
        <v>43500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824.86102553914043</v>
      </c>
      <c r="W64" s="9">
        <f t="shared" si="5"/>
        <v>5.4990735035942695</v>
      </c>
      <c r="X64" s="8">
        <f t="shared" si="6"/>
        <v>2356.25</v>
      </c>
      <c r="Y64" s="7">
        <f t="shared" si="7"/>
        <v>15.708333333333334</v>
      </c>
      <c r="Z64" s="2">
        <f t="shared" si="8"/>
        <v>13050</v>
      </c>
      <c r="AA64" s="2">
        <f t="shared" si="9"/>
        <v>2537.5</v>
      </c>
      <c r="AB64" s="2">
        <f t="shared" si="10"/>
        <v>28275</v>
      </c>
      <c r="AC64" s="6">
        <f t="shared" si="11"/>
        <v>2544.75</v>
      </c>
      <c r="AD64" s="6">
        <f t="shared" si="12"/>
        <v>678.6</v>
      </c>
      <c r="AE64" s="6">
        <f t="shared" si="13"/>
        <v>5760.85</v>
      </c>
      <c r="AF64" s="5">
        <f t="shared" si="14"/>
        <v>38.405666666666669</v>
      </c>
    </row>
    <row r="65" spans="1:32" x14ac:dyDescent="0.25">
      <c r="A65" s="207">
        <v>7</v>
      </c>
      <c r="B65" s="1" t="str">
        <f t="shared" si="0"/>
        <v>0.61, Chisel Plow-Folding 32'</v>
      </c>
      <c r="C65" s="142">
        <v>0.61</v>
      </c>
      <c r="D65" s="138" t="s">
        <v>424</v>
      </c>
      <c r="E65" s="138" t="s">
        <v>257</v>
      </c>
      <c r="F65" s="138" t="s">
        <v>43</v>
      </c>
      <c r="G65" s="138" t="str">
        <f t="shared" si="1"/>
        <v>Chisel Plow-Folding 32'</v>
      </c>
      <c r="H65" s="30">
        <v>54500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1033.4465722271989</v>
      </c>
      <c r="W65" s="9">
        <f t="shared" si="5"/>
        <v>6.8896438148479922</v>
      </c>
      <c r="X65" s="8">
        <f t="shared" si="6"/>
        <v>2952.0833333333335</v>
      </c>
      <c r="Y65" s="7">
        <f t="shared" si="7"/>
        <v>19.680555555555557</v>
      </c>
      <c r="Z65" s="2">
        <f t="shared" si="8"/>
        <v>16350</v>
      </c>
      <c r="AA65" s="2">
        <f t="shared" si="9"/>
        <v>3179.1666666666665</v>
      </c>
      <c r="AB65" s="2">
        <f t="shared" si="10"/>
        <v>35425</v>
      </c>
      <c r="AC65" s="6">
        <f t="shared" si="11"/>
        <v>3188.25</v>
      </c>
      <c r="AD65" s="6">
        <f t="shared" si="12"/>
        <v>850.2</v>
      </c>
      <c r="AE65" s="6">
        <f t="shared" si="13"/>
        <v>7217.6166666666659</v>
      </c>
      <c r="AF65" s="5">
        <f t="shared" si="14"/>
        <v>48.117444444444438</v>
      </c>
    </row>
    <row r="66" spans="1:32" x14ac:dyDescent="0.25">
      <c r="A66" s="207">
        <v>230</v>
      </c>
      <c r="B66" s="1" t="str">
        <f t="shared" si="0"/>
        <v>0.62, Chisel Plow-Folding 42'</v>
      </c>
      <c r="C66" s="142">
        <v>0.62</v>
      </c>
      <c r="D66" s="138" t="s">
        <v>424</v>
      </c>
      <c r="E66" s="138" t="s">
        <v>257</v>
      </c>
      <c r="F66" s="138" t="s">
        <v>86</v>
      </c>
      <c r="G66" s="138" t="str">
        <f t="shared" si="1"/>
        <v>Chisel Plow-Folding 42'</v>
      </c>
      <c r="H66" s="30">
        <v>65700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1245.8245834004947</v>
      </c>
      <c r="W66" s="9">
        <f t="shared" si="5"/>
        <v>8.305497222669965</v>
      </c>
      <c r="X66" s="8">
        <f t="shared" si="6"/>
        <v>3558.75</v>
      </c>
      <c r="Y66" s="7">
        <f t="shared" si="7"/>
        <v>23.725000000000001</v>
      </c>
      <c r="Z66" s="2">
        <f t="shared" si="8"/>
        <v>19710</v>
      </c>
      <c r="AA66" s="2">
        <f t="shared" si="9"/>
        <v>3832.5</v>
      </c>
      <c r="AB66" s="2">
        <f t="shared" si="10"/>
        <v>42705</v>
      </c>
      <c r="AC66" s="6">
        <f t="shared" si="11"/>
        <v>3843.45</v>
      </c>
      <c r="AD66" s="6">
        <f t="shared" si="12"/>
        <v>1024.92</v>
      </c>
      <c r="AE66" s="6">
        <f t="shared" si="13"/>
        <v>8700.869999999999</v>
      </c>
      <c r="AF66" s="5">
        <f t="shared" si="14"/>
        <v>58.005799999999994</v>
      </c>
    </row>
    <row r="67" spans="1:32" x14ac:dyDescent="0.25">
      <c r="A67" s="207">
        <v>651</v>
      </c>
      <c r="B67" s="1" t="str">
        <f t="shared" si="0"/>
        <v>0.63, Chisel Plow-Folding 50'</v>
      </c>
      <c r="C67" s="142">
        <v>0.63</v>
      </c>
      <c r="D67" s="138" t="s">
        <v>424</v>
      </c>
      <c r="E67" s="138" t="s">
        <v>257</v>
      </c>
      <c r="F67" s="138" t="s">
        <v>15</v>
      </c>
      <c r="G67" s="138" t="str">
        <f t="shared" si="1"/>
        <v>Chisel Plow-Folding 50'</v>
      </c>
      <c r="H67" s="30">
        <v>85900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1628.8634964094749</v>
      </c>
      <c r="W67" s="9">
        <f t="shared" si="5"/>
        <v>10.859089976063165</v>
      </c>
      <c r="X67" s="8">
        <f t="shared" si="6"/>
        <v>5583.5</v>
      </c>
      <c r="Y67" s="7">
        <f t="shared" si="7"/>
        <v>37.223333333333336</v>
      </c>
      <c r="Z67" s="2">
        <f t="shared" si="8"/>
        <v>25770</v>
      </c>
      <c r="AA67" s="2">
        <f t="shared" si="9"/>
        <v>6013</v>
      </c>
      <c r="AB67" s="2">
        <f t="shared" si="10"/>
        <v>55835</v>
      </c>
      <c r="AC67" s="6">
        <f t="shared" si="11"/>
        <v>5025.1499999999996</v>
      </c>
      <c r="AD67" s="6">
        <f t="shared" si="12"/>
        <v>1340.04</v>
      </c>
      <c r="AE67" s="6">
        <f t="shared" si="13"/>
        <v>12378.189999999999</v>
      </c>
      <c r="AF67" s="5">
        <f t="shared" si="14"/>
        <v>82.521266666666662</v>
      </c>
    </row>
    <row r="68" spans="1:32" x14ac:dyDescent="0.25">
      <c r="A68" s="207">
        <v>702</v>
      </c>
      <c r="B68" s="1" t="str">
        <f t="shared" si="0"/>
        <v>0.64, Chisel Plow-Folding 61'</v>
      </c>
      <c r="C68" s="142">
        <v>0.64</v>
      </c>
      <c r="D68" s="138" t="s">
        <v>424</v>
      </c>
      <c r="E68" s="138" t="s">
        <v>257</v>
      </c>
      <c r="F68" s="138" t="s">
        <v>90</v>
      </c>
      <c r="G68" s="138" t="str">
        <f t="shared" si="1"/>
        <v>Chisel Plow-Folding 61'</v>
      </c>
      <c r="H68" s="30">
        <v>99100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1879.166152435145</v>
      </c>
      <c r="W68" s="9">
        <f t="shared" si="5"/>
        <v>12.527774349567634</v>
      </c>
      <c r="X68" s="8">
        <f t="shared" si="6"/>
        <v>5367.916666666667</v>
      </c>
      <c r="Y68" s="7">
        <f t="shared" si="7"/>
        <v>35.786111111111111</v>
      </c>
      <c r="Z68" s="2">
        <f t="shared" si="8"/>
        <v>29730</v>
      </c>
      <c r="AA68" s="2">
        <f t="shared" si="9"/>
        <v>5780.833333333333</v>
      </c>
      <c r="AB68" s="2">
        <f t="shared" si="10"/>
        <v>64415</v>
      </c>
      <c r="AC68" s="6">
        <f t="shared" si="11"/>
        <v>5797.3499999999995</v>
      </c>
      <c r="AD68" s="6">
        <f t="shared" si="12"/>
        <v>1545.96</v>
      </c>
      <c r="AE68" s="6">
        <f t="shared" si="13"/>
        <v>13124.143333333333</v>
      </c>
      <c r="AF68" s="5">
        <f t="shared" si="14"/>
        <v>87.494288888888889</v>
      </c>
    </row>
    <row r="69" spans="1:32" x14ac:dyDescent="0.25">
      <c r="A69" s="207">
        <v>698</v>
      </c>
      <c r="B69" s="1" t="str">
        <f t="shared" ref="B69:B132" si="15">CONCATENATE(C69,D69,E69,F69)</f>
        <v>0.65, Chisel Plow-Rigid 10'</v>
      </c>
      <c r="C69" s="142">
        <v>0.65</v>
      </c>
      <c r="D69" s="138" t="s">
        <v>424</v>
      </c>
      <c r="E69" s="138" t="s">
        <v>258</v>
      </c>
      <c r="F69" s="138" t="s">
        <v>66</v>
      </c>
      <c r="G69" s="138"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x14ac:dyDescent="0.25">
      <c r="A70" s="207">
        <v>4</v>
      </c>
      <c r="B70" s="1" t="str">
        <f t="shared" si="15"/>
        <v>0.66, Chisel Plow-Rigid 15'</v>
      </c>
      <c r="C70" s="142">
        <v>0.66</v>
      </c>
      <c r="D70" s="138" t="s">
        <v>424</v>
      </c>
      <c r="E70" s="138" t="s">
        <v>258</v>
      </c>
      <c r="F70" s="138" t="s">
        <v>10</v>
      </c>
      <c r="G70" s="138" t="str">
        <f t="shared" si="16"/>
        <v>Chisel Plow-Rigid 15'</v>
      </c>
      <c r="H70" s="30">
        <v>13200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250.30265602567022</v>
      </c>
      <c r="W70" s="9">
        <f t="shared" si="20"/>
        <v>1.6686843735044681</v>
      </c>
      <c r="X70" s="8">
        <f t="shared" si="21"/>
        <v>715</v>
      </c>
      <c r="Y70" s="7">
        <f t="shared" si="22"/>
        <v>4.7666666666666666</v>
      </c>
      <c r="Z70" s="2">
        <f t="shared" si="23"/>
        <v>3960</v>
      </c>
      <c r="AA70" s="2">
        <f t="shared" si="24"/>
        <v>770</v>
      </c>
      <c r="AB70" s="2">
        <f t="shared" si="25"/>
        <v>8580</v>
      </c>
      <c r="AC70" s="6">
        <f t="shared" si="26"/>
        <v>772.19999999999993</v>
      </c>
      <c r="AD70" s="6">
        <f t="shared" si="27"/>
        <v>205.92000000000002</v>
      </c>
      <c r="AE70" s="6">
        <f t="shared" si="28"/>
        <v>1748.12</v>
      </c>
      <c r="AF70" s="5">
        <f t="shared" si="29"/>
        <v>11.654133333333332</v>
      </c>
    </row>
    <row r="71" spans="1:32" x14ac:dyDescent="0.25">
      <c r="A71" s="207">
        <v>701</v>
      </c>
      <c r="B71" s="1" t="str">
        <f t="shared" si="15"/>
        <v>0.67, Chisel Plow-Rigid 20'</v>
      </c>
      <c r="C71" s="142">
        <v>0.67</v>
      </c>
      <c r="D71" s="138" t="s">
        <v>424</v>
      </c>
      <c r="E71" s="138" t="s">
        <v>258</v>
      </c>
      <c r="F71" s="138" t="s">
        <v>8</v>
      </c>
      <c r="G71" s="138" t="str">
        <f t="shared" si="16"/>
        <v>Chisel Plow-Rigid 20'</v>
      </c>
      <c r="H71" s="284">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x14ac:dyDescent="0.25">
      <c r="A72" s="207">
        <v>6</v>
      </c>
      <c r="B72" s="1" t="str">
        <f t="shared" si="15"/>
        <v>0.68, Chisel Plow-Rigid 24'</v>
      </c>
      <c r="C72" s="142">
        <v>0.68</v>
      </c>
      <c r="D72" s="138" t="s">
        <v>424</v>
      </c>
      <c r="E72" s="138" t="s">
        <v>258</v>
      </c>
      <c r="F72" s="138" t="s">
        <v>65</v>
      </c>
      <c r="G72" s="138" t="str">
        <f t="shared" si="16"/>
        <v>Chisel Plow-Rigid 24'</v>
      </c>
      <c r="H72" s="30">
        <v>15000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284.43483639280709</v>
      </c>
      <c r="W72" s="9">
        <f t="shared" si="20"/>
        <v>1.8962322426187139</v>
      </c>
      <c r="X72" s="8">
        <f t="shared" si="21"/>
        <v>812.5</v>
      </c>
      <c r="Y72" s="7">
        <f t="shared" si="22"/>
        <v>5.416666666666667</v>
      </c>
      <c r="Z72" s="2">
        <f t="shared" si="23"/>
        <v>4500</v>
      </c>
      <c r="AA72" s="2">
        <f t="shared" si="24"/>
        <v>875</v>
      </c>
      <c r="AB72" s="2">
        <f t="shared" si="25"/>
        <v>9750</v>
      </c>
      <c r="AC72" s="6">
        <f t="shared" si="26"/>
        <v>877.5</v>
      </c>
      <c r="AD72" s="6">
        <f t="shared" si="27"/>
        <v>234</v>
      </c>
      <c r="AE72" s="6">
        <f t="shared" si="28"/>
        <v>1986.5</v>
      </c>
      <c r="AF72" s="5">
        <f t="shared" si="29"/>
        <v>13.243333333333334</v>
      </c>
    </row>
    <row r="73" spans="1:32" x14ac:dyDescent="0.25">
      <c r="A73" s="207">
        <v>294</v>
      </c>
      <c r="B73" s="1" t="str">
        <f t="shared" si="15"/>
        <v>0.69, Chisel-Harrow 21 shank</v>
      </c>
      <c r="C73" s="142">
        <v>0.69</v>
      </c>
      <c r="D73" s="138" t="s">
        <v>424</v>
      </c>
      <c r="E73" s="138" t="s">
        <v>259</v>
      </c>
      <c r="F73" s="138" t="s">
        <v>89</v>
      </c>
      <c r="G73" s="138" t="str">
        <f t="shared" si="16"/>
        <v>Chisel-Harrow 21 shank</v>
      </c>
      <c r="H73" s="284">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x14ac:dyDescent="0.25">
      <c r="A74" s="207">
        <v>293</v>
      </c>
      <c r="B74" s="1" t="str">
        <f t="shared" si="15"/>
        <v>0.7, Chisel-Harrow 27 shank</v>
      </c>
      <c r="C74" s="142">
        <v>0.7</v>
      </c>
      <c r="D74" s="138" t="s">
        <v>424</v>
      </c>
      <c r="E74" s="138" t="s">
        <v>259</v>
      </c>
      <c r="F74" s="138" t="s">
        <v>88</v>
      </c>
      <c r="G74" s="138" t="str">
        <f t="shared" si="16"/>
        <v>Chisel-Harrow 27 shank</v>
      </c>
      <c r="H74" s="284">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x14ac:dyDescent="0.25">
      <c r="A75" s="207">
        <v>296</v>
      </c>
      <c r="B75" s="1" t="str">
        <f t="shared" si="15"/>
        <v>0.71, Coulter-Chisel-Harrow 21 shank</v>
      </c>
      <c r="C75" s="142">
        <v>0.71</v>
      </c>
      <c r="D75" s="138" t="s">
        <v>424</v>
      </c>
      <c r="E75" s="138" t="s">
        <v>260</v>
      </c>
      <c r="F75" s="138" t="s">
        <v>89</v>
      </c>
      <c r="G75" s="138" t="str">
        <f t="shared" si="16"/>
        <v>Coulter-Chisel-Harrow 21 shank</v>
      </c>
      <c r="H75" s="284">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x14ac:dyDescent="0.25">
      <c r="A76" s="207">
        <v>295</v>
      </c>
      <c r="B76" s="1" t="str">
        <f t="shared" si="15"/>
        <v>0.72, Coulter-Chisel-Harrow 27 shank</v>
      </c>
      <c r="C76" s="142">
        <v>0.72</v>
      </c>
      <c r="D76" s="138" t="s">
        <v>424</v>
      </c>
      <c r="E76" s="138" t="s">
        <v>260</v>
      </c>
      <c r="F76" s="138" t="s">
        <v>88</v>
      </c>
      <c r="G76" s="138" t="str">
        <f t="shared" si="16"/>
        <v>Coulter-Chisel-Harrow 27 shank</v>
      </c>
      <c r="H76" s="284">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x14ac:dyDescent="0.25">
      <c r="A77" s="207">
        <v>315</v>
      </c>
      <c r="B77" s="1" t="str">
        <f t="shared" si="15"/>
        <v>0.73, Cult &amp; PD Ridge Till 8R-30</v>
      </c>
      <c r="C77" s="142">
        <v>0.73</v>
      </c>
      <c r="D77" s="138" t="s">
        <v>424</v>
      </c>
      <c r="E77" s="138" t="s">
        <v>460</v>
      </c>
      <c r="F77" s="138" t="s">
        <v>25</v>
      </c>
      <c r="G77" s="138" t="str">
        <f t="shared" si="16"/>
        <v>Cult &amp; PD Ridge Till 8R-30</v>
      </c>
      <c r="H77" s="284">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x14ac:dyDescent="0.25">
      <c r="A78" s="207">
        <v>314</v>
      </c>
      <c r="B78" s="1" t="str">
        <f t="shared" si="15"/>
        <v>0.74, Cult &amp; PD Ridge Till 12R-30</v>
      </c>
      <c r="C78" s="142">
        <v>0.74</v>
      </c>
      <c r="D78" s="138" t="s">
        <v>424</v>
      </c>
      <c r="E78" s="138" t="s">
        <v>462</v>
      </c>
      <c r="F78" s="138" t="s">
        <v>6</v>
      </c>
      <c r="G78" s="138" t="str">
        <f t="shared" si="16"/>
        <v>Cult &amp; PD Ridge Till 12R-30</v>
      </c>
      <c r="H78" s="284">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x14ac:dyDescent="0.25">
      <c r="A79" s="207">
        <v>579</v>
      </c>
      <c r="B79" s="1" t="str">
        <f t="shared" si="15"/>
        <v>0.75, Cultivate  4R-30</v>
      </c>
      <c r="C79" s="142">
        <v>0.75</v>
      </c>
      <c r="D79" s="138" t="s">
        <v>424</v>
      </c>
      <c r="E79" s="138" t="s">
        <v>261</v>
      </c>
      <c r="F79" s="138" t="s">
        <v>48</v>
      </c>
      <c r="G79" s="138"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x14ac:dyDescent="0.25">
      <c r="A80" s="207">
        <v>31</v>
      </c>
      <c r="B80" s="1" t="str">
        <f t="shared" si="15"/>
        <v>0.76, Cultivate  4R-36</v>
      </c>
      <c r="C80" s="142">
        <v>0.76</v>
      </c>
      <c r="D80" s="138" t="s">
        <v>424</v>
      </c>
      <c r="E80" s="138" t="s">
        <v>261</v>
      </c>
      <c r="F80" s="138" t="s">
        <v>195</v>
      </c>
      <c r="G80" s="138"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x14ac:dyDescent="0.25">
      <c r="A81" s="207">
        <v>32</v>
      </c>
      <c r="B81" s="1" t="str">
        <f t="shared" si="15"/>
        <v>0.77, Cultivate  6R-30</v>
      </c>
      <c r="C81" s="142">
        <v>0.77</v>
      </c>
      <c r="D81" s="138" t="s">
        <v>424</v>
      </c>
      <c r="E81" s="138" t="s">
        <v>261</v>
      </c>
      <c r="F81" s="138" t="s">
        <v>53</v>
      </c>
      <c r="G81" s="138"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x14ac:dyDescent="0.25">
      <c r="A82" s="207">
        <v>33</v>
      </c>
      <c r="B82" s="1" t="str">
        <f t="shared" si="15"/>
        <v>0.78, Cultivate  6R-36</v>
      </c>
      <c r="C82" s="142">
        <v>0.78</v>
      </c>
      <c r="D82" s="138" t="s">
        <v>424</v>
      </c>
      <c r="E82" s="138" t="s">
        <v>261</v>
      </c>
      <c r="F82" s="138" t="s">
        <v>196</v>
      </c>
      <c r="G82" s="138"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x14ac:dyDescent="0.25">
      <c r="A83" s="207">
        <v>34</v>
      </c>
      <c r="B83" s="1" t="str">
        <f t="shared" si="15"/>
        <v>0.79, Cultivate  8R-30</v>
      </c>
      <c r="C83" s="142">
        <v>0.79</v>
      </c>
      <c r="D83" s="138" t="s">
        <v>424</v>
      </c>
      <c r="E83" s="138" t="s">
        <v>261</v>
      </c>
      <c r="F83" s="138" t="s">
        <v>25</v>
      </c>
      <c r="G83" s="138" t="str">
        <f t="shared" si="16"/>
        <v>Cultivate  8R-30</v>
      </c>
      <c r="H83" s="30">
        <v>23800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451.30327374325384</v>
      </c>
      <c r="W83" s="9">
        <f t="shared" si="20"/>
        <v>3.0086884916216921</v>
      </c>
      <c r="X83" s="8">
        <f t="shared" si="21"/>
        <v>952</v>
      </c>
      <c r="Y83" s="7">
        <f t="shared" si="22"/>
        <v>6.3466666666666667</v>
      </c>
      <c r="Z83" s="2">
        <f t="shared" si="23"/>
        <v>7140</v>
      </c>
      <c r="AA83" s="2">
        <f t="shared" si="24"/>
        <v>1666</v>
      </c>
      <c r="AB83" s="2">
        <f t="shared" si="25"/>
        <v>15470</v>
      </c>
      <c r="AC83" s="6">
        <f t="shared" si="26"/>
        <v>1392.3</v>
      </c>
      <c r="AD83" s="6">
        <f t="shared" si="27"/>
        <v>371.28000000000003</v>
      </c>
      <c r="AE83" s="6">
        <f t="shared" si="28"/>
        <v>3429.5800000000004</v>
      </c>
      <c r="AF83" s="5">
        <f t="shared" si="29"/>
        <v>22.86386666666667</v>
      </c>
    </row>
    <row r="84" spans="1:32" x14ac:dyDescent="0.25">
      <c r="A84" s="207">
        <v>35</v>
      </c>
      <c r="B84" s="1" t="str">
        <f t="shared" si="15"/>
        <v>0.8, Cultivate  8R-36</v>
      </c>
      <c r="C84" s="142">
        <v>0.8</v>
      </c>
      <c r="D84" s="138" t="s">
        <v>424</v>
      </c>
      <c r="E84" s="138" t="s">
        <v>261</v>
      </c>
      <c r="F84" s="138" t="s">
        <v>193</v>
      </c>
      <c r="G84" s="138" t="str">
        <f t="shared" si="16"/>
        <v>Cultivate  8R-36</v>
      </c>
      <c r="H84" s="30">
        <v>28400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538.52995690371472</v>
      </c>
      <c r="W84" s="9">
        <f t="shared" si="20"/>
        <v>3.5901997126914313</v>
      </c>
      <c r="X84" s="8">
        <f t="shared" si="21"/>
        <v>1136</v>
      </c>
      <c r="Y84" s="7">
        <f t="shared" si="22"/>
        <v>7.5733333333333333</v>
      </c>
      <c r="Z84" s="2">
        <f t="shared" si="23"/>
        <v>8520</v>
      </c>
      <c r="AA84" s="2">
        <f t="shared" si="24"/>
        <v>1988</v>
      </c>
      <c r="AB84" s="2">
        <f t="shared" si="25"/>
        <v>18460</v>
      </c>
      <c r="AC84" s="6">
        <f t="shared" si="26"/>
        <v>1661.3999999999999</v>
      </c>
      <c r="AD84" s="6">
        <f t="shared" si="27"/>
        <v>443.04</v>
      </c>
      <c r="AE84" s="6">
        <f t="shared" si="28"/>
        <v>4092.4399999999996</v>
      </c>
      <c r="AF84" s="5">
        <f t="shared" si="29"/>
        <v>27.282933333333332</v>
      </c>
    </row>
    <row r="85" spans="1:32" x14ac:dyDescent="0.25">
      <c r="A85" s="207">
        <v>36</v>
      </c>
      <c r="B85" s="1" t="str">
        <f t="shared" si="15"/>
        <v>0.81, Cultivate 10R-30</v>
      </c>
      <c r="C85" s="142">
        <v>0.81</v>
      </c>
      <c r="D85" s="138" t="s">
        <v>424</v>
      </c>
      <c r="E85" s="138" t="s">
        <v>261</v>
      </c>
      <c r="F85" s="138" t="s">
        <v>24</v>
      </c>
      <c r="G85" s="138" t="str">
        <f t="shared" si="16"/>
        <v>Cultivate 10R-30</v>
      </c>
      <c r="H85" s="284">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x14ac:dyDescent="0.25">
      <c r="A86" s="207">
        <v>508</v>
      </c>
      <c r="B86" s="1" t="str">
        <f t="shared" si="15"/>
        <v>0.82, Cultivate 12R-30</v>
      </c>
      <c r="C86" s="142">
        <v>0.82</v>
      </c>
      <c r="D86" s="138" t="s">
        <v>424</v>
      </c>
      <c r="E86" s="138" t="s">
        <v>261</v>
      </c>
      <c r="F86" s="138" t="s">
        <v>6</v>
      </c>
      <c r="G86" s="138" t="str">
        <f t="shared" si="16"/>
        <v>Cultivate 12R-30</v>
      </c>
      <c r="H86" s="30">
        <v>42500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805.89870311295329</v>
      </c>
      <c r="W86" s="9">
        <f t="shared" si="20"/>
        <v>5.3726580207530219</v>
      </c>
      <c r="X86" s="8">
        <f t="shared" si="21"/>
        <v>1700</v>
      </c>
      <c r="Y86" s="7">
        <f t="shared" si="22"/>
        <v>11.333333333333334</v>
      </c>
      <c r="Z86" s="2">
        <f t="shared" si="23"/>
        <v>12750</v>
      </c>
      <c r="AA86" s="2">
        <f t="shared" si="24"/>
        <v>2975</v>
      </c>
      <c r="AB86" s="2">
        <f t="shared" si="25"/>
        <v>27625</v>
      </c>
      <c r="AC86" s="6">
        <f t="shared" si="26"/>
        <v>2486.25</v>
      </c>
      <c r="AD86" s="6">
        <f t="shared" si="27"/>
        <v>663</v>
      </c>
      <c r="AE86" s="6">
        <f t="shared" si="28"/>
        <v>6124.25</v>
      </c>
      <c r="AF86" s="5">
        <f t="shared" si="29"/>
        <v>40.828333333333333</v>
      </c>
    </row>
    <row r="87" spans="1:32" x14ac:dyDescent="0.25">
      <c r="A87" s="207">
        <v>235</v>
      </c>
      <c r="B87" s="1" t="str">
        <f t="shared" si="15"/>
        <v>0.83, Cultivate  8R-36 2x1</v>
      </c>
      <c r="C87" s="142">
        <v>0.83</v>
      </c>
      <c r="D87" s="138" t="s">
        <v>424</v>
      </c>
      <c r="E87" s="138" t="s">
        <v>261</v>
      </c>
      <c r="F87" s="138" t="s">
        <v>197</v>
      </c>
      <c r="G87" s="138" t="str">
        <f t="shared" si="16"/>
        <v>Cultivate  8R-36 2x1</v>
      </c>
      <c r="H87" s="30">
        <v>35200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667.47374940178713</v>
      </c>
      <c r="W87" s="9">
        <f t="shared" si="20"/>
        <v>4.4498249960119143</v>
      </c>
      <c r="X87" s="8">
        <f t="shared" si="21"/>
        <v>1408</v>
      </c>
      <c r="Y87" s="7">
        <f t="shared" si="22"/>
        <v>9.3866666666666667</v>
      </c>
      <c r="Z87" s="2">
        <f t="shared" si="23"/>
        <v>10560</v>
      </c>
      <c r="AA87" s="2">
        <f t="shared" si="24"/>
        <v>2464</v>
      </c>
      <c r="AB87" s="2">
        <f t="shared" si="25"/>
        <v>22880</v>
      </c>
      <c r="AC87" s="6">
        <f t="shared" si="26"/>
        <v>2059.1999999999998</v>
      </c>
      <c r="AD87" s="6">
        <f t="shared" si="27"/>
        <v>549.12</v>
      </c>
      <c r="AE87" s="6">
        <f t="shared" si="28"/>
        <v>5072.32</v>
      </c>
      <c r="AF87" s="5">
        <f t="shared" si="29"/>
        <v>33.815466666666666</v>
      </c>
    </row>
    <row r="88" spans="1:32" x14ac:dyDescent="0.25">
      <c r="A88" s="207">
        <v>236</v>
      </c>
      <c r="B88" s="1" t="str">
        <f t="shared" si="15"/>
        <v>0.84, Cultivate 12R-36</v>
      </c>
      <c r="C88" s="142">
        <v>0.84</v>
      </c>
      <c r="D88" s="138" t="s">
        <v>424</v>
      </c>
      <c r="E88" s="138" t="s">
        <v>261</v>
      </c>
      <c r="F88" s="138" t="s">
        <v>194</v>
      </c>
      <c r="G88" s="138" t="str">
        <f t="shared" si="16"/>
        <v>Cultivate 12R-36</v>
      </c>
      <c r="H88" s="30">
        <v>43800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830.54972226699647</v>
      </c>
      <c r="W88" s="9">
        <f t="shared" si="20"/>
        <v>5.5369981484466431</v>
      </c>
      <c r="X88" s="8">
        <f t="shared" si="21"/>
        <v>1752</v>
      </c>
      <c r="Y88" s="7">
        <f t="shared" si="22"/>
        <v>11.68</v>
      </c>
      <c r="Z88" s="2">
        <f t="shared" si="23"/>
        <v>13140</v>
      </c>
      <c r="AA88" s="2">
        <f t="shared" si="24"/>
        <v>3066</v>
      </c>
      <c r="AB88" s="2">
        <f t="shared" si="25"/>
        <v>28470</v>
      </c>
      <c r="AC88" s="6">
        <f t="shared" si="26"/>
        <v>2562.2999999999997</v>
      </c>
      <c r="AD88" s="6">
        <f t="shared" si="27"/>
        <v>683.28</v>
      </c>
      <c r="AE88" s="6">
        <f t="shared" si="28"/>
        <v>6311.579999999999</v>
      </c>
      <c r="AF88" s="5">
        <f t="shared" si="29"/>
        <v>42.077199999999991</v>
      </c>
    </row>
    <row r="89" spans="1:32" x14ac:dyDescent="0.25">
      <c r="A89" s="207">
        <v>580</v>
      </c>
      <c r="B89" s="1" t="str">
        <f t="shared" si="15"/>
        <v>0.85, Cultivate 16R-30</v>
      </c>
      <c r="C89" s="142">
        <v>0.85</v>
      </c>
      <c r="D89" s="138" t="s">
        <v>424</v>
      </c>
      <c r="E89" s="138" t="s">
        <v>261</v>
      </c>
      <c r="F89" s="138" t="s">
        <v>59</v>
      </c>
      <c r="G89" s="138"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x14ac:dyDescent="0.25">
      <c r="A90" s="207">
        <v>578</v>
      </c>
      <c r="B90" s="1" t="str">
        <f t="shared" si="15"/>
        <v>0.86, Cultivate &amp; Post  4R-30</v>
      </c>
      <c r="C90" s="142">
        <v>0.86</v>
      </c>
      <c r="D90" s="138" t="s">
        <v>424</v>
      </c>
      <c r="E90" s="138" t="s">
        <v>262</v>
      </c>
      <c r="F90" s="138" t="s">
        <v>48</v>
      </c>
      <c r="G90" s="138"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x14ac:dyDescent="0.25">
      <c r="A91" s="207">
        <v>15</v>
      </c>
      <c r="B91" s="1" t="str">
        <f t="shared" si="15"/>
        <v>0.87, Cultivate &amp; Post  4R-36</v>
      </c>
      <c r="C91" s="142">
        <v>0.87</v>
      </c>
      <c r="D91" s="138" t="s">
        <v>424</v>
      </c>
      <c r="E91" s="138" t="s">
        <v>262</v>
      </c>
      <c r="F91" s="138" t="s">
        <v>195</v>
      </c>
      <c r="G91" s="138"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x14ac:dyDescent="0.25">
      <c r="A92" s="207">
        <v>16</v>
      </c>
      <c r="B92" s="1" t="str">
        <f t="shared" si="15"/>
        <v>0.88, Cultivate &amp; Post  6R-30</v>
      </c>
      <c r="C92" s="142">
        <v>0.88</v>
      </c>
      <c r="D92" s="138" t="s">
        <v>424</v>
      </c>
      <c r="E92" s="138" t="s">
        <v>262</v>
      </c>
      <c r="F92" s="138" t="s">
        <v>53</v>
      </c>
      <c r="G92" s="138"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x14ac:dyDescent="0.25">
      <c r="A93" s="207">
        <v>17</v>
      </c>
      <c r="B93" s="1" t="str">
        <f t="shared" si="15"/>
        <v>0.89, Cultivate &amp; Post  6R-36</v>
      </c>
      <c r="C93" s="142">
        <v>0.89</v>
      </c>
      <c r="D93" s="138" t="s">
        <v>424</v>
      </c>
      <c r="E93" s="138" t="s">
        <v>262</v>
      </c>
      <c r="F93" s="138" t="s">
        <v>196</v>
      </c>
      <c r="G93" s="138"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x14ac:dyDescent="0.25">
      <c r="A94" s="207">
        <v>18</v>
      </c>
      <c r="B94" s="1" t="str">
        <f t="shared" si="15"/>
        <v>0.9, Cultivate &amp; Post  8R-30</v>
      </c>
      <c r="C94" s="142">
        <v>0.9</v>
      </c>
      <c r="D94" s="138" t="s">
        <v>424</v>
      </c>
      <c r="E94" s="138" t="s">
        <v>262</v>
      </c>
      <c r="F94" s="138" t="s">
        <v>25</v>
      </c>
      <c r="G94" s="138" t="str">
        <f t="shared" si="16"/>
        <v>Cultivate &amp; Post  8R-30</v>
      </c>
      <c r="H94" s="30">
        <v>31200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591.62445969703856</v>
      </c>
      <c r="W94" s="9">
        <f t="shared" si="20"/>
        <v>3.9441630646469239</v>
      </c>
      <c r="X94" s="8">
        <f t="shared" si="21"/>
        <v>1248</v>
      </c>
      <c r="Y94" s="7">
        <f t="shared" si="22"/>
        <v>8.32</v>
      </c>
      <c r="Z94" s="2">
        <f t="shared" si="23"/>
        <v>9360</v>
      </c>
      <c r="AA94" s="2">
        <f t="shared" si="24"/>
        <v>2184</v>
      </c>
      <c r="AB94" s="2">
        <f t="shared" si="25"/>
        <v>20280</v>
      </c>
      <c r="AC94" s="6">
        <f t="shared" si="26"/>
        <v>1825.2</v>
      </c>
      <c r="AD94" s="6">
        <f t="shared" si="27"/>
        <v>486.72</v>
      </c>
      <c r="AE94" s="6">
        <f t="shared" si="28"/>
        <v>4495.92</v>
      </c>
      <c r="AF94" s="5">
        <f t="shared" si="29"/>
        <v>29.972799999999999</v>
      </c>
    </row>
    <row r="95" spans="1:32" x14ac:dyDescent="0.25">
      <c r="A95" s="207">
        <v>19</v>
      </c>
      <c r="B95" s="1" t="str">
        <f t="shared" si="15"/>
        <v>0.91, Cultivate &amp; Post  8R-36</v>
      </c>
      <c r="C95" s="142">
        <v>0.91</v>
      </c>
      <c r="D95" s="138" t="s">
        <v>424</v>
      </c>
      <c r="E95" s="138" t="s">
        <v>262</v>
      </c>
      <c r="F95" s="138" t="s">
        <v>193</v>
      </c>
      <c r="G95" s="138" t="str">
        <f t="shared" si="16"/>
        <v>Cultivate &amp; Post  8R-36</v>
      </c>
      <c r="H95" s="30">
        <v>35800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678.85114285749944</v>
      </c>
      <c r="W95" s="9">
        <f t="shared" si="20"/>
        <v>4.5256742857166632</v>
      </c>
      <c r="X95" s="8">
        <f t="shared" si="21"/>
        <v>1432</v>
      </c>
      <c r="Y95" s="7">
        <f t="shared" si="22"/>
        <v>9.5466666666666669</v>
      </c>
      <c r="Z95" s="2">
        <f t="shared" si="23"/>
        <v>10740</v>
      </c>
      <c r="AA95" s="2">
        <f t="shared" si="24"/>
        <v>2506</v>
      </c>
      <c r="AB95" s="2">
        <f t="shared" si="25"/>
        <v>23270</v>
      </c>
      <c r="AC95" s="6">
        <f t="shared" si="26"/>
        <v>2094.2999999999997</v>
      </c>
      <c r="AD95" s="6">
        <f t="shared" si="27"/>
        <v>558.48</v>
      </c>
      <c r="AE95" s="6">
        <f t="shared" si="28"/>
        <v>5158.7799999999988</v>
      </c>
      <c r="AF95" s="5">
        <f t="shared" si="29"/>
        <v>34.391866666666658</v>
      </c>
    </row>
    <row r="96" spans="1:32" x14ac:dyDescent="0.25">
      <c r="A96" s="207">
        <v>20</v>
      </c>
      <c r="B96" s="1" t="str">
        <f t="shared" si="15"/>
        <v>0.92, Cultivate &amp; Post 10R-30</v>
      </c>
      <c r="C96" s="142">
        <v>0.92</v>
      </c>
      <c r="D96" s="138" t="s">
        <v>424</v>
      </c>
      <c r="E96" s="138" t="s">
        <v>262</v>
      </c>
      <c r="F96" s="138" t="s">
        <v>24</v>
      </c>
      <c r="G96" s="138" t="str">
        <f t="shared" si="16"/>
        <v>Cultivate &amp; Post 10R-30</v>
      </c>
      <c r="H96" s="284">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x14ac:dyDescent="0.25">
      <c r="A97" s="207">
        <v>310</v>
      </c>
      <c r="B97" s="1" t="str">
        <f t="shared" si="15"/>
        <v>0.93, Cultivate &amp; Post 12R-30</v>
      </c>
      <c r="C97" s="142">
        <v>0.93</v>
      </c>
      <c r="D97" s="138" t="s">
        <v>424</v>
      </c>
      <c r="E97" s="138" t="s">
        <v>262</v>
      </c>
      <c r="F97" s="138" t="s">
        <v>6</v>
      </c>
      <c r="G97" s="138" t="str">
        <f t="shared" si="16"/>
        <v>Cultivate &amp; Post 12R-30</v>
      </c>
      <c r="H97" s="30">
        <v>49800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944.32365682411933</v>
      </c>
      <c r="W97" s="9">
        <f t="shared" si="20"/>
        <v>6.2954910454941286</v>
      </c>
      <c r="X97" s="8">
        <f t="shared" si="21"/>
        <v>1992</v>
      </c>
      <c r="Y97" s="7">
        <f t="shared" si="22"/>
        <v>13.28</v>
      </c>
      <c r="Z97" s="2">
        <f t="shared" si="23"/>
        <v>14940</v>
      </c>
      <c r="AA97" s="2">
        <f t="shared" si="24"/>
        <v>3486</v>
      </c>
      <c r="AB97" s="2">
        <f t="shared" si="25"/>
        <v>32370</v>
      </c>
      <c r="AC97" s="6">
        <f t="shared" si="26"/>
        <v>2913.2999999999997</v>
      </c>
      <c r="AD97" s="6">
        <f t="shared" si="27"/>
        <v>776.88</v>
      </c>
      <c r="AE97" s="6">
        <f t="shared" si="28"/>
        <v>7176.1799999999994</v>
      </c>
      <c r="AF97" s="5">
        <f t="shared" si="29"/>
        <v>47.841199999999994</v>
      </c>
    </row>
    <row r="98" spans="1:32" x14ac:dyDescent="0.25">
      <c r="A98" s="207">
        <v>231</v>
      </c>
      <c r="B98" s="1" t="str">
        <f t="shared" si="15"/>
        <v>0.94, Cultivate &amp; Post  8R-36 2x1</v>
      </c>
      <c r="C98" s="142">
        <v>0.94</v>
      </c>
      <c r="D98" s="138" t="s">
        <v>424</v>
      </c>
      <c r="E98" s="138" t="s">
        <v>262</v>
      </c>
      <c r="F98" s="138" t="s">
        <v>197</v>
      </c>
      <c r="G98" s="138" t="str">
        <f t="shared" si="16"/>
        <v>Cultivate &amp; Post  8R-36 2x1</v>
      </c>
      <c r="H98" s="30">
        <v>45400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860.88943814889592</v>
      </c>
      <c r="W98" s="9">
        <f t="shared" si="20"/>
        <v>5.7392629209926396</v>
      </c>
      <c r="X98" s="8">
        <f t="shared" si="21"/>
        <v>1816</v>
      </c>
      <c r="Y98" s="7">
        <f t="shared" si="22"/>
        <v>12.106666666666667</v>
      </c>
      <c r="Z98" s="2">
        <f t="shared" si="23"/>
        <v>13620</v>
      </c>
      <c r="AA98" s="2">
        <f t="shared" si="24"/>
        <v>3178</v>
      </c>
      <c r="AB98" s="2">
        <f t="shared" si="25"/>
        <v>29510</v>
      </c>
      <c r="AC98" s="6">
        <f t="shared" si="26"/>
        <v>2655.9</v>
      </c>
      <c r="AD98" s="6">
        <f t="shared" si="27"/>
        <v>708.24</v>
      </c>
      <c r="AE98" s="6">
        <f t="shared" si="28"/>
        <v>6542.1399999999994</v>
      </c>
      <c r="AF98" s="5">
        <f t="shared" si="29"/>
        <v>43.614266666666666</v>
      </c>
    </row>
    <row r="99" spans="1:32" x14ac:dyDescent="0.25">
      <c r="A99" s="207">
        <v>232</v>
      </c>
      <c r="B99" s="1" t="str">
        <f t="shared" si="15"/>
        <v>0.95, Cultivate &amp; Post 12R-36</v>
      </c>
      <c r="C99" s="142">
        <v>0.95</v>
      </c>
      <c r="D99" s="138" t="s">
        <v>424</v>
      </c>
      <c r="E99" s="138" t="s">
        <v>262</v>
      </c>
      <c r="F99" s="138" t="s">
        <v>194</v>
      </c>
      <c r="G99" s="138" t="str">
        <f t="shared" si="16"/>
        <v>Cultivate &amp; Post 12R-36</v>
      </c>
      <c r="H99" s="30">
        <v>54000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1023.9654110141054</v>
      </c>
      <c r="W99" s="9">
        <f t="shared" si="20"/>
        <v>6.8264360734273692</v>
      </c>
      <c r="X99" s="8">
        <f t="shared" si="21"/>
        <v>2160</v>
      </c>
      <c r="Y99" s="7">
        <f t="shared" si="22"/>
        <v>14.4</v>
      </c>
      <c r="Z99" s="2">
        <f t="shared" si="23"/>
        <v>16200</v>
      </c>
      <c r="AA99" s="2">
        <f t="shared" si="24"/>
        <v>3780</v>
      </c>
      <c r="AB99" s="2">
        <f t="shared" si="25"/>
        <v>35100</v>
      </c>
      <c r="AC99" s="6">
        <f t="shared" si="26"/>
        <v>3159</v>
      </c>
      <c r="AD99" s="6">
        <f t="shared" si="27"/>
        <v>842.4</v>
      </c>
      <c r="AE99" s="6">
        <f t="shared" si="28"/>
        <v>7781.4</v>
      </c>
      <c r="AF99" s="5">
        <f t="shared" si="29"/>
        <v>51.875999999999998</v>
      </c>
    </row>
    <row r="100" spans="1:32" x14ac:dyDescent="0.25">
      <c r="A100" s="207">
        <v>581</v>
      </c>
      <c r="B100" s="1" t="str">
        <f t="shared" si="15"/>
        <v>0.96, Cultivate &amp; Post 16R-30</v>
      </c>
      <c r="C100" s="142">
        <v>0.96</v>
      </c>
      <c r="D100" s="138" t="s">
        <v>424</v>
      </c>
      <c r="E100" s="138" t="s">
        <v>262</v>
      </c>
      <c r="F100" s="138" t="s">
        <v>59</v>
      </c>
      <c r="G100" s="138" t="str">
        <f t="shared" si="16"/>
        <v>Cultivate &amp; Post 16R-30</v>
      </c>
      <c r="H100" s="30">
        <v>68600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1300.8153184364376</v>
      </c>
      <c r="W100" s="9">
        <f t="shared" si="20"/>
        <v>8.6721021229095836</v>
      </c>
      <c r="X100" s="8">
        <f t="shared" si="21"/>
        <v>2744</v>
      </c>
      <c r="Y100" s="7">
        <f t="shared" si="22"/>
        <v>18.293333333333333</v>
      </c>
      <c r="Z100" s="2">
        <f t="shared" si="23"/>
        <v>20580</v>
      </c>
      <c r="AA100" s="2">
        <f t="shared" si="24"/>
        <v>4802</v>
      </c>
      <c r="AB100" s="2">
        <f t="shared" si="25"/>
        <v>44590</v>
      </c>
      <c r="AC100" s="6">
        <f t="shared" si="26"/>
        <v>4013.1</v>
      </c>
      <c r="AD100" s="6">
        <f t="shared" si="27"/>
        <v>1070.1600000000001</v>
      </c>
      <c r="AE100" s="6">
        <f t="shared" si="28"/>
        <v>9885.26</v>
      </c>
      <c r="AF100" s="5">
        <f t="shared" si="29"/>
        <v>65.90173333333334</v>
      </c>
    </row>
    <row r="101" spans="1:32" x14ac:dyDescent="0.25">
      <c r="A101" s="207">
        <v>322</v>
      </c>
      <c r="B101" s="1" t="str">
        <f t="shared" si="15"/>
        <v>0.97, Cultivate Ridge Till 8R-30</v>
      </c>
      <c r="C101" s="142">
        <v>0.97</v>
      </c>
      <c r="D101" s="138" t="s">
        <v>424</v>
      </c>
      <c r="E101" s="138" t="s">
        <v>461</v>
      </c>
      <c r="F101" s="138" t="s">
        <v>25</v>
      </c>
      <c r="G101" s="138" t="str">
        <f t="shared" si="16"/>
        <v>Cultivate Ridge Till 8R-30</v>
      </c>
      <c r="H101" s="284">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x14ac:dyDescent="0.25">
      <c r="A102" s="207">
        <v>320</v>
      </c>
      <c r="B102" s="1" t="str">
        <f t="shared" si="15"/>
        <v>0.98, Cultivate Ridge Till 12R-30</v>
      </c>
      <c r="C102" s="142">
        <v>0.98</v>
      </c>
      <c r="D102" s="138" t="s">
        <v>424</v>
      </c>
      <c r="E102" s="138" t="s">
        <v>463</v>
      </c>
      <c r="F102" s="138" t="s">
        <v>6</v>
      </c>
      <c r="G102" s="138" t="str">
        <f t="shared" si="16"/>
        <v>Cultivate Ridge Till 12R-30</v>
      </c>
      <c r="H102" s="284">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x14ac:dyDescent="0.25">
      <c r="A103" s="207">
        <v>47</v>
      </c>
      <c r="B103" s="1" t="str">
        <f t="shared" si="15"/>
        <v>0.99, Disk &amp; Incorporate 14'</v>
      </c>
      <c r="C103" s="142">
        <v>0.99</v>
      </c>
      <c r="D103" s="138" t="s">
        <v>424</v>
      </c>
      <c r="E103" s="138" t="s">
        <v>263</v>
      </c>
      <c r="F103" s="138" t="s">
        <v>12</v>
      </c>
      <c r="G103" s="138" t="str">
        <f t="shared" si="16"/>
        <v>Disk &amp; Incorporate 14'</v>
      </c>
      <c r="H103" s="30">
        <v>33700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955.9510596907952</v>
      </c>
      <c r="W103" s="9">
        <f t="shared" si="20"/>
        <v>4.779755298453976</v>
      </c>
      <c r="X103" s="8">
        <f t="shared" si="21"/>
        <v>2022</v>
      </c>
      <c r="Y103" s="7">
        <f t="shared" si="22"/>
        <v>10.11</v>
      </c>
      <c r="Z103" s="2">
        <f t="shared" si="23"/>
        <v>10110</v>
      </c>
      <c r="AA103" s="2">
        <f t="shared" si="24"/>
        <v>2359</v>
      </c>
      <c r="AB103" s="2">
        <f t="shared" si="25"/>
        <v>21905</v>
      </c>
      <c r="AC103" s="6">
        <f t="shared" si="26"/>
        <v>1971.4499999999998</v>
      </c>
      <c r="AD103" s="6">
        <f t="shared" si="27"/>
        <v>525.72</v>
      </c>
      <c r="AE103" s="6">
        <f t="shared" si="28"/>
        <v>4856.17</v>
      </c>
      <c r="AF103" s="5">
        <f t="shared" si="29"/>
        <v>24.280850000000001</v>
      </c>
    </row>
    <row r="104" spans="1:32" x14ac:dyDescent="0.25">
      <c r="A104" s="207">
        <v>744</v>
      </c>
      <c r="B104" s="1" t="str">
        <f t="shared" si="15"/>
        <v>1, Disk &amp; Incorporate 20'</v>
      </c>
      <c r="C104" s="142">
        <v>1</v>
      </c>
      <c r="D104" s="138" t="s">
        <v>424</v>
      </c>
      <c r="E104" s="138" t="s">
        <v>263</v>
      </c>
      <c r="F104" s="138" t="s">
        <v>8</v>
      </c>
      <c r="G104" s="138" t="str">
        <f t="shared" si="16"/>
        <v>Disk &amp; Incorporate 20'</v>
      </c>
      <c r="H104" s="30">
        <v>71100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1740.2629412955946</v>
      </c>
      <c r="W104" s="9">
        <f t="shared" si="20"/>
        <v>9.6681274516421922</v>
      </c>
      <c r="X104" s="8">
        <f t="shared" si="21"/>
        <v>4266</v>
      </c>
      <c r="Y104" s="7">
        <f t="shared" si="22"/>
        <v>23.7</v>
      </c>
      <c r="Z104" s="2">
        <f t="shared" si="23"/>
        <v>21330</v>
      </c>
      <c r="AA104" s="2">
        <f t="shared" si="24"/>
        <v>4977</v>
      </c>
      <c r="AB104" s="2">
        <f t="shared" si="25"/>
        <v>46215</v>
      </c>
      <c r="AC104" s="6">
        <f t="shared" si="26"/>
        <v>4159.3499999999995</v>
      </c>
      <c r="AD104" s="6">
        <f t="shared" si="27"/>
        <v>1109.1600000000001</v>
      </c>
      <c r="AE104" s="6">
        <f t="shared" si="28"/>
        <v>10245.509999999998</v>
      </c>
      <c r="AF104" s="5">
        <f t="shared" si="29"/>
        <v>56.919499999999992</v>
      </c>
    </row>
    <row r="105" spans="1:32" x14ac:dyDescent="0.25">
      <c r="A105" s="207">
        <v>48</v>
      </c>
      <c r="B105" s="1" t="str">
        <f t="shared" si="15"/>
        <v>1.01, Disk &amp; Incorporate 24'</v>
      </c>
      <c r="C105" s="142">
        <v>1.01</v>
      </c>
      <c r="D105" s="138" t="s">
        <v>424</v>
      </c>
      <c r="E105" s="138" t="s">
        <v>263</v>
      </c>
      <c r="F105" s="138" t="s">
        <v>65</v>
      </c>
      <c r="G105" s="138" t="str">
        <f t="shared" si="16"/>
        <v>Disk &amp; Incorporate 24'</v>
      </c>
      <c r="H105" s="30">
        <v>53600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1520.4444154132532</v>
      </c>
      <c r="W105" s="9">
        <f t="shared" si="20"/>
        <v>7.6022220770662656</v>
      </c>
      <c r="X105" s="8">
        <f t="shared" si="21"/>
        <v>3216</v>
      </c>
      <c r="Y105" s="7">
        <f t="shared" si="22"/>
        <v>16.079999999999998</v>
      </c>
      <c r="Z105" s="2">
        <f t="shared" si="23"/>
        <v>16080</v>
      </c>
      <c r="AA105" s="2">
        <f t="shared" si="24"/>
        <v>3752</v>
      </c>
      <c r="AB105" s="2">
        <f t="shared" si="25"/>
        <v>34840</v>
      </c>
      <c r="AC105" s="6">
        <f t="shared" si="26"/>
        <v>3135.6</v>
      </c>
      <c r="AD105" s="6">
        <f t="shared" si="27"/>
        <v>836.16</v>
      </c>
      <c r="AE105" s="6">
        <f t="shared" si="28"/>
        <v>7723.76</v>
      </c>
      <c r="AF105" s="5">
        <f t="shared" si="29"/>
        <v>38.6188</v>
      </c>
    </row>
    <row r="106" spans="1:32" x14ac:dyDescent="0.25">
      <c r="A106" s="207">
        <v>582</v>
      </c>
      <c r="B106" s="1" t="str">
        <f t="shared" si="15"/>
        <v>1.02, Disk &amp; Incorporate 28'</v>
      </c>
      <c r="C106" s="142">
        <v>1.02</v>
      </c>
      <c r="D106" s="138" t="s">
        <v>424</v>
      </c>
      <c r="E106" s="138" t="s">
        <v>263</v>
      </c>
      <c r="F106" s="138" t="s">
        <v>87</v>
      </c>
      <c r="G106" s="138" t="str">
        <f t="shared" si="16"/>
        <v>Disk &amp; Incorporate 28'</v>
      </c>
      <c r="H106" s="30">
        <v>63300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1795.5994682025917</v>
      </c>
      <c r="W106" s="9">
        <f t="shared" si="20"/>
        <v>8.9779973410129585</v>
      </c>
      <c r="X106" s="8">
        <f t="shared" si="21"/>
        <v>3798</v>
      </c>
      <c r="Y106" s="7">
        <f t="shared" si="22"/>
        <v>18.989999999999998</v>
      </c>
      <c r="Z106" s="2">
        <f t="shared" si="23"/>
        <v>18990</v>
      </c>
      <c r="AA106" s="2">
        <f t="shared" si="24"/>
        <v>4431</v>
      </c>
      <c r="AB106" s="2">
        <f t="shared" si="25"/>
        <v>41145</v>
      </c>
      <c r="AC106" s="6">
        <f t="shared" si="26"/>
        <v>3703.0499999999997</v>
      </c>
      <c r="AD106" s="6">
        <f t="shared" si="27"/>
        <v>987.48</v>
      </c>
      <c r="AE106" s="6">
        <f t="shared" si="28"/>
        <v>9121.5299999999988</v>
      </c>
      <c r="AF106" s="5">
        <f t="shared" si="29"/>
        <v>45.607649999999992</v>
      </c>
    </row>
    <row r="107" spans="1:32" x14ac:dyDescent="0.25">
      <c r="A107" s="207">
        <v>49</v>
      </c>
      <c r="B107" s="1" t="str">
        <f t="shared" si="15"/>
        <v>1.03, Disk &amp; Incorporate 32'</v>
      </c>
      <c r="C107" s="142">
        <v>1.03</v>
      </c>
      <c r="D107" s="138" t="s">
        <v>424</v>
      </c>
      <c r="E107" s="138" t="s">
        <v>263</v>
      </c>
      <c r="F107" s="138" t="s">
        <v>43</v>
      </c>
      <c r="G107" s="138" t="str">
        <f t="shared" si="16"/>
        <v>Disk &amp; Incorporate 32'</v>
      </c>
      <c r="H107" s="30">
        <v>68700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1948.7785697554193</v>
      </c>
      <c r="W107" s="9">
        <f t="shared" si="20"/>
        <v>9.7438928487770973</v>
      </c>
      <c r="X107" s="8">
        <f t="shared" si="21"/>
        <v>4122</v>
      </c>
      <c r="Y107" s="7">
        <f t="shared" si="22"/>
        <v>20.61</v>
      </c>
      <c r="Z107" s="2">
        <f t="shared" si="23"/>
        <v>20610</v>
      </c>
      <c r="AA107" s="2">
        <f t="shared" si="24"/>
        <v>4809</v>
      </c>
      <c r="AB107" s="2">
        <f t="shared" si="25"/>
        <v>44655</v>
      </c>
      <c r="AC107" s="6">
        <f t="shared" si="26"/>
        <v>4018.95</v>
      </c>
      <c r="AD107" s="6">
        <f t="shared" si="27"/>
        <v>1071.72</v>
      </c>
      <c r="AE107" s="6">
        <f t="shared" si="28"/>
        <v>9899.67</v>
      </c>
      <c r="AF107" s="5">
        <f t="shared" si="29"/>
        <v>49.498350000000002</v>
      </c>
    </row>
    <row r="108" spans="1:32" x14ac:dyDescent="0.25">
      <c r="A108" s="207">
        <v>72</v>
      </c>
      <c r="B108" s="1" t="str">
        <f t="shared" si="15"/>
        <v>1.04, Disk Harrow 14'</v>
      </c>
      <c r="C108" s="142">
        <v>1.04</v>
      </c>
      <c r="D108" s="138" t="s">
        <v>424</v>
      </c>
      <c r="E108" s="138" t="s">
        <v>264</v>
      </c>
      <c r="F108" s="138" t="s">
        <v>12</v>
      </c>
      <c r="G108" s="138" t="str">
        <f t="shared" si="16"/>
        <v>Disk Harrow 14'</v>
      </c>
      <c r="H108" s="30">
        <v>26400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646.17358157811111</v>
      </c>
      <c r="W108" s="9">
        <f t="shared" si="20"/>
        <v>3.5898532309895064</v>
      </c>
      <c r="X108" s="8">
        <f t="shared" si="21"/>
        <v>1320</v>
      </c>
      <c r="Y108" s="7">
        <f t="shared" si="22"/>
        <v>7.333333333333333</v>
      </c>
      <c r="Z108" s="2">
        <f t="shared" si="23"/>
        <v>7920</v>
      </c>
      <c r="AA108" s="2">
        <f t="shared" si="24"/>
        <v>1848</v>
      </c>
      <c r="AB108" s="2">
        <f t="shared" si="25"/>
        <v>17160</v>
      </c>
      <c r="AC108" s="6">
        <f t="shared" si="26"/>
        <v>1544.3999999999999</v>
      </c>
      <c r="AD108" s="6">
        <f t="shared" si="27"/>
        <v>411.84000000000003</v>
      </c>
      <c r="AE108" s="6">
        <f t="shared" si="28"/>
        <v>3804.24</v>
      </c>
      <c r="AF108" s="5">
        <f t="shared" si="29"/>
        <v>21.134666666666664</v>
      </c>
    </row>
    <row r="109" spans="1:32" x14ac:dyDescent="0.25">
      <c r="A109" s="207">
        <v>743</v>
      </c>
      <c r="B109" s="1" t="str">
        <f t="shared" si="15"/>
        <v>1.05, Disk Harrow 20'</v>
      </c>
      <c r="C109" s="142">
        <v>1.05</v>
      </c>
      <c r="D109" s="138" t="s">
        <v>424</v>
      </c>
      <c r="E109" s="138" t="s">
        <v>264</v>
      </c>
      <c r="F109" s="138" t="s">
        <v>8</v>
      </c>
      <c r="G109" s="138" t="str">
        <f t="shared" si="16"/>
        <v>Disk Harrow 20'</v>
      </c>
      <c r="H109" s="30">
        <v>63800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1561.5861554804351</v>
      </c>
      <c r="W109" s="9">
        <f t="shared" si="20"/>
        <v>8.675478641557973</v>
      </c>
      <c r="X109" s="8">
        <f t="shared" si="21"/>
        <v>3190</v>
      </c>
      <c r="Y109" s="7">
        <f t="shared" si="22"/>
        <v>17.722222222222221</v>
      </c>
      <c r="Z109" s="2">
        <f t="shared" si="23"/>
        <v>19140</v>
      </c>
      <c r="AA109" s="2">
        <f t="shared" si="24"/>
        <v>4466</v>
      </c>
      <c r="AB109" s="2">
        <f t="shared" si="25"/>
        <v>41470</v>
      </c>
      <c r="AC109" s="6">
        <f t="shared" si="26"/>
        <v>3732.2999999999997</v>
      </c>
      <c r="AD109" s="6">
        <f t="shared" si="27"/>
        <v>995.28</v>
      </c>
      <c r="AE109" s="6">
        <f t="shared" si="28"/>
        <v>9193.58</v>
      </c>
      <c r="AF109" s="5">
        <f t="shared" si="29"/>
        <v>51.075444444444443</v>
      </c>
    </row>
    <row r="110" spans="1:32" x14ac:dyDescent="0.25">
      <c r="A110" s="207">
        <v>73</v>
      </c>
      <c r="B110" s="1" t="str">
        <f t="shared" si="15"/>
        <v>1.06, Disk Harrow 24'</v>
      </c>
      <c r="C110" s="142">
        <v>1.06</v>
      </c>
      <c r="D110" s="138" t="s">
        <v>424</v>
      </c>
      <c r="E110" s="138" t="s">
        <v>264</v>
      </c>
      <c r="F110" s="138" t="s">
        <v>65</v>
      </c>
      <c r="G110" s="138" t="str">
        <f t="shared" si="16"/>
        <v>Disk Harrow 24'</v>
      </c>
      <c r="H110" s="30">
        <v>46200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1130.8037677616944</v>
      </c>
      <c r="W110" s="9">
        <f t="shared" si="20"/>
        <v>6.2822431542316357</v>
      </c>
      <c r="X110" s="8">
        <f t="shared" si="21"/>
        <v>2310</v>
      </c>
      <c r="Y110" s="7">
        <f t="shared" si="22"/>
        <v>12.833333333333334</v>
      </c>
      <c r="Z110" s="2">
        <f t="shared" si="23"/>
        <v>13860</v>
      </c>
      <c r="AA110" s="2">
        <f t="shared" si="24"/>
        <v>3234</v>
      </c>
      <c r="AB110" s="2">
        <f t="shared" si="25"/>
        <v>30030</v>
      </c>
      <c r="AC110" s="6">
        <f t="shared" si="26"/>
        <v>2702.7</v>
      </c>
      <c r="AD110" s="6">
        <f t="shared" si="27"/>
        <v>720.72</v>
      </c>
      <c r="AE110" s="6">
        <f t="shared" si="28"/>
        <v>6657.42</v>
      </c>
      <c r="AF110" s="5">
        <f t="shared" si="29"/>
        <v>36.985666666666667</v>
      </c>
    </row>
    <row r="111" spans="1:32" x14ac:dyDescent="0.25">
      <c r="A111" s="207">
        <v>291</v>
      </c>
      <c r="B111" s="1" t="str">
        <f t="shared" si="15"/>
        <v>1.07, Disk Harrow 28'</v>
      </c>
      <c r="C111" s="142">
        <v>1.07</v>
      </c>
      <c r="D111" s="138" t="s">
        <v>424</v>
      </c>
      <c r="E111" s="138" t="s">
        <v>264</v>
      </c>
      <c r="F111" s="138" t="s">
        <v>87</v>
      </c>
      <c r="G111" s="138" t="str">
        <f t="shared" si="16"/>
        <v>Disk Harrow 28'</v>
      </c>
      <c r="H111" s="30">
        <v>56000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1370.6712336505389</v>
      </c>
      <c r="W111" s="9">
        <f t="shared" si="20"/>
        <v>7.614840186947438</v>
      </c>
      <c r="X111" s="8">
        <f t="shared" si="21"/>
        <v>2800</v>
      </c>
      <c r="Y111" s="7">
        <f t="shared" si="22"/>
        <v>15.555555555555555</v>
      </c>
      <c r="Z111" s="2">
        <f t="shared" si="23"/>
        <v>16800</v>
      </c>
      <c r="AA111" s="2">
        <f t="shared" si="24"/>
        <v>3920</v>
      </c>
      <c r="AB111" s="2">
        <f t="shared" si="25"/>
        <v>36400</v>
      </c>
      <c r="AC111" s="6">
        <f t="shared" si="26"/>
        <v>3276</v>
      </c>
      <c r="AD111" s="6">
        <f t="shared" si="27"/>
        <v>873.6</v>
      </c>
      <c r="AE111" s="6">
        <f t="shared" si="28"/>
        <v>8069.6</v>
      </c>
      <c r="AF111" s="5">
        <f t="shared" si="29"/>
        <v>44.831111111111113</v>
      </c>
    </row>
    <row r="112" spans="1:32" x14ac:dyDescent="0.25">
      <c r="A112" s="207">
        <v>74</v>
      </c>
      <c r="B112" s="1" t="str">
        <f t="shared" si="15"/>
        <v>1.08, Disk Harrow 32'</v>
      </c>
      <c r="C112" s="142">
        <v>1.08</v>
      </c>
      <c r="D112" s="138" t="s">
        <v>424</v>
      </c>
      <c r="E112" s="138" t="s">
        <v>264</v>
      </c>
      <c r="F112" s="138" t="s">
        <v>43</v>
      </c>
      <c r="G112" s="138" t="str">
        <f t="shared" si="16"/>
        <v>Disk Harrow 32'</v>
      </c>
      <c r="H112" s="30">
        <v>61400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1502.8431026096978</v>
      </c>
      <c r="W112" s="9">
        <f t="shared" si="20"/>
        <v>8.3491283478316536</v>
      </c>
      <c r="X112" s="8">
        <f t="shared" si="21"/>
        <v>3070</v>
      </c>
      <c r="Y112" s="7">
        <f t="shared" si="22"/>
        <v>17.055555555555557</v>
      </c>
      <c r="Z112" s="2">
        <f t="shared" si="23"/>
        <v>18420</v>
      </c>
      <c r="AA112" s="2">
        <f t="shared" si="24"/>
        <v>4298</v>
      </c>
      <c r="AB112" s="2">
        <f t="shared" si="25"/>
        <v>39910</v>
      </c>
      <c r="AC112" s="6">
        <f t="shared" si="26"/>
        <v>3591.9</v>
      </c>
      <c r="AD112" s="6">
        <f t="shared" si="27"/>
        <v>957.84</v>
      </c>
      <c r="AE112" s="6">
        <f t="shared" si="28"/>
        <v>8847.74</v>
      </c>
      <c r="AF112" s="5">
        <f t="shared" si="29"/>
        <v>49.154111111111106</v>
      </c>
    </row>
    <row r="113" spans="1:32" x14ac:dyDescent="0.25">
      <c r="A113" s="207">
        <v>721</v>
      </c>
      <c r="B113" s="1" t="str">
        <f t="shared" si="15"/>
        <v>1.09, Disk Harrow 42'</v>
      </c>
      <c r="C113" s="142">
        <v>1.0900000000000001</v>
      </c>
      <c r="D113" s="138" t="s">
        <v>424</v>
      </c>
      <c r="E113" s="138" t="s">
        <v>264</v>
      </c>
      <c r="F113" s="138" t="s">
        <v>86</v>
      </c>
      <c r="G113" s="138" t="str">
        <f t="shared" si="16"/>
        <v>Disk Harrow 42'</v>
      </c>
      <c r="H113" s="30">
        <v>107000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2618.9611071537079</v>
      </c>
      <c r="W113" s="9">
        <f t="shared" si="20"/>
        <v>14.54978392863171</v>
      </c>
      <c r="X113" s="8">
        <f t="shared" si="21"/>
        <v>5350</v>
      </c>
      <c r="Y113" s="7">
        <f t="shared" si="22"/>
        <v>29.722222222222221</v>
      </c>
      <c r="Z113" s="2">
        <f t="shared" si="23"/>
        <v>32100</v>
      </c>
      <c r="AA113" s="2">
        <f t="shared" si="24"/>
        <v>7490</v>
      </c>
      <c r="AB113" s="2">
        <f t="shared" si="25"/>
        <v>69550</v>
      </c>
      <c r="AC113" s="6">
        <f t="shared" si="26"/>
        <v>6259.5</v>
      </c>
      <c r="AD113" s="6">
        <f t="shared" si="27"/>
        <v>1669.2</v>
      </c>
      <c r="AE113" s="6">
        <f t="shared" si="28"/>
        <v>15418.7</v>
      </c>
      <c r="AF113" s="5">
        <f t="shared" si="29"/>
        <v>85.659444444444446</v>
      </c>
    </row>
    <row r="114" spans="1:32" x14ac:dyDescent="0.25">
      <c r="A114" s="207">
        <v>742</v>
      </c>
      <c r="B114" s="1" t="str">
        <f t="shared" si="15"/>
        <v>1.1, Disk Harrow 40-100 hp 14'</v>
      </c>
      <c r="C114" s="142">
        <v>1.1000000000000001</v>
      </c>
      <c r="D114" s="138" t="s">
        <v>424</v>
      </c>
      <c r="E114" s="138" t="s">
        <v>265</v>
      </c>
      <c r="F114" s="138" t="s">
        <v>12</v>
      </c>
      <c r="G114" s="138"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x14ac:dyDescent="0.25">
      <c r="A115" s="207">
        <v>722</v>
      </c>
      <c r="B115" s="1" t="str">
        <f t="shared" si="15"/>
        <v>1.11, Disk Ripper 15'</v>
      </c>
      <c r="C115" s="142">
        <v>1.1100000000000001</v>
      </c>
      <c r="D115" s="138" t="s">
        <v>424</v>
      </c>
      <c r="E115" s="138" t="s">
        <v>266</v>
      </c>
      <c r="F115" s="138" t="s">
        <v>10</v>
      </c>
      <c r="G115" s="138" t="str">
        <f t="shared" si="16"/>
        <v>Disk Ripper 15'</v>
      </c>
      <c r="H115" s="30">
        <v>50800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1243.3946190972742</v>
      </c>
      <c r="W115" s="9">
        <f t="shared" si="20"/>
        <v>6.9077478838737454</v>
      </c>
      <c r="X115" s="8">
        <f t="shared" si="21"/>
        <v>2540</v>
      </c>
      <c r="Y115" s="7">
        <f t="shared" si="22"/>
        <v>14.111111111111111</v>
      </c>
      <c r="Z115" s="2">
        <f t="shared" si="23"/>
        <v>15240</v>
      </c>
      <c r="AA115" s="2">
        <f t="shared" si="24"/>
        <v>3556</v>
      </c>
      <c r="AB115" s="2">
        <f t="shared" si="25"/>
        <v>33020</v>
      </c>
      <c r="AC115" s="6">
        <f t="shared" si="26"/>
        <v>2971.7999999999997</v>
      </c>
      <c r="AD115" s="6">
        <f t="shared" si="27"/>
        <v>792.48</v>
      </c>
      <c r="AE115" s="6">
        <f t="shared" si="28"/>
        <v>7320.2799999999988</v>
      </c>
      <c r="AF115" s="5">
        <f t="shared" si="29"/>
        <v>40.668222222222212</v>
      </c>
    </row>
    <row r="116" spans="1:32" x14ac:dyDescent="0.25">
      <c r="A116" s="207">
        <v>419</v>
      </c>
      <c r="B116" s="1" t="str">
        <f t="shared" si="15"/>
        <v xml:space="preserve">1.12, Ditcher  </v>
      </c>
      <c r="C116" s="142">
        <v>1.1200000000000001</v>
      </c>
      <c r="D116" s="138" t="s">
        <v>424</v>
      </c>
      <c r="E116" s="138" t="s">
        <v>267</v>
      </c>
      <c r="F116" s="138" t="s">
        <v>63</v>
      </c>
      <c r="G116" s="138" t="str">
        <f t="shared" si="16"/>
        <v xml:space="preserve">Ditcher  </v>
      </c>
      <c r="H116" s="30">
        <v>6120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173.60298175987143</v>
      </c>
      <c r="W116" s="9">
        <f t="shared" si="20"/>
        <v>0.86801490879935717</v>
      </c>
      <c r="X116" s="8">
        <f t="shared" si="21"/>
        <v>489.6</v>
      </c>
      <c r="Y116" s="7">
        <f t="shared" si="22"/>
        <v>2.448</v>
      </c>
      <c r="Z116" s="2">
        <f t="shared" si="23"/>
        <v>1836</v>
      </c>
      <c r="AA116" s="2">
        <f t="shared" si="24"/>
        <v>428.4</v>
      </c>
      <c r="AB116" s="2">
        <f t="shared" si="25"/>
        <v>3978</v>
      </c>
      <c r="AC116" s="6">
        <f t="shared" si="26"/>
        <v>358.02</v>
      </c>
      <c r="AD116" s="6">
        <f t="shared" si="27"/>
        <v>95.472000000000008</v>
      </c>
      <c r="AE116" s="6">
        <f t="shared" si="28"/>
        <v>881.89199999999994</v>
      </c>
      <c r="AF116" s="5">
        <f t="shared" si="29"/>
        <v>4.4094599999999993</v>
      </c>
    </row>
    <row r="117" spans="1:32" x14ac:dyDescent="0.25">
      <c r="A117" s="207">
        <v>76</v>
      </c>
      <c r="B117" s="1" t="str">
        <f t="shared" si="15"/>
        <v xml:space="preserve">1.13, Ditcher (1m/160a)  </v>
      </c>
      <c r="C117" s="142">
        <v>1.1299999999999999</v>
      </c>
      <c r="D117" s="138" t="s">
        <v>424</v>
      </c>
      <c r="E117" s="138" t="s">
        <v>268</v>
      </c>
      <c r="F117" s="138" t="s">
        <v>63</v>
      </c>
      <c r="G117" s="138" t="str">
        <f t="shared" si="16"/>
        <v xml:space="preserve">Ditcher (1m/160a)  </v>
      </c>
      <c r="H117" s="30">
        <v>6120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173.60298175987143</v>
      </c>
      <c r="W117" s="9">
        <f t="shared" si="20"/>
        <v>0.86801490879935717</v>
      </c>
      <c r="X117" s="8">
        <f t="shared" si="21"/>
        <v>489.6</v>
      </c>
      <c r="Y117" s="7">
        <f t="shared" si="22"/>
        <v>2.448</v>
      </c>
      <c r="Z117" s="2">
        <f t="shared" si="23"/>
        <v>1836</v>
      </c>
      <c r="AA117" s="2">
        <f t="shared" si="24"/>
        <v>428.4</v>
      </c>
      <c r="AB117" s="2">
        <f t="shared" si="25"/>
        <v>3978</v>
      </c>
      <c r="AC117" s="6">
        <f t="shared" si="26"/>
        <v>358.02</v>
      </c>
      <c r="AD117" s="6">
        <f t="shared" si="27"/>
        <v>95.472000000000008</v>
      </c>
      <c r="AE117" s="6">
        <f t="shared" si="28"/>
        <v>881.89199999999994</v>
      </c>
      <c r="AF117" s="5">
        <f t="shared" si="29"/>
        <v>4.4094599999999993</v>
      </c>
    </row>
    <row r="118" spans="1:32" x14ac:dyDescent="0.25">
      <c r="A118" s="207">
        <v>83</v>
      </c>
      <c r="B118" s="1" t="str">
        <f t="shared" si="15"/>
        <v>1.14, Fert Appl (Liquid)  4R-36</v>
      </c>
      <c r="C118" s="142">
        <v>1.1399999999999999</v>
      </c>
      <c r="D118" s="138" t="s">
        <v>424</v>
      </c>
      <c r="E118" s="138" t="s">
        <v>269</v>
      </c>
      <c r="F118" s="138" t="s">
        <v>195</v>
      </c>
      <c r="G118" s="138" t="str">
        <f t="shared" si="16"/>
        <v>Fert Appl (Liquid)  4R-36</v>
      </c>
      <c r="H118" s="30">
        <v>15200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288.22730087804445</v>
      </c>
      <c r="W118" s="9">
        <f t="shared" si="20"/>
        <v>1.921515339186963</v>
      </c>
      <c r="X118" s="8">
        <f t="shared" si="21"/>
        <v>1520</v>
      </c>
      <c r="Y118" s="7">
        <f t="shared" si="22"/>
        <v>10.133333333333333</v>
      </c>
      <c r="Z118" s="2">
        <f t="shared" si="23"/>
        <v>6080</v>
      </c>
      <c r="AA118" s="2">
        <f t="shared" si="24"/>
        <v>1140</v>
      </c>
      <c r="AB118" s="2">
        <f t="shared" si="25"/>
        <v>10640</v>
      </c>
      <c r="AC118" s="6">
        <f t="shared" si="26"/>
        <v>957.59999999999991</v>
      </c>
      <c r="AD118" s="6">
        <f t="shared" si="27"/>
        <v>255.36</v>
      </c>
      <c r="AE118" s="6">
        <f t="shared" si="28"/>
        <v>2352.96</v>
      </c>
      <c r="AF118" s="5">
        <f t="shared" si="29"/>
        <v>15.686400000000001</v>
      </c>
    </row>
    <row r="119" spans="1:32" x14ac:dyDescent="0.25">
      <c r="A119" s="207">
        <v>84</v>
      </c>
      <c r="B119" s="1" t="str">
        <f t="shared" si="15"/>
        <v>1.15, Fert Appl (Liquid)  6R-30</v>
      </c>
      <c r="C119" s="142">
        <v>1.1499999999999999</v>
      </c>
      <c r="D119" s="138" t="s">
        <v>424</v>
      </c>
      <c r="E119" s="138" t="s">
        <v>269</v>
      </c>
      <c r="F119" s="138" t="s">
        <v>53</v>
      </c>
      <c r="G119" s="138" t="str">
        <f t="shared" si="16"/>
        <v>Fert Appl (Liquid)  6R-30</v>
      </c>
      <c r="H119" s="30">
        <v>17900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339.42557142874972</v>
      </c>
      <c r="W119" s="9">
        <f t="shared" si="20"/>
        <v>2.2628371428583316</v>
      </c>
      <c r="X119" s="8">
        <f t="shared" si="21"/>
        <v>1790</v>
      </c>
      <c r="Y119" s="7">
        <f t="shared" si="22"/>
        <v>11.933333333333334</v>
      </c>
      <c r="Z119" s="2">
        <f t="shared" si="23"/>
        <v>7160</v>
      </c>
      <c r="AA119" s="2">
        <f t="shared" si="24"/>
        <v>1342.5</v>
      </c>
      <c r="AB119" s="2">
        <f t="shared" si="25"/>
        <v>12530</v>
      </c>
      <c r="AC119" s="6">
        <f t="shared" si="26"/>
        <v>1127.7</v>
      </c>
      <c r="AD119" s="6">
        <f t="shared" si="27"/>
        <v>300.72000000000003</v>
      </c>
      <c r="AE119" s="6">
        <f t="shared" si="28"/>
        <v>2770.92</v>
      </c>
      <c r="AF119" s="5">
        <f t="shared" si="29"/>
        <v>18.472799999999999</v>
      </c>
    </row>
    <row r="120" spans="1:32" x14ac:dyDescent="0.25">
      <c r="A120" s="207">
        <v>85</v>
      </c>
      <c r="B120" s="1" t="str">
        <f t="shared" si="15"/>
        <v>1.16, Fert Appl (Liquid)  6R-36</v>
      </c>
      <c r="C120" s="142">
        <v>1.1599999999999999</v>
      </c>
      <c r="D120" s="138" t="s">
        <v>424</v>
      </c>
      <c r="E120" s="138" t="s">
        <v>269</v>
      </c>
      <c r="F120" s="138" t="s">
        <v>196</v>
      </c>
      <c r="G120" s="138" t="str">
        <f t="shared" si="16"/>
        <v>Fert Appl (Liquid)  6R-36</v>
      </c>
      <c r="H120" s="30">
        <v>17900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339.42557142874972</v>
      </c>
      <c r="W120" s="9">
        <f t="shared" si="20"/>
        <v>2.2628371428583316</v>
      </c>
      <c r="X120" s="8">
        <f t="shared" si="21"/>
        <v>1790</v>
      </c>
      <c r="Y120" s="7">
        <f t="shared" si="22"/>
        <v>11.933333333333334</v>
      </c>
      <c r="Z120" s="2">
        <f t="shared" si="23"/>
        <v>7160</v>
      </c>
      <c r="AA120" s="2">
        <f t="shared" si="24"/>
        <v>1342.5</v>
      </c>
      <c r="AB120" s="2">
        <f t="shared" si="25"/>
        <v>12530</v>
      </c>
      <c r="AC120" s="6">
        <f t="shared" si="26"/>
        <v>1127.7</v>
      </c>
      <c r="AD120" s="6">
        <f t="shared" si="27"/>
        <v>300.72000000000003</v>
      </c>
      <c r="AE120" s="6">
        <f t="shared" si="28"/>
        <v>2770.92</v>
      </c>
      <c r="AF120" s="5">
        <f t="shared" si="29"/>
        <v>18.472799999999999</v>
      </c>
    </row>
    <row r="121" spans="1:32" x14ac:dyDescent="0.25">
      <c r="A121" s="207">
        <v>86</v>
      </c>
      <c r="B121" s="1" t="str">
        <f t="shared" si="15"/>
        <v>1.17, Fert Appl (Liquid)  8R-30</v>
      </c>
      <c r="C121" s="142">
        <v>1.17</v>
      </c>
      <c r="D121" s="138" t="s">
        <v>424</v>
      </c>
      <c r="E121" s="138" t="s">
        <v>269</v>
      </c>
      <c r="F121" s="138" t="s">
        <v>25</v>
      </c>
      <c r="G121" s="138" t="str">
        <f t="shared" si="16"/>
        <v>Fert Appl (Liquid)  8R-30</v>
      </c>
      <c r="H121" s="30">
        <v>18600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352.69919712708071</v>
      </c>
      <c r="W121" s="9">
        <f t="shared" si="20"/>
        <v>2.3513279808472047</v>
      </c>
      <c r="X121" s="8">
        <f t="shared" si="21"/>
        <v>1860</v>
      </c>
      <c r="Y121" s="7">
        <f t="shared" si="22"/>
        <v>12.4</v>
      </c>
      <c r="Z121" s="2">
        <f t="shared" si="23"/>
        <v>7440</v>
      </c>
      <c r="AA121" s="2">
        <f t="shared" si="24"/>
        <v>1395</v>
      </c>
      <c r="AB121" s="2">
        <f t="shared" si="25"/>
        <v>13020</v>
      </c>
      <c r="AC121" s="6">
        <f t="shared" si="26"/>
        <v>1171.8</v>
      </c>
      <c r="AD121" s="6">
        <f t="shared" si="27"/>
        <v>312.48</v>
      </c>
      <c r="AE121" s="6">
        <f t="shared" si="28"/>
        <v>2879.28</v>
      </c>
      <c r="AF121" s="5">
        <f t="shared" si="29"/>
        <v>19.1952</v>
      </c>
    </row>
    <row r="122" spans="1:32" x14ac:dyDescent="0.25">
      <c r="A122" s="207">
        <v>87</v>
      </c>
      <c r="B122" s="1" t="str">
        <f t="shared" si="15"/>
        <v>1.18, Fert Appl (Liquid)  8R-36</v>
      </c>
      <c r="C122" s="142">
        <v>1.18</v>
      </c>
      <c r="D122" s="138" t="s">
        <v>424</v>
      </c>
      <c r="E122" s="138" t="s">
        <v>269</v>
      </c>
      <c r="F122" s="138" t="s">
        <v>193</v>
      </c>
      <c r="G122" s="138" t="str">
        <f t="shared" si="16"/>
        <v>Fert Appl (Liquid)  8R-36</v>
      </c>
      <c r="H122" s="30">
        <v>20600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390.62384197945499</v>
      </c>
      <c r="W122" s="9">
        <f t="shared" si="20"/>
        <v>2.6041589465296999</v>
      </c>
      <c r="X122" s="8">
        <f t="shared" si="21"/>
        <v>2060</v>
      </c>
      <c r="Y122" s="7">
        <f t="shared" si="22"/>
        <v>13.733333333333333</v>
      </c>
      <c r="Z122" s="2">
        <f t="shared" si="23"/>
        <v>8240</v>
      </c>
      <c r="AA122" s="2">
        <f t="shared" si="24"/>
        <v>1545</v>
      </c>
      <c r="AB122" s="2">
        <f t="shared" si="25"/>
        <v>14420</v>
      </c>
      <c r="AC122" s="6">
        <f t="shared" si="26"/>
        <v>1297.8</v>
      </c>
      <c r="AD122" s="6">
        <f t="shared" si="27"/>
        <v>346.08</v>
      </c>
      <c r="AE122" s="6">
        <f t="shared" si="28"/>
        <v>3188.88</v>
      </c>
      <c r="AF122" s="5">
        <f t="shared" si="29"/>
        <v>21.2592</v>
      </c>
    </row>
    <row r="123" spans="1:32" x14ac:dyDescent="0.25">
      <c r="A123" s="207">
        <v>88</v>
      </c>
      <c r="B123" s="1" t="str">
        <f t="shared" si="15"/>
        <v>1.19, Fert Appl (Liquid) 10R-30</v>
      </c>
      <c r="C123" s="142">
        <v>1.19</v>
      </c>
      <c r="D123" s="138" t="s">
        <v>424</v>
      </c>
      <c r="E123" s="138" t="s">
        <v>269</v>
      </c>
      <c r="F123" s="138" t="s">
        <v>24</v>
      </c>
      <c r="G123" s="138" t="str">
        <f t="shared" si="16"/>
        <v>Fert Appl (Liquid) 10R-30</v>
      </c>
      <c r="H123" s="284">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x14ac:dyDescent="0.25">
      <c r="A124" s="207">
        <v>308</v>
      </c>
      <c r="B124" s="1" t="str">
        <f t="shared" si="15"/>
        <v>1.2, Fert Appl (Liquid) 12R-30</v>
      </c>
      <c r="C124" s="142">
        <v>1.2</v>
      </c>
      <c r="D124" s="138" t="s">
        <v>424</v>
      </c>
      <c r="E124" s="138" t="s">
        <v>269</v>
      </c>
      <c r="F124" s="138" t="s">
        <v>6</v>
      </c>
      <c r="G124" s="138" t="str">
        <f t="shared" si="16"/>
        <v>Fert Appl (Liquid) 12R-30</v>
      </c>
      <c r="H124" s="30">
        <v>24700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468.36936392682225</v>
      </c>
      <c r="W124" s="9">
        <f t="shared" si="20"/>
        <v>3.122462426178815</v>
      </c>
      <c r="X124" s="8">
        <f t="shared" si="21"/>
        <v>2470</v>
      </c>
      <c r="Y124" s="7">
        <f t="shared" si="22"/>
        <v>16.466666666666665</v>
      </c>
      <c r="Z124" s="2">
        <f t="shared" si="23"/>
        <v>9880</v>
      </c>
      <c r="AA124" s="2">
        <f t="shared" si="24"/>
        <v>1852.5</v>
      </c>
      <c r="AB124" s="2">
        <f t="shared" si="25"/>
        <v>17290</v>
      </c>
      <c r="AC124" s="6">
        <f t="shared" si="26"/>
        <v>1556.1</v>
      </c>
      <c r="AD124" s="6">
        <f t="shared" si="27"/>
        <v>414.96000000000004</v>
      </c>
      <c r="AE124" s="6">
        <f t="shared" si="28"/>
        <v>3823.56</v>
      </c>
      <c r="AF124" s="5">
        <f t="shared" si="29"/>
        <v>25.490400000000001</v>
      </c>
    </row>
    <row r="125" spans="1:32" x14ac:dyDescent="0.25">
      <c r="A125" s="207">
        <v>89</v>
      </c>
      <c r="B125" s="1" t="str">
        <f t="shared" si="15"/>
        <v>1.21, Fert Appl (Liquid) 10R-36</v>
      </c>
      <c r="C125" s="142">
        <v>1.21</v>
      </c>
      <c r="D125" s="138" t="s">
        <v>424</v>
      </c>
      <c r="E125" s="138" t="s">
        <v>269</v>
      </c>
      <c r="F125" s="138" t="s">
        <v>198</v>
      </c>
      <c r="G125" s="138" t="str">
        <f t="shared" si="16"/>
        <v>Fert Appl (Liquid) 10R-36</v>
      </c>
      <c r="H125" s="284">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x14ac:dyDescent="0.25">
      <c r="A126" s="207">
        <v>244</v>
      </c>
      <c r="B126" s="1" t="str">
        <f t="shared" si="15"/>
        <v>1.22, Fert Appl (Liquid)  8R-36 2x1</v>
      </c>
      <c r="C126" s="142">
        <v>1.22</v>
      </c>
      <c r="D126" s="138" t="s">
        <v>424</v>
      </c>
      <c r="E126" s="138" t="s">
        <v>269</v>
      </c>
      <c r="F126" s="138" t="s">
        <v>197</v>
      </c>
      <c r="G126" s="138" t="str">
        <f t="shared" si="16"/>
        <v>Fert Appl (Liquid)  8R-36 2x1</v>
      </c>
      <c r="H126" s="30">
        <v>21000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398.20877094992983</v>
      </c>
      <c r="W126" s="9">
        <f t="shared" si="20"/>
        <v>2.6547251396661991</v>
      </c>
      <c r="X126" s="8">
        <f t="shared" si="21"/>
        <v>2100</v>
      </c>
      <c r="Y126" s="7">
        <f t="shared" si="22"/>
        <v>14</v>
      </c>
      <c r="Z126" s="2">
        <f t="shared" si="23"/>
        <v>8400</v>
      </c>
      <c r="AA126" s="2">
        <f t="shared" si="24"/>
        <v>1575</v>
      </c>
      <c r="AB126" s="2">
        <f t="shared" si="25"/>
        <v>14700</v>
      </c>
      <c r="AC126" s="6">
        <f t="shared" si="26"/>
        <v>1323</v>
      </c>
      <c r="AD126" s="6">
        <f t="shared" si="27"/>
        <v>352.8</v>
      </c>
      <c r="AE126" s="6">
        <f t="shared" si="28"/>
        <v>3250.8</v>
      </c>
      <c r="AF126" s="5">
        <f t="shared" si="29"/>
        <v>21.672000000000001</v>
      </c>
    </row>
    <row r="127" spans="1:32" x14ac:dyDescent="0.25">
      <c r="A127" s="207">
        <v>245</v>
      </c>
      <c r="B127" s="1" t="str">
        <f t="shared" si="15"/>
        <v>1.23, Fert Appl (Liquid) 12R-36</v>
      </c>
      <c r="C127" s="142">
        <v>1.23</v>
      </c>
      <c r="D127" s="138" t="s">
        <v>424</v>
      </c>
      <c r="E127" s="138" t="s">
        <v>269</v>
      </c>
      <c r="F127" s="138" t="s">
        <v>194</v>
      </c>
      <c r="G127" s="138" t="str">
        <f t="shared" si="16"/>
        <v>Fert Appl (Liquid) 12R-36</v>
      </c>
      <c r="H127" s="30">
        <v>19300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365.9728228254117</v>
      </c>
      <c r="W127" s="9">
        <f t="shared" si="20"/>
        <v>2.4398188188360779</v>
      </c>
      <c r="X127" s="8">
        <f t="shared" si="21"/>
        <v>1930</v>
      </c>
      <c r="Y127" s="7">
        <f t="shared" si="22"/>
        <v>12.866666666666667</v>
      </c>
      <c r="Z127" s="2">
        <f t="shared" si="23"/>
        <v>7720</v>
      </c>
      <c r="AA127" s="2">
        <f t="shared" si="24"/>
        <v>1447.5</v>
      </c>
      <c r="AB127" s="2">
        <f t="shared" si="25"/>
        <v>13510</v>
      </c>
      <c r="AC127" s="6">
        <f t="shared" si="26"/>
        <v>1215.8999999999999</v>
      </c>
      <c r="AD127" s="6">
        <f t="shared" si="27"/>
        <v>324.24</v>
      </c>
      <c r="AE127" s="6">
        <f t="shared" si="28"/>
        <v>2987.6399999999994</v>
      </c>
      <c r="AF127" s="5">
        <f t="shared" si="29"/>
        <v>19.917599999999997</v>
      </c>
    </row>
    <row r="128" spans="1:32" x14ac:dyDescent="0.25">
      <c r="A128" s="207">
        <v>100</v>
      </c>
      <c r="B128" s="1" t="str">
        <f t="shared" si="15"/>
        <v>1.24, Field Cult &amp; Inc 42'</v>
      </c>
      <c r="C128" s="142">
        <v>1.24</v>
      </c>
      <c r="D128" s="138" t="s">
        <v>424</v>
      </c>
      <c r="E128" s="138" t="s">
        <v>270</v>
      </c>
      <c r="F128" s="138" t="s">
        <v>86</v>
      </c>
      <c r="G128" s="138" t="str">
        <f t="shared" si="16"/>
        <v>Field Cult &amp; Inc 42'</v>
      </c>
      <c r="H128" s="190">
        <v>69500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747.04810554363803</v>
      </c>
      <c r="W128" s="9">
        <f t="shared" si="20"/>
        <v>7.4704810554363803</v>
      </c>
      <c r="X128" s="8">
        <f t="shared" si="21"/>
        <v>1737.5</v>
      </c>
      <c r="Y128" s="7">
        <f t="shared" si="22"/>
        <v>17.375</v>
      </c>
      <c r="Z128" s="2">
        <f t="shared" si="23"/>
        <v>20850</v>
      </c>
      <c r="AA128" s="2">
        <f t="shared" si="24"/>
        <v>4865</v>
      </c>
      <c r="AB128" s="2">
        <f t="shared" si="25"/>
        <v>45175</v>
      </c>
      <c r="AC128" s="6">
        <f t="shared" si="26"/>
        <v>4065.75</v>
      </c>
      <c r="AD128" s="6">
        <f t="shared" si="27"/>
        <v>1084.2</v>
      </c>
      <c r="AE128" s="6">
        <f t="shared" si="28"/>
        <v>10014.950000000001</v>
      </c>
      <c r="AF128" s="5">
        <f t="shared" si="29"/>
        <v>100.1495</v>
      </c>
    </row>
    <row r="129" spans="1:32" x14ac:dyDescent="0.25">
      <c r="A129" s="207">
        <v>583</v>
      </c>
      <c r="B129" s="1" t="str">
        <f t="shared" si="15"/>
        <v>1.25, Field Cult &amp; Inc 50'</v>
      </c>
      <c r="C129" s="142">
        <v>1.25</v>
      </c>
      <c r="D129" s="138" t="s">
        <v>424</v>
      </c>
      <c r="E129" s="138" t="s">
        <v>270</v>
      </c>
      <c r="F129" s="138" t="s">
        <v>15</v>
      </c>
      <c r="G129" s="138" t="str">
        <f t="shared" si="16"/>
        <v>Field Cult &amp; Inc 50'</v>
      </c>
      <c r="H129" s="190">
        <v>82200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883.55905432643226</v>
      </c>
      <c r="W129" s="9">
        <f t="shared" si="20"/>
        <v>8.8355905432643222</v>
      </c>
      <c r="X129" s="8">
        <f t="shared" si="21"/>
        <v>2055</v>
      </c>
      <c r="Y129" s="7">
        <f t="shared" si="22"/>
        <v>20.55</v>
      </c>
      <c r="Z129" s="2">
        <f t="shared" si="23"/>
        <v>24660</v>
      </c>
      <c r="AA129" s="2">
        <f t="shared" si="24"/>
        <v>5754</v>
      </c>
      <c r="AB129" s="2">
        <f t="shared" si="25"/>
        <v>53430</v>
      </c>
      <c r="AC129" s="6">
        <f t="shared" si="26"/>
        <v>4808.7</v>
      </c>
      <c r="AD129" s="6">
        <f t="shared" si="27"/>
        <v>1282.32</v>
      </c>
      <c r="AE129" s="6">
        <f t="shared" si="28"/>
        <v>11845.02</v>
      </c>
      <c r="AF129" s="5">
        <f t="shared" si="29"/>
        <v>118.45020000000001</v>
      </c>
    </row>
    <row r="130" spans="1:32" x14ac:dyDescent="0.25">
      <c r="A130" s="207">
        <v>98</v>
      </c>
      <c r="B130" s="1" t="str">
        <f t="shared" si="15"/>
        <v>1.26, Field Cult &amp; Inc Fld 24'</v>
      </c>
      <c r="C130" s="142">
        <v>1.26</v>
      </c>
      <c r="D130" s="138" t="s">
        <v>424</v>
      </c>
      <c r="E130" s="138" t="s">
        <v>271</v>
      </c>
      <c r="F130" s="138" t="s">
        <v>65</v>
      </c>
      <c r="G130" s="138" t="str">
        <f t="shared" si="16"/>
        <v>Field Cult &amp; Inc Fld 24'</v>
      </c>
      <c r="H130" s="190">
        <v>38500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413.83240379036062</v>
      </c>
      <c r="W130" s="9">
        <f t="shared" si="20"/>
        <v>4.1383240379036064</v>
      </c>
      <c r="X130" s="8">
        <f t="shared" si="21"/>
        <v>962.5</v>
      </c>
      <c r="Y130" s="7">
        <f t="shared" si="22"/>
        <v>9.625</v>
      </c>
      <c r="Z130" s="2">
        <f t="shared" si="23"/>
        <v>11550</v>
      </c>
      <c r="AA130" s="2">
        <f t="shared" si="24"/>
        <v>2695</v>
      </c>
      <c r="AB130" s="2">
        <f t="shared" si="25"/>
        <v>25025</v>
      </c>
      <c r="AC130" s="6">
        <f t="shared" si="26"/>
        <v>2252.25</v>
      </c>
      <c r="AD130" s="6">
        <f t="shared" si="27"/>
        <v>600.6</v>
      </c>
      <c r="AE130" s="6">
        <f t="shared" si="28"/>
        <v>5547.85</v>
      </c>
      <c r="AF130" s="5">
        <f t="shared" si="29"/>
        <v>55.478500000000004</v>
      </c>
    </row>
    <row r="131" spans="1:32" x14ac:dyDescent="0.25">
      <c r="A131" s="207">
        <v>99</v>
      </c>
      <c r="B131" s="1" t="str">
        <f t="shared" si="15"/>
        <v>1.27, Field Cult &amp; Inc Fld 32'</v>
      </c>
      <c r="C131" s="142">
        <v>1.27</v>
      </c>
      <c r="D131" s="138" t="s">
        <v>424</v>
      </c>
      <c r="E131" s="138" t="s">
        <v>271</v>
      </c>
      <c r="F131" s="138" t="s">
        <v>43</v>
      </c>
      <c r="G131" s="138" t="str">
        <f t="shared" si="16"/>
        <v>Field Cult &amp; Inc Fld 32'</v>
      </c>
      <c r="H131" s="190">
        <v>50900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547.11868449167162</v>
      </c>
      <c r="W131" s="9">
        <f t="shared" si="20"/>
        <v>5.4711868449167165</v>
      </c>
      <c r="X131" s="8">
        <f t="shared" si="21"/>
        <v>1272.5</v>
      </c>
      <c r="Y131" s="7">
        <f t="shared" si="22"/>
        <v>12.725</v>
      </c>
      <c r="Z131" s="2">
        <f t="shared" si="23"/>
        <v>15270</v>
      </c>
      <c r="AA131" s="2">
        <f t="shared" si="24"/>
        <v>3563</v>
      </c>
      <c r="AB131" s="2">
        <f t="shared" si="25"/>
        <v>33085</v>
      </c>
      <c r="AC131" s="6">
        <f t="shared" si="26"/>
        <v>2977.65</v>
      </c>
      <c r="AD131" s="6">
        <f t="shared" si="27"/>
        <v>794.04</v>
      </c>
      <c r="AE131" s="6">
        <f t="shared" si="28"/>
        <v>7334.69</v>
      </c>
      <c r="AF131" s="5">
        <f t="shared" si="29"/>
        <v>73.346899999999991</v>
      </c>
    </row>
    <row r="132" spans="1:32" x14ac:dyDescent="0.25">
      <c r="A132" s="207">
        <v>97</v>
      </c>
      <c r="B132" s="1" t="str">
        <f t="shared" si="15"/>
        <v>1.28, Field Cult &amp; Inc Rdg 12'</v>
      </c>
      <c r="C132" s="142">
        <v>1.28</v>
      </c>
      <c r="D132" s="138" t="s">
        <v>424</v>
      </c>
      <c r="E132" s="138" t="s">
        <v>272</v>
      </c>
      <c r="F132" s="138" t="s">
        <v>11</v>
      </c>
      <c r="G132" s="138" t="str">
        <f t="shared" si="16"/>
        <v>Field Cult &amp; Inc Rdg 12'</v>
      </c>
      <c r="H132" s="190">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x14ac:dyDescent="0.25">
      <c r="A133" s="207">
        <v>102</v>
      </c>
      <c r="B133" s="1" t="str">
        <f t="shared" ref="B133:B196" si="30">CONCATENATE(C133,D133,E133,F133)</f>
        <v>1.29, Field Cultivate Fld 24'</v>
      </c>
      <c r="C133" s="142">
        <v>1.29</v>
      </c>
      <c r="D133" s="138" t="s">
        <v>424</v>
      </c>
      <c r="E133" s="138" t="s">
        <v>273</v>
      </c>
      <c r="F133" s="138" t="s">
        <v>65</v>
      </c>
      <c r="G133" s="138" t="str">
        <f t="shared" ref="G133:G196" si="31">CONCATENATE(E133,F133)</f>
        <v>Field Cultivate Fld 24'</v>
      </c>
      <c r="H133" s="190">
        <v>31100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334.29059111377182</v>
      </c>
      <c r="W133" s="9">
        <f t="shared" ref="W133:W196" si="35">V133/P133</f>
        <v>3.3429059111377182</v>
      </c>
      <c r="X133" s="8">
        <f t="shared" ref="X133:X196" si="36">(H133*N133/100)/O133</f>
        <v>777.5</v>
      </c>
      <c r="Y133" s="7">
        <f t="shared" ref="Y133:Y196" si="37">X133/P133</f>
        <v>7.7750000000000004</v>
      </c>
      <c r="Z133" s="2">
        <f t="shared" ref="Z133:Z196" si="38">H133*M133/100</f>
        <v>9330</v>
      </c>
      <c r="AA133" s="2">
        <f t="shared" ref="AA133:AA196" si="39">(H133-Z133)/O133</f>
        <v>2177</v>
      </c>
      <c r="AB133" s="2">
        <f t="shared" ref="AB133:AB196" si="40">(Z133+H133)/2</f>
        <v>20215</v>
      </c>
      <c r="AC133" s="6">
        <f t="shared" ref="AC133:AC196" si="41">AB133*intir</f>
        <v>1819.35</v>
      </c>
      <c r="AD133" s="6">
        <f t="shared" ref="AD133:AD196" si="42">AB133*itr</f>
        <v>485.16</v>
      </c>
      <c r="AE133" s="6">
        <f t="shared" ref="AE133:AE196" si="43">AA133+AC133+AD133</f>
        <v>4481.51</v>
      </c>
      <c r="AF133" s="5">
        <f t="shared" ref="AF133:AF196" si="44">AE133/P133</f>
        <v>44.815100000000001</v>
      </c>
    </row>
    <row r="134" spans="1:32" x14ac:dyDescent="0.25">
      <c r="A134" s="207">
        <v>103</v>
      </c>
      <c r="B134" s="1" t="str">
        <f t="shared" si="30"/>
        <v>1.3, Field Cultivate Fld 32'</v>
      </c>
      <c r="C134" s="142">
        <v>1.3</v>
      </c>
      <c r="D134" s="138" t="s">
        <v>424</v>
      </c>
      <c r="E134" s="138" t="s">
        <v>273</v>
      </c>
      <c r="F134" s="138" t="s">
        <v>43</v>
      </c>
      <c r="G134" s="138" t="str">
        <f t="shared" si="31"/>
        <v>Field Cultivate Fld 32'</v>
      </c>
      <c r="H134" s="190">
        <v>43500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467.57687181508277</v>
      </c>
      <c r="W134" s="9">
        <f t="shared" si="35"/>
        <v>4.6757687181508274</v>
      </c>
      <c r="X134" s="8">
        <f t="shared" si="36"/>
        <v>1087.5</v>
      </c>
      <c r="Y134" s="7">
        <f t="shared" si="37"/>
        <v>10.875</v>
      </c>
      <c r="Z134" s="2">
        <f t="shared" si="38"/>
        <v>13050</v>
      </c>
      <c r="AA134" s="2">
        <f t="shared" si="39"/>
        <v>3045</v>
      </c>
      <c r="AB134" s="2">
        <f t="shared" si="40"/>
        <v>28275</v>
      </c>
      <c r="AC134" s="6">
        <f t="shared" si="41"/>
        <v>2544.75</v>
      </c>
      <c r="AD134" s="6">
        <f t="shared" si="42"/>
        <v>678.6</v>
      </c>
      <c r="AE134" s="6">
        <f t="shared" si="43"/>
        <v>6268.35</v>
      </c>
      <c r="AF134" s="5">
        <f t="shared" si="44"/>
        <v>62.683500000000002</v>
      </c>
    </row>
    <row r="135" spans="1:32" x14ac:dyDescent="0.25">
      <c r="A135" s="207">
        <v>104</v>
      </c>
      <c r="B135" s="1" t="str">
        <f t="shared" si="30"/>
        <v>1.31, Field Cultivate Fld 42'</v>
      </c>
      <c r="C135" s="142">
        <v>1.31</v>
      </c>
      <c r="D135" s="138" t="s">
        <v>424</v>
      </c>
      <c r="E135" s="138" t="s">
        <v>273</v>
      </c>
      <c r="F135" s="138" t="s">
        <v>86</v>
      </c>
      <c r="G135" s="138" t="str">
        <f t="shared" si="31"/>
        <v>Field Cultivate Fld 42'</v>
      </c>
      <c r="H135" s="190">
        <v>59400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638.48428013369937</v>
      </c>
      <c r="W135" s="9">
        <f t="shared" si="35"/>
        <v>6.384842801336994</v>
      </c>
      <c r="X135" s="8">
        <f t="shared" si="36"/>
        <v>1485</v>
      </c>
      <c r="Y135" s="7">
        <f t="shared" si="37"/>
        <v>14.85</v>
      </c>
      <c r="Z135" s="2">
        <f t="shared" si="38"/>
        <v>17820</v>
      </c>
      <c r="AA135" s="2">
        <f t="shared" si="39"/>
        <v>4158</v>
      </c>
      <c r="AB135" s="2">
        <f t="shared" si="40"/>
        <v>38610</v>
      </c>
      <c r="AC135" s="6">
        <f t="shared" si="41"/>
        <v>3474.9</v>
      </c>
      <c r="AD135" s="6">
        <f t="shared" si="42"/>
        <v>926.64</v>
      </c>
      <c r="AE135" s="6">
        <f t="shared" si="43"/>
        <v>8559.5399999999991</v>
      </c>
      <c r="AF135" s="5">
        <f t="shared" si="44"/>
        <v>85.595399999999984</v>
      </c>
    </row>
    <row r="136" spans="1:32" x14ac:dyDescent="0.25">
      <c r="A136" s="207">
        <v>215</v>
      </c>
      <c r="B136" s="1" t="str">
        <f t="shared" si="30"/>
        <v>1.32, Field Cultivate Fld 50'</v>
      </c>
      <c r="C136" s="142">
        <v>1.32</v>
      </c>
      <c r="D136" s="138" t="s">
        <v>424</v>
      </c>
      <c r="E136" s="138" t="s">
        <v>273</v>
      </c>
      <c r="F136" s="138" t="s">
        <v>15</v>
      </c>
      <c r="G136" s="138" t="str">
        <f t="shared" si="31"/>
        <v>Field Cultivate Fld 50'</v>
      </c>
      <c r="H136" s="190">
        <v>69000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741.67365874116581</v>
      </c>
      <c r="W136" s="9">
        <f t="shared" si="35"/>
        <v>7.4167365874116582</v>
      </c>
      <c r="X136" s="8">
        <f t="shared" si="36"/>
        <v>1725</v>
      </c>
      <c r="Y136" s="7">
        <f t="shared" si="37"/>
        <v>17.25</v>
      </c>
      <c r="Z136" s="2">
        <f t="shared" si="38"/>
        <v>20700</v>
      </c>
      <c r="AA136" s="2">
        <f t="shared" si="39"/>
        <v>4830</v>
      </c>
      <c r="AB136" s="2">
        <f t="shared" si="40"/>
        <v>44850</v>
      </c>
      <c r="AC136" s="6">
        <f t="shared" si="41"/>
        <v>4036.5</v>
      </c>
      <c r="AD136" s="6">
        <f t="shared" si="42"/>
        <v>1076.4000000000001</v>
      </c>
      <c r="AE136" s="6">
        <f t="shared" si="43"/>
        <v>9942.9</v>
      </c>
      <c r="AF136" s="5">
        <f t="shared" si="44"/>
        <v>99.429000000000002</v>
      </c>
    </row>
    <row r="137" spans="1:32" x14ac:dyDescent="0.25">
      <c r="A137" s="207">
        <v>101</v>
      </c>
      <c r="B137" s="1" t="str">
        <f t="shared" si="30"/>
        <v>1.33, Field Cultivate Rdg 12'</v>
      </c>
      <c r="C137" s="142">
        <v>1.33</v>
      </c>
      <c r="D137" s="138" t="s">
        <v>424</v>
      </c>
      <c r="E137" s="138" t="s">
        <v>274</v>
      </c>
      <c r="F137" s="138" t="s">
        <v>11</v>
      </c>
      <c r="G137" s="138" t="str">
        <f t="shared" si="31"/>
        <v>Field Cultivate Rdg 12'</v>
      </c>
      <c r="H137" s="190">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x14ac:dyDescent="0.25">
      <c r="A138" s="207">
        <v>556</v>
      </c>
      <c r="B138" s="1" t="str">
        <f t="shared" si="30"/>
        <v>1.34, Grain Drill  8'</v>
      </c>
      <c r="C138" s="142">
        <v>1.34</v>
      </c>
      <c r="D138" s="138" t="s">
        <v>424</v>
      </c>
      <c r="E138" s="138" t="s">
        <v>275</v>
      </c>
      <c r="F138" s="138" t="s">
        <v>82</v>
      </c>
      <c r="G138" s="138" t="str">
        <f t="shared" si="31"/>
        <v>Grain Drill  8'</v>
      </c>
      <c r="H138" s="284">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x14ac:dyDescent="0.25">
      <c r="A139" s="207">
        <v>558</v>
      </c>
      <c r="B139" s="1" t="str">
        <f t="shared" si="30"/>
        <v>1.35, Grain Drill 10'</v>
      </c>
      <c r="C139" s="142">
        <v>1.35</v>
      </c>
      <c r="D139" s="138" t="s">
        <v>424</v>
      </c>
      <c r="E139" s="138" t="s">
        <v>275</v>
      </c>
      <c r="F139" s="138" t="s">
        <v>66</v>
      </c>
      <c r="G139" s="138"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x14ac:dyDescent="0.25">
      <c r="A140" s="207">
        <v>106</v>
      </c>
      <c r="B140" s="1" t="str">
        <f t="shared" si="30"/>
        <v>1.36, Grain Drill 12'</v>
      </c>
      <c r="C140" s="142">
        <v>1.36</v>
      </c>
      <c r="D140" s="138" t="s">
        <v>424</v>
      </c>
      <c r="E140" s="138" t="s">
        <v>275</v>
      </c>
      <c r="F140" s="138" t="s">
        <v>11</v>
      </c>
      <c r="G140" s="138" t="str">
        <f t="shared" si="31"/>
        <v>Grain Drill 12'</v>
      </c>
      <c r="H140" s="30">
        <v>28100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532.84126017585857</v>
      </c>
      <c r="W140" s="9">
        <f t="shared" si="35"/>
        <v>3.5522750678390569</v>
      </c>
      <c r="X140" s="8">
        <f t="shared" si="36"/>
        <v>1580.625</v>
      </c>
      <c r="Y140" s="7">
        <f t="shared" si="37"/>
        <v>10.5375</v>
      </c>
      <c r="Z140" s="2">
        <f t="shared" si="38"/>
        <v>12645</v>
      </c>
      <c r="AA140" s="2">
        <f t="shared" si="39"/>
        <v>1931.875</v>
      </c>
      <c r="AB140" s="2">
        <f t="shared" si="40"/>
        <v>20372.5</v>
      </c>
      <c r="AC140" s="6">
        <f t="shared" si="41"/>
        <v>1833.5249999999999</v>
      </c>
      <c r="AD140" s="6">
        <f t="shared" si="42"/>
        <v>488.94</v>
      </c>
      <c r="AE140" s="6">
        <f t="shared" si="43"/>
        <v>4254.3399999999992</v>
      </c>
      <c r="AF140" s="5">
        <f t="shared" si="44"/>
        <v>28.362266666666663</v>
      </c>
    </row>
    <row r="141" spans="1:32" x14ac:dyDescent="0.25">
      <c r="A141" s="207">
        <v>208</v>
      </c>
      <c r="B141" s="1" t="str">
        <f t="shared" si="30"/>
        <v>1.37, Grain Drill 15'</v>
      </c>
      <c r="C141" s="142">
        <v>1.37</v>
      </c>
      <c r="D141" s="138" t="s">
        <v>424</v>
      </c>
      <c r="E141" s="138" t="s">
        <v>275</v>
      </c>
      <c r="F141" s="138" t="s">
        <v>10</v>
      </c>
      <c r="G141" s="138" t="str">
        <f t="shared" si="31"/>
        <v>Grain Drill 15'</v>
      </c>
      <c r="H141" s="30">
        <v>33900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642.82273024774383</v>
      </c>
      <c r="W141" s="9">
        <f t="shared" si="35"/>
        <v>4.2854848683182922</v>
      </c>
      <c r="X141" s="8">
        <f t="shared" si="36"/>
        <v>1906.875</v>
      </c>
      <c r="Y141" s="7">
        <f t="shared" si="37"/>
        <v>12.7125</v>
      </c>
      <c r="Z141" s="2">
        <f t="shared" si="38"/>
        <v>15255</v>
      </c>
      <c r="AA141" s="2">
        <f t="shared" si="39"/>
        <v>2330.625</v>
      </c>
      <c r="AB141" s="2">
        <f t="shared" si="40"/>
        <v>24577.5</v>
      </c>
      <c r="AC141" s="6">
        <f t="shared" si="41"/>
        <v>2211.9749999999999</v>
      </c>
      <c r="AD141" s="6">
        <f t="shared" si="42"/>
        <v>589.86</v>
      </c>
      <c r="AE141" s="6">
        <f t="shared" si="43"/>
        <v>5132.46</v>
      </c>
      <c r="AF141" s="5">
        <f t="shared" si="44"/>
        <v>34.2164</v>
      </c>
    </row>
    <row r="142" spans="1:32" x14ac:dyDescent="0.25">
      <c r="A142" s="207">
        <v>107</v>
      </c>
      <c r="B142" s="1" t="str">
        <f t="shared" si="30"/>
        <v>1.38, Grain Drill 20'</v>
      </c>
      <c r="C142" s="142">
        <v>1.38</v>
      </c>
      <c r="D142" s="138" t="s">
        <v>424</v>
      </c>
      <c r="E142" s="138" t="s">
        <v>275</v>
      </c>
      <c r="F142" s="138" t="s">
        <v>8</v>
      </c>
      <c r="G142" s="138" t="str">
        <f t="shared" si="31"/>
        <v>Grain Drill 20'</v>
      </c>
      <c r="H142" s="30">
        <v>41400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785.04014844414735</v>
      </c>
      <c r="W142" s="9">
        <f t="shared" si="35"/>
        <v>5.2336009896276492</v>
      </c>
      <c r="X142" s="8">
        <f t="shared" si="36"/>
        <v>2328.75</v>
      </c>
      <c r="Y142" s="7">
        <f t="shared" si="37"/>
        <v>15.525</v>
      </c>
      <c r="Z142" s="2">
        <f t="shared" si="38"/>
        <v>18630</v>
      </c>
      <c r="AA142" s="2">
        <f t="shared" si="39"/>
        <v>2846.25</v>
      </c>
      <c r="AB142" s="2">
        <f t="shared" si="40"/>
        <v>30015</v>
      </c>
      <c r="AC142" s="6">
        <f t="shared" si="41"/>
        <v>2701.35</v>
      </c>
      <c r="AD142" s="6">
        <f t="shared" si="42"/>
        <v>720.36</v>
      </c>
      <c r="AE142" s="6">
        <f t="shared" si="43"/>
        <v>6267.96</v>
      </c>
      <c r="AF142" s="5">
        <f t="shared" si="44"/>
        <v>41.7864</v>
      </c>
    </row>
    <row r="143" spans="1:32" x14ac:dyDescent="0.25">
      <c r="A143" s="207">
        <v>209</v>
      </c>
      <c r="B143" s="1" t="str">
        <f t="shared" si="30"/>
        <v>1.39, Grain Drill 24'</v>
      </c>
      <c r="C143" s="142">
        <v>1.39</v>
      </c>
      <c r="D143" s="138" t="s">
        <v>424</v>
      </c>
      <c r="E143" s="138" t="s">
        <v>275</v>
      </c>
      <c r="F143" s="138" t="s">
        <v>65</v>
      </c>
      <c r="G143" s="138" t="str">
        <f t="shared" si="31"/>
        <v>Grain Drill 24'</v>
      </c>
      <c r="H143" s="30">
        <v>66800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1266.6831380693006</v>
      </c>
      <c r="W143" s="9">
        <f t="shared" si="35"/>
        <v>8.4445542537953369</v>
      </c>
      <c r="X143" s="8">
        <f t="shared" si="36"/>
        <v>3757.5</v>
      </c>
      <c r="Y143" s="7">
        <f t="shared" si="37"/>
        <v>25.05</v>
      </c>
      <c r="Z143" s="2">
        <f t="shared" si="38"/>
        <v>30060</v>
      </c>
      <c r="AA143" s="2">
        <f t="shared" si="39"/>
        <v>4592.5</v>
      </c>
      <c r="AB143" s="2">
        <f t="shared" si="40"/>
        <v>48430</v>
      </c>
      <c r="AC143" s="6">
        <f t="shared" si="41"/>
        <v>4358.7</v>
      </c>
      <c r="AD143" s="6">
        <f t="shared" si="42"/>
        <v>1162.32</v>
      </c>
      <c r="AE143" s="6">
        <f t="shared" si="43"/>
        <v>10113.52</v>
      </c>
      <c r="AF143" s="5">
        <f t="shared" si="44"/>
        <v>67.42346666666667</v>
      </c>
    </row>
    <row r="144" spans="1:32" x14ac:dyDescent="0.25">
      <c r="A144" s="207">
        <v>108</v>
      </c>
      <c r="B144" s="1" t="str">
        <f t="shared" si="30"/>
        <v>1.4, Grain Drill 30'</v>
      </c>
      <c r="C144" s="142">
        <v>1.4</v>
      </c>
      <c r="D144" s="138" t="s">
        <v>424</v>
      </c>
      <c r="E144" s="138" t="s">
        <v>275</v>
      </c>
      <c r="F144" s="138" t="s">
        <v>44</v>
      </c>
      <c r="G144" s="138" t="str">
        <f t="shared" si="31"/>
        <v>Grain Drill 30'</v>
      </c>
      <c r="H144" s="30">
        <v>68500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1298.9190861938187</v>
      </c>
      <c r="W144" s="9">
        <f t="shared" si="35"/>
        <v>8.6594605746254576</v>
      </c>
      <c r="X144" s="8">
        <f t="shared" si="36"/>
        <v>3853.125</v>
      </c>
      <c r="Y144" s="7">
        <f t="shared" si="37"/>
        <v>25.6875</v>
      </c>
      <c r="Z144" s="2">
        <f t="shared" si="38"/>
        <v>30825</v>
      </c>
      <c r="AA144" s="2">
        <f t="shared" si="39"/>
        <v>4709.375</v>
      </c>
      <c r="AB144" s="2">
        <f t="shared" si="40"/>
        <v>49662.5</v>
      </c>
      <c r="AC144" s="6">
        <f t="shared" si="41"/>
        <v>4469.625</v>
      </c>
      <c r="AD144" s="6">
        <f t="shared" si="42"/>
        <v>1191.9000000000001</v>
      </c>
      <c r="AE144" s="6">
        <f t="shared" si="43"/>
        <v>10370.9</v>
      </c>
      <c r="AF144" s="5">
        <f t="shared" si="44"/>
        <v>69.139333333333326</v>
      </c>
    </row>
    <row r="145" spans="1:32" x14ac:dyDescent="0.25">
      <c r="A145" s="207">
        <v>560</v>
      </c>
      <c r="B145" s="1" t="str">
        <f t="shared" si="30"/>
        <v>1.41, Grain Drill 35'</v>
      </c>
      <c r="C145" s="142">
        <v>1.41</v>
      </c>
      <c r="D145" s="138" t="s">
        <v>424</v>
      </c>
      <c r="E145" s="138" t="s">
        <v>275</v>
      </c>
      <c r="F145" s="138" t="s">
        <v>81</v>
      </c>
      <c r="G145" s="138" t="str">
        <f t="shared" si="31"/>
        <v>Grain Drill 35'</v>
      </c>
      <c r="H145" s="30">
        <v>91900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1742.6374309665978</v>
      </c>
      <c r="W145" s="9">
        <f t="shared" si="35"/>
        <v>11.617582873110651</v>
      </c>
      <c r="X145" s="8">
        <f t="shared" si="36"/>
        <v>5169.375</v>
      </c>
      <c r="Y145" s="7">
        <f t="shared" si="37"/>
        <v>34.462499999999999</v>
      </c>
      <c r="Z145" s="2">
        <f t="shared" si="38"/>
        <v>41355</v>
      </c>
      <c r="AA145" s="2">
        <f t="shared" si="39"/>
        <v>6318.125</v>
      </c>
      <c r="AB145" s="2">
        <f t="shared" si="40"/>
        <v>66627.5</v>
      </c>
      <c r="AC145" s="6">
        <f t="shared" si="41"/>
        <v>5996.4749999999995</v>
      </c>
      <c r="AD145" s="6">
        <f t="shared" si="42"/>
        <v>1599.06</v>
      </c>
      <c r="AE145" s="6">
        <f t="shared" si="43"/>
        <v>13913.659999999998</v>
      </c>
      <c r="AF145" s="5">
        <f t="shared" si="44"/>
        <v>92.75773333333332</v>
      </c>
    </row>
    <row r="146" spans="1:32" x14ac:dyDescent="0.25">
      <c r="A146" s="207">
        <v>557</v>
      </c>
      <c r="B146" s="1" t="str">
        <f t="shared" si="30"/>
        <v>1.42, Grain Drill &amp; Pre  8'</v>
      </c>
      <c r="C146" s="142">
        <v>1.42</v>
      </c>
      <c r="D146" s="138" t="s">
        <v>424</v>
      </c>
      <c r="E146" s="138" t="s">
        <v>276</v>
      </c>
      <c r="F146" s="138" t="s">
        <v>82</v>
      </c>
      <c r="G146" s="138" t="str">
        <f t="shared" si="31"/>
        <v>Grain Drill &amp; Pre  8'</v>
      </c>
      <c r="H146" s="284">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x14ac:dyDescent="0.25">
      <c r="A147" s="207">
        <v>559</v>
      </c>
      <c r="B147" s="1" t="str">
        <f t="shared" si="30"/>
        <v>1.43, Grain Drill &amp; Pre 10'</v>
      </c>
      <c r="C147" s="142">
        <v>1.43</v>
      </c>
      <c r="D147" s="138" t="s">
        <v>424</v>
      </c>
      <c r="E147" s="138" t="s">
        <v>276</v>
      </c>
      <c r="F147" s="138" t="s">
        <v>66</v>
      </c>
      <c r="G147" s="138"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x14ac:dyDescent="0.25">
      <c r="A148" s="207">
        <v>396</v>
      </c>
      <c r="B148" s="1" t="str">
        <f t="shared" si="30"/>
        <v>1.44, Grain Drill &amp; Pre 12'</v>
      </c>
      <c r="C148" s="142">
        <v>1.44</v>
      </c>
      <c r="D148" s="138" t="s">
        <v>424</v>
      </c>
      <c r="E148" s="138" t="s">
        <v>276</v>
      </c>
      <c r="F148" s="138" t="s">
        <v>11</v>
      </c>
      <c r="G148" s="138" t="str">
        <f t="shared" si="31"/>
        <v>Grain Drill &amp; Pre 12'</v>
      </c>
      <c r="H148" s="30">
        <v>35400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671.26621388702461</v>
      </c>
      <c r="W148" s="9">
        <f t="shared" si="35"/>
        <v>4.4751080925801636</v>
      </c>
      <c r="X148" s="8">
        <f t="shared" si="36"/>
        <v>1991.25</v>
      </c>
      <c r="Y148" s="7">
        <f t="shared" si="37"/>
        <v>13.275</v>
      </c>
      <c r="Z148" s="2">
        <f t="shared" si="38"/>
        <v>15930</v>
      </c>
      <c r="AA148" s="2">
        <f t="shared" si="39"/>
        <v>2433.75</v>
      </c>
      <c r="AB148" s="2">
        <f t="shared" si="40"/>
        <v>25665</v>
      </c>
      <c r="AC148" s="6">
        <f t="shared" si="41"/>
        <v>2309.85</v>
      </c>
      <c r="AD148" s="6">
        <f t="shared" si="42"/>
        <v>615.96</v>
      </c>
      <c r="AE148" s="6">
        <f t="shared" si="43"/>
        <v>5359.56</v>
      </c>
      <c r="AF148" s="5">
        <f t="shared" si="44"/>
        <v>35.730400000000003</v>
      </c>
    </row>
    <row r="149" spans="1:32" x14ac:dyDescent="0.25">
      <c r="A149" s="207">
        <v>397</v>
      </c>
      <c r="B149" s="1" t="str">
        <f t="shared" si="30"/>
        <v>1.45, Grain Drill &amp; Pre 15'</v>
      </c>
      <c r="C149" s="142">
        <v>1.45</v>
      </c>
      <c r="D149" s="138" t="s">
        <v>424</v>
      </c>
      <c r="E149" s="138" t="s">
        <v>276</v>
      </c>
      <c r="F149" s="138" t="s">
        <v>10</v>
      </c>
      <c r="G149" s="138" t="str">
        <f t="shared" si="31"/>
        <v>Grain Drill &amp; Pre 15'</v>
      </c>
      <c r="H149" s="30">
        <v>41200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781.24768395890999</v>
      </c>
      <c r="W149" s="9">
        <f t="shared" si="35"/>
        <v>5.2083178930593999</v>
      </c>
      <c r="X149" s="8">
        <f t="shared" si="36"/>
        <v>2317.5</v>
      </c>
      <c r="Y149" s="7">
        <f t="shared" si="37"/>
        <v>15.45</v>
      </c>
      <c r="Z149" s="2">
        <f t="shared" si="38"/>
        <v>18540</v>
      </c>
      <c r="AA149" s="2">
        <f t="shared" si="39"/>
        <v>2832.5</v>
      </c>
      <c r="AB149" s="2">
        <f t="shared" si="40"/>
        <v>29870</v>
      </c>
      <c r="AC149" s="6">
        <f t="shared" si="41"/>
        <v>2688.2999999999997</v>
      </c>
      <c r="AD149" s="6">
        <f t="shared" si="42"/>
        <v>716.88</v>
      </c>
      <c r="AE149" s="6">
        <f t="shared" si="43"/>
        <v>6237.6799999999994</v>
      </c>
      <c r="AF149" s="5">
        <f t="shared" si="44"/>
        <v>41.584533333333326</v>
      </c>
    </row>
    <row r="150" spans="1:32" x14ac:dyDescent="0.25">
      <c r="A150" s="207">
        <v>398</v>
      </c>
      <c r="B150" s="1" t="str">
        <f t="shared" si="30"/>
        <v>1.46, Grain Drill &amp; Pre 20'</v>
      </c>
      <c r="C150" s="142">
        <v>1.46</v>
      </c>
      <c r="D150" s="138" t="s">
        <v>424</v>
      </c>
      <c r="E150" s="138" t="s">
        <v>276</v>
      </c>
      <c r="F150" s="138" t="s">
        <v>8</v>
      </c>
      <c r="G150" s="138" t="str">
        <f t="shared" si="31"/>
        <v>Grain Drill &amp; Pre 20'</v>
      </c>
      <c r="H150" s="30">
        <v>48800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925.36133439793218</v>
      </c>
      <c r="W150" s="9">
        <f t="shared" si="35"/>
        <v>6.169075562652881</v>
      </c>
      <c r="X150" s="8">
        <f t="shared" si="36"/>
        <v>2745</v>
      </c>
      <c r="Y150" s="7">
        <f t="shared" si="37"/>
        <v>18.3</v>
      </c>
      <c r="Z150" s="2">
        <f t="shared" si="38"/>
        <v>21960</v>
      </c>
      <c r="AA150" s="2">
        <f t="shared" si="39"/>
        <v>3355</v>
      </c>
      <c r="AB150" s="2">
        <f t="shared" si="40"/>
        <v>35380</v>
      </c>
      <c r="AC150" s="6">
        <f t="shared" si="41"/>
        <v>3184.2</v>
      </c>
      <c r="AD150" s="6">
        <f t="shared" si="42"/>
        <v>849.12</v>
      </c>
      <c r="AE150" s="6">
        <f t="shared" si="43"/>
        <v>7388.32</v>
      </c>
      <c r="AF150" s="5">
        <f t="shared" si="44"/>
        <v>49.255466666666663</v>
      </c>
    </row>
    <row r="151" spans="1:32" x14ac:dyDescent="0.25">
      <c r="A151" s="207">
        <v>399</v>
      </c>
      <c r="B151" s="1" t="str">
        <f t="shared" si="30"/>
        <v>1.47, Grain Drill &amp; Pre 24'</v>
      </c>
      <c r="C151" s="142">
        <v>1.47</v>
      </c>
      <c r="D151" s="138" t="s">
        <v>424</v>
      </c>
      <c r="E151" s="138" t="s">
        <v>276</v>
      </c>
      <c r="F151" s="138" t="s">
        <v>65</v>
      </c>
      <c r="G151" s="138" t="str">
        <f t="shared" si="31"/>
        <v>Grain Drill &amp; Pre 24'</v>
      </c>
      <c r="H151" s="30">
        <v>74200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1407.0043240230855</v>
      </c>
      <c r="W151" s="9">
        <f t="shared" si="35"/>
        <v>9.3800288268205705</v>
      </c>
      <c r="X151" s="8">
        <f t="shared" si="36"/>
        <v>4173.75</v>
      </c>
      <c r="Y151" s="7">
        <f t="shared" si="37"/>
        <v>27.824999999999999</v>
      </c>
      <c r="Z151" s="2">
        <f t="shared" si="38"/>
        <v>33390</v>
      </c>
      <c r="AA151" s="2">
        <f t="shared" si="39"/>
        <v>5101.25</v>
      </c>
      <c r="AB151" s="2">
        <f t="shared" si="40"/>
        <v>53795</v>
      </c>
      <c r="AC151" s="6">
        <f t="shared" si="41"/>
        <v>4841.55</v>
      </c>
      <c r="AD151" s="6">
        <f t="shared" si="42"/>
        <v>1291.08</v>
      </c>
      <c r="AE151" s="6">
        <f t="shared" si="43"/>
        <v>11233.88</v>
      </c>
      <c r="AF151" s="5">
        <f t="shared" si="44"/>
        <v>74.892533333333333</v>
      </c>
    </row>
    <row r="152" spans="1:32" x14ac:dyDescent="0.25">
      <c r="A152" s="207">
        <v>400</v>
      </c>
      <c r="B152" s="1" t="str">
        <f t="shared" si="30"/>
        <v>1.48, Grain Drill &amp; Pre 30'</v>
      </c>
      <c r="C152" s="142">
        <v>1.48</v>
      </c>
      <c r="D152" s="138" t="s">
        <v>424</v>
      </c>
      <c r="E152" s="138" t="s">
        <v>276</v>
      </c>
      <c r="F152" s="138" t="s">
        <v>44</v>
      </c>
      <c r="G152" s="138" t="str">
        <f t="shared" si="31"/>
        <v>Grain Drill &amp; Pre 30'</v>
      </c>
      <c r="H152" s="30">
        <v>75800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1437.3440399049848</v>
      </c>
      <c r="W152" s="9">
        <f t="shared" si="35"/>
        <v>9.5822935993665652</v>
      </c>
      <c r="X152" s="8">
        <f t="shared" si="36"/>
        <v>4263.75</v>
      </c>
      <c r="Y152" s="7">
        <f t="shared" si="37"/>
        <v>28.425000000000001</v>
      </c>
      <c r="Z152" s="2">
        <f t="shared" si="38"/>
        <v>34110</v>
      </c>
      <c r="AA152" s="2">
        <f t="shared" si="39"/>
        <v>5211.25</v>
      </c>
      <c r="AB152" s="2">
        <f t="shared" si="40"/>
        <v>54955</v>
      </c>
      <c r="AC152" s="6">
        <f t="shared" si="41"/>
        <v>4945.95</v>
      </c>
      <c r="AD152" s="6">
        <f t="shared" si="42"/>
        <v>1318.92</v>
      </c>
      <c r="AE152" s="6">
        <f t="shared" si="43"/>
        <v>11476.12</v>
      </c>
      <c r="AF152" s="5">
        <f t="shared" si="44"/>
        <v>76.507466666666673</v>
      </c>
    </row>
    <row r="153" spans="1:32" x14ac:dyDescent="0.25">
      <c r="A153" s="207">
        <v>561</v>
      </c>
      <c r="B153" s="1" t="str">
        <f t="shared" si="30"/>
        <v>1.49, Grain Drill &amp; Pre 35'</v>
      </c>
      <c r="C153" s="142">
        <v>1.49</v>
      </c>
      <c r="D153" s="138" t="s">
        <v>424</v>
      </c>
      <c r="E153" s="138" t="s">
        <v>276</v>
      </c>
      <c r="F153" s="138" t="s">
        <v>81</v>
      </c>
      <c r="G153" s="138" t="str">
        <f t="shared" si="31"/>
        <v>Grain Drill &amp; Pre 35'</v>
      </c>
      <c r="H153" s="30">
        <v>101000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1915.1945650449006</v>
      </c>
      <c r="W153" s="9">
        <f t="shared" si="35"/>
        <v>12.767963766966004</v>
      </c>
      <c r="X153" s="8">
        <f t="shared" si="36"/>
        <v>5681.25</v>
      </c>
      <c r="Y153" s="7">
        <f t="shared" si="37"/>
        <v>37.875</v>
      </c>
      <c r="Z153" s="2">
        <f t="shared" si="38"/>
        <v>45450</v>
      </c>
      <c r="AA153" s="2">
        <f t="shared" si="39"/>
        <v>6943.75</v>
      </c>
      <c r="AB153" s="2">
        <f t="shared" si="40"/>
        <v>73225</v>
      </c>
      <c r="AC153" s="6">
        <f t="shared" si="41"/>
        <v>6590.25</v>
      </c>
      <c r="AD153" s="6">
        <f t="shared" si="42"/>
        <v>1757.4</v>
      </c>
      <c r="AE153" s="6">
        <f t="shared" si="43"/>
        <v>15291.4</v>
      </c>
      <c r="AF153" s="5">
        <f t="shared" si="44"/>
        <v>101.94266666666667</v>
      </c>
    </row>
    <row r="154" spans="1:32" x14ac:dyDescent="0.25">
      <c r="A154" s="207">
        <v>711</v>
      </c>
      <c r="B154" s="1" t="str">
        <f t="shared" si="30"/>
        <v>1.5, Grain Drill &amp; Pre T 8R-36</v>
      </c>
      <c r="C154" s="142">
        <v>1.5</v>
      </c>
      <c r="D154" s="138" t="s">
        <v>424</v>
      </c>
      <c r="E154" s="138" t="s">
        <v>277</v>
      </c>
      <c r="F154" s="138" t="s">
        <v>199</v>
      </c>
      <c r="G154" s="138" t="str">
        <f t="shared" si="31"/>
        <v>Grain Drill &amp; Pre T 8R-36</v>
      </c>
      <c r="H154" s="211">
        <v>59000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1118.7770231450411</v>
      </c>
      <c r="W154" s="9">
        <f t="shared" si="35"/>
        <v>7.4585134876336072</v>
      </c>
      <c r="X154" s="8">
        <f t="shared" si="36"/>
        <v>3318.75</v>
      </c>
      <c r="Y154" s="7">
        <f t="shared" si="37"/>
        <v>22.125</v>
      </c>
      <c r="Z154" s="2">
        <f t="shared" si="38"/>
        <v>26550</v>
      </c>
      <c r="AA154" s="2">
        <f t="shared" si="39"/>
        <v>4056.25</v>
      </c>
      <c r="AB154" s="2">
        <f t="shared" si="40"/>
        <v>42775</v>
      </c>
      <c r="AC154" s="6">
        <f t="shared" si="41"/>
        <v>3849.75</v>
      </c>
      <c r="AD154" s="6">
        <f t="shared" si="42"/>
        <v>1026.5999999999999</v>
      </c>
      <c r="AE154" s="6">
        <f t="shared" si="43"/>
        <v>8932.6</v>
      </c>
      <c r="AF154" s="5">
        <f t="shared" si="44"/>
        <v>59.550666666666672</v>
      </c>
    </row>
    <row r="155" spans="1:32" x14ac:dyDescent="0.25">
      <c r="A155" s="207">
        <v>186</v>
      </c>
      <c r="B155" s="1" t="str">
        <f t="shared" si="30"/>
        <v>1.51, Harrow -  Rigid 21'</v>
      </c>
      <c r="C155" s="142">
        <v>1.51</v>
      </c>
      <c r="D155" s="138" t="s">
        <v>424</v>
      </c>
      <c r="E155" s="138" t="s">
        <v>278</v>
      </c>
      <c r="F155" s="138" t="s">
        <v>39</v>
      </c>
      <c r="G155" s="138" t="str">
        <f t="shared" si="31"/>
        <v>Harrow -  Rigid 21'</v>
      </c>
      <c r="H155" s="284">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x14ac:dyDescent="0.25">
      <c r="A156" s="207">
        <v>739</v>
      </c>
      <c r="B156" s="1" t="str">
        <f t="shared" si="30"/>
        <v>1.52, Harrow - Folding 16'</v>
      </c>
      <c r="C156" s="142">
        <v>1.52</v>
      </c>
      <c r="D156" s="138" t="s">
        <v>424</v>
      </c>
      <c r="E156" s="138" t="s">
        <v>279</v>
      </c>
      <c r="F156" s="138" t="s">
        <v>80</v>
      </c>
      <c r="G156" s="138" t="str">
        <f t="shared" si="31"/>
        <v>Harrow - Folding 16'</v>
      </c>
      <c r="H156" s="284">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x14ac:dyDescent="0.25">
      <c r="A157" s="207">
        <v>740</v>
      </c>
      <c r="B157" s="1" t="str">
        <f t="shared" si="30"/>
        <v>1.53, Harrow - Folding 24'</v>
      </c>
      <c r="C157" s="142">
        <v>1.53</v>
      </c>
      <c r="D157" s="138" t="s">
        <v>424</v>
      </c>
      <c r="E157" s="138" t="s">
        <v>279</v>
      </c>
      <c r="F157" s="138" t="s">
        <v>65</v>
      </c>
      <c r="G157" s="138" t="str">
        <f t="shared" si="31"/>
        <v>Harrow - Folding 24'</v>
      </c>
      <c r="H157" s="30">
        <v>13800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391.45770396833757</v>
      </c>
      <c r="W157" s="9">
        <f t="shared" si="35"/>
        <v>1.9572885198416878</v>
      </c>
      <c r="X157" s="8">
        <f t="shared" si="36"/>
        <v>966</v>
      </c>
      <c r="Y157" s="7">
        <f t="shared" si="37"/>
        <v>4.83</v>
      </c>
      <c r="Z157" s="2">
        <f t="shared" si="38"/>
        <v>4140</v>
      </c>
      <c r="AA157" s="2">
        <f t="shared" si="39"/>
        <v>966</v>
      </c>
      <c r="AB157" s="2">
        <f t="shared" si="40"/>
        <v>8970</v>
      </c>
      <c r="AC157" s="6">
        <f t="shared" si="41"/>
        <v>807.3</v>
      </c>
      <c r="AD157" s="6">
        <f t="shared" si="42"/>
        <v>215.28</v>
      </c>
      <c r="AE157" s="6">
        <f t="shared" si="43"/>
        <v>1988.58</v>
      </c>
      <c r="AF157" s="5">
        <f t="shared" si="44"/>
        <v>9.9428999999999998</v>
      </c>
    </row>
    <row r="158" spans="1:32" x14ac:dyDescent="0.25">
      <c r="A158" s="207">
        <v>566</v>
      </c>
      <c r="B158" s="1" t="str">
        <f t="shared" si="30"/>
        <v>1.54, Harrow - Folding 30'</v>
      </c>
      <c r="C158" s="142">
        <v>1.54</v>
      </c>
      <c r="D158" s="138" t="s">
        <v>424</v>
      </c>
      <c r="E158" s="138" t="s">
        <v>279</v>
      </c>
      <c r="F158" s="138" t="s">
        <v>44</v>
      </c>
      <c r="G158" s="138" t="str">
        <f t="shared" si="31"/>
        <v>Harrow - Folding 30'</v>
      </c>
      <c r="H158" s="30">
        <v>15300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434.00745439967858</v>
      </c>
      <c r="W158" s="9">
        <f t="shared" si="35"/>
        <v>2.1700372719983929</v>
      </c>
      <c r="X158" s="8">
        <f t="shared" si="36"/>
        <v>1071</v>
      </c>
      <c r="Y158" s="7">
        <f t="shared" si="37"/>
        <v>5.3550000000000004</v>
      </c>
      <c r="Z158" s="2">
        <f t="shared" si="38"/>
        <v>4590</v>
      </c>
      <c r="AA158" s="2">
        <f t="shared" si="39"/>
        <v>1071</v>
      </c>
      <c r="AB158" s="2">
        <f t="shared" si="40"/>
        <v>9945</v>
      </c>
      <c r="AC158" s="6">
        <f t="shared" si="41"/>
        <v>895.05</v>
      </c>
      <c r="AD158" s="6">
        <f t="shared" si="42"/>
        <v>238.68</v>
      </c>
      <c r="AE158" s="6">
        <f t="shared" si="43"/>
        <v>2204.73</v>
      </c>
      <c r="AF158" s="5">
        <f t="shared" si="44"/>
        <v>11.02365</v>
      </c>
    </row>
    <row r="159" spans="1:32" x14ac:dyDescent="0.25">
      <c r="A159" s="207">
        <v>210</v>
      </c>
      <c r="B159" s="1" t="str">
        <f t="shared" si="30"/>
        <v>1.55, Harrow - Folding 40'</v>
      </c>
      <c r="C159" s="142">
        <v>1.55</v>
      </c>
      <c r="D159" s="138" t="s">
        <v>424</v>
      </c>
      <c r="E159" s="138" t="s">
        <v>279</v>
      </c>
      <c r="F159" s="138" t="s">
        <v>16</v>
      </c>
      <c r="G159" s="138" t="str">
        <f t="shared" si="31"/>
        <v>Harrow - Folding 40'</v>
      </c>
      <c r="H159" s="30">
        <v>21300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604.20645612504268</v>
      </c>
      <c r="W159" s="9">
        <f t="shared" si="35"/>
        <v>3.0210322806252132</v>
      </c>
      <c r="X159" s="8">
        <f t="shared" si="36"/>
        <v>1491</v>
      </c>
      <c r="Y159" s="7">
        <f t="shared" si="37"/>
        <v>7.4550000000000001</v>
      </c>
      <c r="Z159" s="2">
        <f t="shared" si="38"/>
        <v>6390</v>
      </c>
      <c r="AA159" s="2">
        <f t="shared" si="39"/>
        <v>1491</v>
      </c>
      <c r="AB159" s="2">
        <f t="shared" si="40"/>
        <v>13845</v>
      </c>
      <c r="AC159" s="6">
        <f t="shared" si="41"/>
        <v>1246.05</v>
      </c>
      <c r="AD159" s="6">
        <f t="shared" si="42"/>
        <v>332.28000000000003</v>
      </c>
      <c r="AE159" s="6">
        <f t="shared" si="43"/>
        <v>3069.3300000000004</v>
      </c>
      <c r="AF159" s="5">
        <f t="shared" si="44"/>
        <v>15.346650000000002</v>
      </c>
    </row>
    <row r="160" spans="1:32" x14ac:dyDescent="0.25">
      <c r="A160" s="207">
        <v>741</v>
      </c>
      <c r="B160" s="1" t="str">
        <f t="shared" si="30"/>
        <v>1.56, Harrow - Folding 48'</v>
      </c>
      <c r="C160" s="142">
        <v>1.56</v>
      </c>
      <c r="D160" s="138" t="s">
        <v>424</v>
      </c>
      <c r="E160" s="138" t="s">
        <v>279</v>
      </c>
      <c r="F160" s="138" t="s">
        <v>79</v>
      </c>
      <c r="G160" s="138" t="str">
        <f t="shared" si="31"/>
        <v>Harrow - Folding 48'</v>
      </c>
      <c r="H160" s="30">
        <v>26000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737.52900747657804</v>
      </c>
      <c r="W160" s="9">
        <f t="shared" si="35"/>
        <v>3.6876450373828904</v>
      </c>
      <c r="X160" s="8">
        <f t="shared" si="36"/>
        <v>1820</v>
      </c>
      <c r="Y160" s="7">
        <f t="shared" si="37"/>
        <v>9.1</v>
      </c>
      <c r="Z160" s="2">
        <f t="shared" si="38"/>
        <v>7800</v>
      </c>
      <c r="AA160" s="2">
        <f t="shared" si="39"/>
        <v>1820</v>
      </c>
      <c r="AB160" s="2">
        <f t="shared" si="40"/>
        <v>16900</v>
      </c>
      <c r="AC160" s="6">
        <f t="shared" si="41"/>
        <v>1521</v>
      </c>
      <c r="AD160" s="6">
        <f t="shared" si="42"/>
        <v>405.6</v>
      </c>
      <c r="AE160" s="6">
        <f t="shared" si="43"/>
        <v>3746.6</v>
      </c>
      <c r="AF160" s="5">
        <f t="shared" si="44"/>
        <v>18.733000000000001</v>
      </c>
    </row>
    <row r="161" spans="1:32" x14ac:dyDescent="0.25">
      <c r="A161" s="207">
        <v>185</v>
      </c>
      <c r="B161" s="1" t="str">
        <f t="shared" si="30"/>
        <v>1.57, Harrow - Rigid 13'</v>
      </c>
      <c r="C161" s="142">
        <v>1.57</v>
      </c>
      <c r="D161" s="138" t="s">
        <v>424</v>
      </c>
      <c r="E161" s="138" t="s">
        <v>280</v>
      </c>
      <c r="F161" s="138" t="s">
        <v>40</v>
      </c>
      <c r="G161" s="138" t="str">
        <f t="shared" si="31"/>
        <v>Harrow - Rigid 13'</v>
      </c>
      <c r="H161" s="284">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x14ac:dyDescent="0.25">
      <c r="A162" s="207"/>
      <c r="B162" s="1" t="str">
        <f t="shared" si="30"/>
        <v>1.58, Heavy Disk 14'</v>
      </c>
      <c r="C162" s="142">
        <v>1.58</v>
      </c>
      <c r="D162" s="138" t="s">
        <v>424</v>
      </c>
      <c r="E162" s="138" t="s">
        <v>409</v>
      </c>
      <c r="F162" s="138" t="s">
        <v>12</v>
      </c>
      <c r="G162" s="138" t="str">
        <f t="shared" si="31"/>
        <v>Heavy Disk 14'</v>
      </c>
      <c r="H162" s="30">
        <v>26400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646.17358157811111</v>
      </c>
      <c r="W162" s="9">
        <f t="shared" si="35"/>
        <v>3.5898532309895064</v>
      </c>
      <c r="X162" s="8">
        <f t="shared" si="36"/>
        <v>1320</v>
      </c>
      <c r="Y162" s="7">
        <f t="shared" si="37"/>
        <v>7.333333333333333</v>
      </c>
      <c r="Z162" s="2">
        <f t="shared" si="38"/>
        <v>7920</v>
      </c>
      <c r="AA162" s="2">
        <f t="shared" si="39"/>
        <v>1848</v>
      </c>
      <c r="AB162" s="2">
        <f t="shared" si="40"/>
        <v>17160</v>
      </c>
      <c r="AC162" s="6">
        <f t="shared" si="41"/>
        <v>1544.3999999999999</v>
      </c>
      <c r="AD162" s="6">
        <f t="shared" si="42"/>
        <v>411.84000000000003</v>
      </c>
      <c r="AE162" s="6">
        <f t="shared" si="43"/>
        <v>3804.24</v>
      </c>
      <c r="AF162" s="5">
        <f t="shared" si="44"/>
        <v>21.134666666666664</v>
      </c>
    </row>
    <row r="163" spans="1:32" x14ac:dyDescent="0.25">
      <c r="A163" s="207"/>
      <c r="B163" s="1" t="str">
        <f t="shared" si="30"/>
        <v>1.59, Heavy Disk 21'</v>
      </c>
      <c r="C163" s="142">
        <v>1.59</v>
      </c>
      <c r="D163" s="138" t="s">
        <v>424</v>
      </c>
      <c r="E163" s="138" t="s">
        <v>409</v>
      </c>
      <c r="F163" s="138" t="s">
        <v>39</v>
      </c>
      <c r="G163" s="138" t="str">
        <f t="shared" si="31"/>
        <v>Heavy Disk 21'</v>
      </c>
      <c r="H163" s="30">
        <v>45000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1101.4322413263258</v>
      </c>
      <c r="W163" s="9">
        <f t="shared" si="35"/>
        <v>6.1190680073684769</v>
      </c>
      <c r="X163" s="8">
        <f t="shared" si="36"/>
        <v>2250</v>
      </c>
      <c r="Y163" s="7">
        <f t="shared" si="37"/>
        <v>12.5</v>
      </c>
      <c r="Z163" s="2">
        <f t="shared" si="38"/>
        <v>13500</v>
      </c>
      <c r="AA163" s="2">
        <f t="shared" si="39"/>
        <v>3150</v>
      </c>
      <c r="AB163" s="2">
        <f t="shared" si="40"/>
        <v>29250</v>
      </c>
      <c r="AC163" s="6">
        <f t="shared" si="41"/>
        <v>2632.5</v>
      </c>
      <c r="AD163" s="6">
        <f t="shared" si="42"/>
        <v>702</v>
      </c>
      <c r="AE163" s="6">
        <f t="shared" si="43"/>
        <v>6484.5</v>
      </c>
      <c r="AF163" s="5">
        <f t="shared" si="44"/>
        <v>36.024999999999999</v>
      </c>
    </row>
    <row r="164" spans="1:32" x14ac:dyDescent="0.25">
      <c r="A164" s="207"/>
      <c r="B164" s="1" t="str">
        <f t="shared" si="30"/>
        <v>1.6, Heavy Disk 27'</v>
      </c>
      <c r="C164" s="142">
        <v>1.6</v>
      </c>
      <c r="D164" s="138" t="s">
        <v>424</v>
      </c>
      <c r="E164" s="138" t="s">
        <v>409</v>
      </c>
      <c r="F164" s="138" t="s">
        <v>17</v>
      </c>
      <c r="G164" s="138" t="str">
        <f t="shared" si="31"/>
        <v>Heavy Disk 27'</v>
      </c>
      <c r="H164" s="30">
        <v>56000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1370.6712336505389</v>
      </c>
      <c r="W164" s="9">
        <f t="shared" si="35"/>
        <v>7.614840186947438</v>
      </c>
      <c r="X164" s="8">
        <f t="shared" si="36"/>
        <v>2800</v>
      </c>
      <c r="Y164" s="7">
        <f t="shared" si="37"/>
        <v>15.555555555555555</v>
      </c>
      <c r="Z164" s="2">
        <f t="shared" si="38"/>
        <v>16800</v>
      </c>
      <c r="AA164" s="2">
        <f t="shared" si="39"/>
        <v>3920</v>
      </c>
      <c r="AB164" s="2">
        <f t="shared" si="40"/>
        <v>36400</v>
      </c>
      <c r="AC164" s="6">
        <f t="shared" si="41"/>
        <v>3276</v>
      </c>
      <c r="AD164" s="6">
        <f t="shared" si="42"/>
        <v>873.6</v>
      </c>
      <c r="AE164" s="6">
        <f t="shared" si="43"/>
        <v>8069.6</v>
      </c>
      <c r="AF164" s="5">
        <f t="shared" si="44"/>
        <v>44.831111111111113</v>
      </c>
    </row>
    <row r="165" spans="1:32" x14ac:dyDescent="0.25">
      <c r="A165" s="207">
        <v>113</v>
      </c>
      <c r="B165" s="1" t="str">
        <f t="shared" si="30"/>
        <v>1.61, Land Plane 50'x16'</v>
      </c>
      <c r="C165" s="142">
        <v>1.61</v>
      </c>
      <c r="D165" s="138" t="s">
        <v>424</v>
      </c>
      <c r="E165" s="138" t="s">
        <v>281</v>
      </c>
      <c r="F165" s="138" t="s">
        <v>76</v>
      </c>
      <c r="G165" s="138" t="str">
        <f t="shared" si="31"/>
        <v>Land Plane 50'x16'</v>
      </c>
      <c r="H165" s="284">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x14ac:dyDescent="0.25">
      <c r="A166" s="207">
        <v>720</v>
      </c>
      <c r="B166" s="1" t="str">
        <f t="shared" si="30"/>
        <v>1.62, Levee Pull &amp; Seed 8 Blade</v>
      </c>
      <c r="C166" s="142">
        <v>1.62</v>
      </c>
      <c r="D166" s="138" t="s">
        <v>424</v>
      </c>
      <c r="E166" s="138" t="s">
        <v>282</v>
      </c>
      <c r="F166" s="138" t="s">
        <v>75</v>
      </c>
      <c r="G166" s="138" t="str">
        <f t="shared" si="31"/>
        <v>Levee Pull &amp; Seed 8 Blade</v>
      </c>
      <c r="H166" s="30">
        <v>9700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104.26426796796099</v>
      </c>
      <c r="W166" s="9">
        <f t="shared" si="35"/>
        <v>1.04264267967961</v>
      </c>
      <c r="X166" s="8">
        <f t="shared" si="36"/>
        <v>194</v>
      </c>
      <c r="Y166" s="7">
        <f t="shared" si="37"/>
        <v>1.94</v>
      </c>
      <c r="Z166" s="2">
        <f t="shared" si="38"/>
        <v>2910</v>
      </c>
      <c r="AA166" s="2">
        <f t="shared" si="39"/>
        <v>679</v>
      </c>
      <c r="AB166" s="2">
        <f t="shared" si="40"/>
        <v>6305</v>
      </c>
      <c r="AC166" s="6">
        <f t="shared" si="41"/>
        <v>567.44999999999993</v>
      </c>
      <c r="AD166" s="6">
        <f t="shared" si="42"/>
        <v>151.32</v>
      </c>
      <c r="AE166" s="6">
        <f t="shared" si="43"/>
        <v>1397.7699999999998</v>
      </c>
      <c r="AF166" s="5">
        <f t="shared" si="44"/>
        <v>13.977699999999997</v>
      </c>
    </row>
    <row r="167" spans="1:32" x14ac:dyDescent="0.25">
      <c r="A167" s="207">
        <v>528</v>
      </c>
      <c r="B167" s="1" t="str">
        <f t="shared" si="30"/>
        <v>1.63, Levee Pull (1m/80a) 8 blade</v>
      </c>
      <c r="C167" s="142">
        <v>1.63</v>
      </c>
      <c r="D167" s="138" t="s">
        <v>424</v>
      </c>
      <c r="E167" s="138" t="s">
        <v>283</v>
      </c>
      <c r="F167" s="138" t="s">
        <v>74</v>
      </c>
      <c r="G167" s="138" t="str">
        <f t="shared" si="31"/>
        <v>Levee Pull (1m/80a) 8 blade</v>
      </c>
      <c r="H167" s="30">
        <v>8270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88.89335011289046</v>
      </c>
      <c r="W167" s="9">
        <f t="shared" si="35"/>
        <v>0.88893350112890457</v>
      </c>
      <c r="X167" s="8">
        <f t="shared" si="36"/>
        <v>165.4</v>
      </c>
      <c r="Y167" s="7">
        <f t="shared" si="37"/>
        <v>1.6540000000000001</v>
      </c>
      <c r="Z167" s="2">
        <f t="shared" si="38"/>
        <v>2481</v>
      </c>
      <c r="AA167" s="2">
        <f t="shared" si="39"/>
        <v>578.9</v>
      </c>
      <c r="AB167" s="2">
        <f t="shared" si="40"/>
        <v>5375.5</v>
      </c>
      <c r="AC167" s="6">
        <f t="shared" si="41"/>
        <v>483.79499999999996</v>
      </c>
      <c r="AD167" s="6">
        <f t="shared" si="42"/>
        <v>129.012</v>
      </c>
      <c r="AE167" s="6">
        <f t="shared" si="43"/>
        <v>1191.7069999999999</v>
      </c>
      <c r="AF167" s="5">
        <f t="shared" si="44"/>
        <v>11.917069999999999</v>
      </c>
    </row>
    <row r="168" spans="1:32" x14ac:dyDescent="0.25">
      <c r="A168" s="207">
        <v>117</v>
      </c>
      <c r="B168" s="1" t="str">
        <f t="shared" si="30"/>
        <v>1.64, Levee Splitter (1/80a) 8 blade</v>
      </c>
      <c r="C168" s="142">
        <v>1.64</v>
      </c>
      <c r="D168" s="138" t="s">
        <v>424</v>
      </c>
      <c r="E168" s="138" t="s">
        <v>284</v>
      </c>
      <c r="F168" s="138" t="s">
        <v>74</v>
      </c>
      <c r="G168" s="138" t="str">
        <f t="shared" si="31"/>
        <v>Levee Splitter (1/80a) 8 blade</v>
      </c>
      <c r="H168" s="30">
        <v>8270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88.89335011289046</v>
      </c>
      <c r="W168" s="9">
        <f t="shared" si="35"/>
        <v>0.88893350112890457</v>
      </c>
      <c r="X168" s="8">
        <f t="shared" si="36"/>
        <v>165.4</v>
      </c>
      <c r="Y168" s="7">
        <f t="shared" si="37"/>
        <v>1.6540000000000001</v>
      </c>
      <c r="Z168" s="2">
        <f t="shared" si="38"/>
        <v>2481</v>
      </c>
      <c r="AA168" s="2">
        <f t="shared" si="39"/>
        <v>578.9</v>
      </c>
      <c r="AB168" s="2">
        <f t="shared" si="40"/>
        <v>5375.5</v>
      </c>
      <c r="AC168" s="6">
        <f t="shared" si="41"/>
        <v>483.79499999999996</v>
      </c>
      <c r="AD168" s="6">
        <f t="shared" si="42"/>
        <v>129.012</v>
      </c>
      <c r="AE168" s="6">
        <f t="shared" si="43"/>
        <v>1191.7069999999999</v>
      </c>
      <c r="AF168" s="5">
        <f t="shared" si="44"/>
        <v>11.917069999999999</v>
      </c>
    </row>
    <row r="169" spans="1:32" x14ac:dyDescent="0.25">
      <c r="A169" s="207">
        <v>723</v>
      </c>
      <c r="B169" s="1" t="str">
        <f t="shared" si="30"/>
        <v>1.65, NT Grain Drill  6'</v>
      </c>
      <c r="C169" s="142">
        <v>1.65</v>
      </c>
      <c r="D169" s="138" t="s">
        <v>424</v>
      </c>
      <c r="E169" s="138" t="s">
        <v>285</v>
      </c>
      <c r="F169" s="138" t="s">
        <v>67</v>
      </c>
      <c r="G169" s="138" t="str">
        <f t="shared" si="31"/>
        <v>NT Grain Drill  6'</v>
      </c>
      <c r="H169" s="284">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x14ac:dyDescent="0.25">
      <c r="A170" s="207">
        <v>554</v>
      </c>
      <c r="B170" s="1" t="str">
        <f t="shared" si="30"/>
        <v>1.66, NT Grain Drill 10'</v>
      </c>
      <c r="C170" s="142">
        <v>1.66</v>
      </c>
      <c r="D170" s="138" t="s">
        <v>424</v>
      </c>
      <c r="E170" s="138" t="s">
        <v>285</v>
      </c>
      <c r="F170" s="138" t="s">
        <v>66</v>
      </c>
      <c r="G170" s="138" t="str">
        <f t="shared" si="31"/>
        <v>NT Grain Drill 10'</v>
      </c>
      <c r="H170" s="30">
        <v>34400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652.30389146083746</v>
      </c>
      <c r="W170" s="9">
        <f t="shared" si="35"/>
        <v>4.348692609738916</v>
      </c>
      <c r="X170" s="8">
        <f t="shared" si="36"/>
        <v>1935</v>
      </c>
      <c r="Y170" s="7">
        <f t="shared" si="37"/>
        <v>12.9</v>
      </c>
      <c r="Z170" s="2">
        <f t="shared" si="38"/>
        <v>15480</v>
      </c>
      <c r="AA170" s="2">
        <f t="shared" si="39"/>
        <v>2365</v>
      </c>
      <c r="AB170" s="2">
        <f t="shared" si="40"/>
        <v>24940</v>
      </c>
      <c r="AC170" s="6">
        <f t="shared" si="41"/>
        <v>2244.6</v>
      </c>
      <c r="AD170" s="6">
        <f t="shared" si="42"/>
        <v>598.56000000000006</v>
      </c>
      <c r="AE170" s="6">
        <f t="shared" si="43"/>
        <v>5208.1600000000008</v>
      </c>
      <c r="AF170" s="5">
        <f t="shared" si="44"/>
        <v>34.721066666666673</v>
      </c>
    </row>
    <row r="171" spans="1:32" x14ac:dyDescent="0.25">
      <c r="A171" s="207">
        <v>127</v>
      </c>
      <c r="B171" s="1" t="str">
        <f t="shared" si="30"/>
        <v>1.67, NT Grain Drill 12'</v>
      </c>
      <c r="C171" s="142">
        <v>1.67</v>
      </c>
      <c r="D171" s="138" t="s">
        <v>424</v>
      </c>
      <c r="E171" s="138" t="s">
        <v>285</v>
      </c>
      <c r="F171" s="138" t="s">
        <v>11</v>
      </c>
      <c r="G171" s="138" t="str">
        <f t="shared" si="31"/>
        <v>NT Grain Drill 12'</v>
      </c>
      <c r="H171" s="30">
        <v>46600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883.64422506032054</v>
      </c>
      <c r="W171" s="9">
        <f t="shared" si="35"/>
        <v>5.8909615004021365</v>
      </c>
      <c r="X171" s="8">
        <f t="shared" si="36"/>
        <v>2621.25</v>
      </c>
      <c r="Y171" s="7">
        <f t="shared" si="37"/>
        <v>17.475000000000001</v>
      </c>
      <c r="Z171" s="2">
        <f t="shared" si="38"/>
        <v>20970</v>
      </c>
      <c r="AA171" s="2">
        <f t="shared" si="39"/>
        <v>3203.75</v>
      </c>
      <c r="AB171" s="2">
        <f t="shared" si="40"/>
        <v>33785</v>
      </c>
      <c r="AC171" s="6">
        <f t="shared" si="41"/>
        <v>3040.65</v>
      </c>
      <c r="AD171" s="6">
        <f t="shared" si="42"/>
        <v>810.84</v>
      </c>
      <c r="AE171" s="6">
        <f t="shared" si="43"/>
        <v>7055.24</v>
      </c>
      <c r="AF171" s="5">
        <f t="shared" si="44"/>
        <v>47.034933333333335</v>
      </c>
    </row>
    <row r="172" spans="1:32" x14ac:dyDescent="0.25">
      <c r="A172" s="207">
        <v>328</v>
      </c>
      <c r="B172" s="1" t="str">
        <f t="shared" si="30"/>
        <v>1.68, NT Grain Drill 15'</v>
      </c>
      <c r="C172" s="142">
        <v>1.68</v>
      </c>
      <c r="D172" s="138" t="s">
        <v>424</v>
      </c>
      <c r="E172" s="138" t="s">
        <v>285</v>
      </c>
      <c r="F172" s="138" t="s">
        <v>10</v>
      </c>
      <c r="G172" s="138" t="str">
        <f t="shared" si="31"/>
        <v>NT Grain Drill 15'</v>
      </c>
      <c r="H172" s="30">
        <v>56000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1061.8900558664798</v>
      </c>
      <c r="W172" s="9">
        <f t="shared" si="35"/>
        <v>7.0792670391098653</v>
      </c>
      <c r="X172" s="8">
        <f t="shared" si="36"/>
        <v>3150</v>
      </c>
      <c r="Y172" s="7">
        <f t="shared" si="37"/>
        <v>21</v>
      </c>
      <c r="Z172" s="2">
        <f t="shared" si="38"/>
        <v>25200</v>
      </c>
      <c r="AA172" s="2">
        <f t="shared" si="39"/>
        <v>3850</v>
      </c>
      <c r="AB172" s="2">
        <f t="shared" si="40"/>
        <v>40600</v>
      </c>
      <c r="AC172" s="6">
        <f t="shared" si="41"/>
        <v>3654</v>
      </c>
      <c r="AD172" s="6">
        <f t="shared" si="42"/>
        <v>974.4</v>
      </c>
      <c r="AE172" s="6">
        <f t="shared" si="43"/>
        <v>8478.4</v>
      </c>
      <c r="AF172" s="5">
        <f t="shared" si="44"/>
        <v>56.522666666666666</v>
      </c>
    </row>
    <row r="173" spans="1:32" x14ac:dyDescent="0.25">
      <c r="A173" s="207">
        <v>128</v>
      </c>
      <c r="B173" s="1" t="str">
        <f t="shared" si="30"/>
        <v>1.69, NT Grain Drill 20'</v>
      </c>
      <c r="C173" s="142">
        <v>1.69</v>
      </c>
      <c r="D173" s="138" t="s">
        <v>424</v>
      </c>
      <c r="E173" s="138" t="s">
        <v>285</v>
      </c>
      <c r="F173" s="138" t="s">
        <v>8</v>
      </c>
      <c r="G173" s="138" t="str">
        <f t="shared" si="31"/>
        <v>NT Grain Drill 20'</v>
      </c>
      <c r="H173" s="30">
        <v>67400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1278.0605315250129</v>
      </c>
      <c r="W173" s="9">
        <f t="shared" si="35"/>
        <v>8.5204035435000858</v>
      </c>
      <c r="X173" s="8">
        <f t="shared" si="36"/>
        <v>3791.25</v>
      </c>
      <c r="Y173" s="7">
        <f t="shared" si="37"/>
        <v>25.274999999999999</v>
      </c>
      <c r="Z173" s="2">
        <f t="shared" si="38"/>
        <v>30330</v>
      </c>
      <c r="AA173" s="2">
        <f t="shared" si="39"/>
        <v>4633.75</v>
      </c>
      <c r="AB173" s="2">
        <f t="shared" si="40"/>
        <v>48865</v>
      </c>
      <c r="AC173" s="6">
        <f t="shared" si="41"/>
        <v>4397.8499999999995</v>
      </c>
      <c r="AD173" s="6">
        <f t="shared" si="42"/>
        <v>1172.76</v>
      </c>
      <c r="AE173" s="6">
        <f t="shared" si="43"/>
        <v>10204.359999999999</v>
      </c>
      <c r="AF173" s="5">
        <f t="shared" si="44"/>
        <v>68.029066666666665</v>
      </c>
    </row>
    <row r="174" spans="1:32" x14ac:dyDescent="0.25">
      <c r="A174" s="207">
        <v>329</v>
      </c>
      <c r="B174" s="1" t="str">
        <f t="shared" si="30"/>
        <v>1.7, NT Grain Drill 24'</v>
      </c>
      <c r="C174" s="142">
        <v>1.7</v>
      </c>
      <c r="D174" s="138" t="s">
        <v>424</v>
      </c>
      <c r="E174" s="138" t="s">
        <v>285</v>
      </c>
      <c r="F174" s="138" t="s">
        <v>65</v>
      </c>
      <c r="G174" s="138" t="str">
        <f t="shared" si="31"/>
        <v>NT Grain Drill 24'</v>
      </c>
      <c r="H174" s="30">
        <v>98000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1858.3075977663393</v>
      </c>
      <c r="W174" s="9">
        <f t="shared" si="35"/>
        <v>12.388717318442263</v>
      </c>
      <c r="X174" s="8">
        <f t="shared" si="36"/>
        <v>5512.5</v>
      </c>
      <c r="Y174" s="7">
        <f t="shared" si="37"/>
        <v>36.75</v>
      </c>
      <c r="Z174" s="2">
        <f t="shared" si="38"/>
        <v>44100</v>
      </c>
      <c r="AA174" s="2">
        <f t="shared" si="39"/>
        <v>6737.5</v>
      </c>
      <c r="AB174" s="2">
        <f t="shared" si="40"/>
        <v>71050</v>
      </c>
      <c r="AC174" s="6">
        <f t="shared" si="41"/>
        <v>6394.5</v>
      </c>
      <c r="AD174" s="6">
        <f t="shared" si="42"/>
        <v>1705.2</v>
      </c>
      <c r="AE174" s="6">
        <f t="shared" si="43"/>
        <v>14837.2</v>
      </c>
      <c r="AF174" s="5">
        <f t="shared" si="44"/>
        <v>98.914666666666676</v>
      </c>
    </row>
    <row r="175" spans="1:32" x14ac:dyDescent="0.25">
      <c r="A175" s="207">
        <v>129</v>
      </c>
      <c r="B175" s="1" t="str">
        <f t="shared" si="30"/>
        <v>1.71, NT Grain Drill 30'</v>
      </c>
      <c r="C175" s="142">
        <v>1.71</v>
      </c>
      <c r="D175" s="138" t="s">
        <v>424</v>
      </c>
      <c r="E175" s="138" t="s">
        <v>285</v>
      </c>
      <c r="F175" s="138" t="s">
        <v>44</v>
      </c>
      <c r="G175" s="138" t="str">
        <f t="shared" si="31"/>
        <v>NT Grain Drill 30'</v>
      </c>
      <c r="H175" s="30">
        <v>104300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1977.7702290513184</v>
      </c>
      <c r="W175" s="9">
        <f t="shared" si="35"/>
        <v>13.185134860342123</v>
      </c>
      <c r="X175" s="8">
        <f t="shared" si="36"/>
        <v>5866.875</v>
      </c>
      <c r="Y175" s="7">
        <f t="shared" si="37"/>
        <v>39.112499999999997</v>
      </c>
      <c r="Z175" s="2">
        <f t="shared" si="38"/>
        <v>46935</v>
      </c>
      <c r="AA175" s="2">
        <f t="shared" si="39"/>
        <v>7170.625</v>
      </c>
      <c r="AB175" s="2">
        <f t="shared" si="40"/>
        <v>75617.5</v>
      </c>
      <c r="AC175" s="6">
        <f t="shared" si="41"/>
        <v>6805.5749999999998</v>
      </c>
      <c r="AD175" s="6">
        <f t="shared" si="42"/>
        <v>1814.82</v>
      </c>
      <c r="AE175" s="6">
        <f t="shared" si="43"/>
        <v>15791.02</v>
      </c>
      <c r="AF175" s="5">
        <f t="shared" si="44"/>
        <v>105.27346666666666</v>
      </c>
    </row>
    <row r="176" spans="1:32" x14ac:dyDescent="0.25">
      <c r="A176" s="207">
        <v>724</v>
      </c>
      <c r="B176" s="1" t="str">
        <f t="shared" si="30"/>
        <v>1.72, NT Grain Drill &amp; Pre  6'</v>
      </c>
      <c r="C176" s="142">
        <v>1.72</v>
      </c>
      <c r="D176" s="138" t="s">
        <v>424</v>
      </c>
      <c r="E176" s="138" t="s">
        <v>286</v>
      </c>
      <c r="F176" s="138" t="s">
        <v>67</v>
      </c>
      <c r="G176" s="138" t="str">
        <f t="shared" si="31"/>
        <v>NT Grain Drill &amp; Pre  6'</v>
      </c>
      <c r="H176" s="284">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x14ac:dyDescent="0.25">
      <c r="A177" s="207">
        <v>555</v>
      </c>
      <c r="B177" s="1" t="str">
        <f t="shared" si="30"/>
        <v>1.73, NT Grain Drill &amp; Pre 10'</v>
      </c>
      <c r="C177" s="142">
        <v>1.73</v>
      </c>
      <c r="D177" s="138" t="s">
        <v>424</v>
      </c>
      <c r="E177" s="138" t="s">
        <v>286</v>
      </c>
      <c r="F177" s="138" t="s">
        <v>66</v>
      </c>
      <c r="G177" s="138" t="str">
        <f t="shared" si="31"/>
        <v>NT Grain Drill &amp; Pre 10'</v>
      </c>
      <c r="H177" s="30">
        <v>41800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792.6250774146223</v>
      </c>
      <c r="W177" s="9">
        <f t="shared" si="35"/>
        <v>5.2841671827641488</v>
      </c>
      <c r="X177" s="8">
        <f t="shared" si="36"/>
        <v>2351.25</v>
      </c>
      <c r="Y177" s="7">
        <f t="shared" si="37"/>
        <v>15.675000000000001</v>
      </c>
      <c r="Z177" s="2">
        <f t="shared" si="38"/>
        <v>18810</v>
      </c>
      <c r="AA177" s="2">
        <f t="shared" si="39"/>
        <v>2873.75</v>
      </c>
      <c r="AB177" s="2">
        <f t="shared" si="40"/>
        <v>30305</v>
      </c>
      <c r="AC177" s="6">
        <f t="shared" si="41"/>
        <v>2727.45</v>
      </c>
      <c r="AD177" s="6">
        <f t="shared" si="42"/>
        <v>727.32</v>
      </c>
      <c r="AE177" s="6">
        <f t="shared" si="43"/>
        <v>6328.5199999999995</v>
      </c>
      <c r="AF177" s="5">
        <f t="shared" si="44"/>
        <v>42.190133333333328</v>
      </c>
    </row>
    <row r="178" spans="1:32" x14ac:dyDescent="0.25">
      <c r="A178" s="207">
        <v>403</v>
      </c>
      <c r="B178" s="1" t="str">
        <f t="shared" si="30"/>
        <v>1.74, NT Grain Drill &amp; Pre 12'</v>
      </c>
      <c r="C178" s="142">
        <v>1.74</v>
      </c>
      <c r="D178" s="138" t="s">
        <v>424</v>
      </c>
      <c r="E178" s="138" t="s">
        <v>286</v>
      </c>
      <c r="F178" s="138" t="s">
        <v>11</v>
      </c>
      <c r="G178" s="138" t="str">
        <f t="shared" si="31"/>
        <v>NT Grain Drill &amp; Pre 12'</v>
      </c>
      <c r="H178" s="30">
        <v>54000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1023.9654110141054</v>
      </c>
      <c r="W178" s="9">
        <f t="shared" si="35"/>
        <v>6.8264360734273692</v>
      </c>
      <c r="X178" s="8">
        <f t="shared" si="36"/>
        <v>3037.5</v>
      </c>
      <c r="Y178" s="7">
        <f t="shared" si="37"/>
        <v>20.25</v>
      </c>
      <c r="Z178" s="2">
        <f t="shared" si="38"/>
        <v>24300</v>
      </c>
      <c r="AA178" s="2">
        <f t="shared" si="39"/>
        <v>3712.5</v>
      </c>
      <c r="AB178" s="2">
        <f t="shared" si="40"/>
        <v>39150</v>
      </c>
      <c r="AC178" s="6">
        <f t="shared" si="41"/>
        <v>3523.5</v>
      </c>
      <c r="AD178" s="6">
        <f t="shared" si="42"/>
        <v>939.6</v>
      </c>
      <c r="AE178" s="6">
        <f t="shared" si="43"/>
        <v>8175.6</v>
      </c>
      <c r="AF178" s="5">
        <f t="shared" si="44"/>
        <v>54.504000000000005</v>
      </c>
    </row>
    <row r="179" spans="1:32" x14ac:dyDescent="0.25">
      <c r="A179" s="207">
        <v>404</v>
      </c>
      <c r="B179" s="1" t="str">
        <f t="shared" si="30"/>
        <v>1.75, NT Grain Drill &amp; Pre 15'</v>
      </c>
      <c r="C179" s="142">
        <v>1.75</v>
      </c>
      <c r="D179" s="138" t="s">
        <v>424</v>
      </c>
      <c r="E179" s="138" t="s">
        <v>286</v>
      </c>
      <c r="F179" s="138" t="s">
        <v>10</v>
      </c>
      <c r="G179" s="138" t="str">
        <f t="shared" si="31"/>
        <v>NT Grain Drill &amp; Pre 15'</v>
      </c>
      <c r="H179" s="30">
        <v>63300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1200.3150095776457</v>
      </c>
      <c r="W179" s="9">
        <f t="shared" si="35"/>
        <v>8.0021000638509712</v>
      </c>
      <c r="X179" s="8">
        <f t="shared" si="36"/>
        <v>3560.625</v>
      </c>
      <c r="Y179" s="7">
        <f t="shared" si="37"/>
        <v>23.737500000000001</v>
      </c>
      <c r="Z179" s="2">
        <f t="shared" si="38"/>
        <v>28485</v>
      </c>
      <c r="AA179" s="2">
        <f t="shared" si="39"/>
        <v>4351.875</v>
      </c>
      <c r="AB179" s="2">
        <f t="shared" si="40"/>
        <v>45892.5</v>
      </c>
      <c r="AC179" s="6">
        <f t="shared" si="41"/>
        <v>4130.3249999999998</v>
      </c>
      <c r="AD179" s="6">
        <f t="shared" si="42"/>
        <v>1101.42</v>
      </c>
      <c r="AE179" s="6">
        <f t="shared" si="43"/>
        <v>9583.6200000000008</v>
      </c>
      <c r="AF179" s="5">
        <f t="shared" si="44"/>
        <v>63.890800000000006</v>
      </c>
    </row>
    <row r="180" spans="1:32" x14ac:dyDescent="0.25">
      <c r="A180" s="207">
        <v>405</v>
      </c>
      <c r="B180" s="1" t="str">
        <f t="shared" si="30"/>
        <v>1.76, NT Grain Drill &amp; Pre 20'</v>
      </c>
      <c r="C180" s="142">
        <v>1.76</v>
      </c>
      <c r="D180" s="138" t="s">
        <v>424</v>
      </c>
      <c r="E180" s="138" t="s">
        <v>286</v>
      </c>
      <c r="F180" s="138" t="s">
        <v>8</v>
      </c>
      <c r="G180" s="138" t="str">
        <f t="shared" si="31"/>
        <v>NT Grain Drill &amp; Pre 20'</v>
      </c>
      <c r="H180" s="30">
        <v>74700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1416.4854852361791</v>
      </c>
      <c r="W180" s="9">
        <f t="shared" si="35"/>
        <v>9.4432365682411934</v>
      </c>
      <c r="X180" s="8">
        <f t="shared" si="36"/>
        <v>4201.875</v>
      </c>
      <c r="Y180" s="7">
        <f t="shared" si="37"/>
        <v>28.012499999999999</v>
      </c>
      <c r="Z180" s="2">
        <f t="shared" si="38"/>
        <v>33615</v>
      </c>
      <c r="AA180" s="2">
        <f t="shared" si="39"/>
        <v>5135.625</v>
      </c>
      <c r="AB180" s="2">
        <f t="shared" si="40"/>
        <v>54157.5</v>
      </c>
      <c r="AC180" s="6">
        <f t="shared" si="41"/>
        <v>4874.1750000000002</v>
      </c>
      <c r="AD180" s="6">
        <f t="shared" si="42"/>
        <v>1299.78</v>
      </c>
      <c r="AE180" s="6">
        <f t="shared" si="43"/>
        <v>11309.58</v>
      </c>
      <c r="AF180" s="5">
        <f t="shared" si="44"/>
        <v>75.397199999999998</v>
      </c>
    </row>
    <row r="181" spans="1:32" x14ac:dyDescent="0.25">
      <c r="A181" s="207">
        <v>406</v>
      </c>
      <c r="B181" s="1" t="str">
        <f t="shared" si="30"/>
        <v>1.77, NT Grain Drill &amp; Pre 24'</v>
      </c>
      <c r="C181" s="142">
        <v>1.77</v>
      </c>
      <c r="D181" s="138" t="s">
        <v>424</v>
      </c>
      <c r="E181" s="138" t="s">
        <v>286</v>
      </c>
      <c r="F181" s="138" t="s">
        <v>65</v>
      </c>
      <c r="G181" s="138" t="str">
        <f t="shared" si="31"/>
        <v>NT Grain Drill &amp; Pre 24'</v>
      </c>
      <c r="H181" s="30">
        <v>105000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1991.0438547496494</v>
      </c>
      <c r="W181" s="9">
        <f t="shared" si="35"/>
        <v>13.273625698330996</v>
      </c>
      <c r="X181" s="8">
        <f t="shared" si="36"/>
        <v>5906.25</v>
      </c>
      <c r="Y181" s="7">
        <f t="shared" si="37"/>
        <v>39.375</v>
      </c>
      <c r="Z181" s="2">
        <f t="shared" si="38"/>
        <v>47250</v>
      </c>
      <c r="AA181" s="2">
        <f t="shared" si="39"/>
        <v>7218.75</v>
      </c>
      <c r="AB181" s="2">
        <f t="shared" si="40"/>
        <v>76125</v>
      </c>
      <c r="AC181" s="6">
        <f t="shared" si="41"/>
        <v>6851.25</v>
      </c>
      <c r="AD181" s="6">
        <f t="shared" si="42"/>
        <v>1827</v>
      </c>
      <c r="AE181" s="6">
        <f t="shared" si="43"/>
        <v>15897</v>
      </c>
      <c r="AF181" s="5">
        <f t="shared" si="44"/>
        <v>105.98</v>
      </c>
    </row>
    <row r="182" spans="1:32" x14ac:dyDescent="0.25">
      <c r="A182" s="207">
        <v>407</v>
      </c>
      <c r="B182" s="1" t="str">
        <f t="shared" si="30"/>
        <v>1.78, NT Grain Drill &amp; Pre 30'</v>
      </c>
      <c r="C182" s="142">
        <v>1.78</v>
      </c>
      <c r="D182" s="138" t="s">
        <v>424</v>
      </c>
      <c r="E182" s="138" t="s">
        <v>286</v>
      </c>
      <c r="F182" s="138" t="s">
        <v>44</v>
      </c>
      <c r="G182" s="138" t="str">
        <f t="shared" si="31"/>
        <v>NT Grain Drill &amp; Pre 30'</v>
      </c>
      <c r="H182" s="30">
        <v>112000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2123.7801117329595</v>
      </c>
      <c r="W182" s="9">
        <f t="shared" si="35"/>
        <v>14.158534078219731</v>
      </c>
      <c r="X182" s="8">
        <f t="shared" si="36"/>
        <v>6300</v>
      </c>
      <c r="Y182" s="7">
        <f t="shared" si="37"/>
        <v>42</v>
      </c>
      <c r="Z182" s="2">
        <f t="shared" si="38"/>
        <v>50400</v>
      </c>
      <c r="AA182" s="2">
        <f t="shared" si="39"/>
        <v>7700</v>
      </c>
      <c r="AB182" s="2">
        <f t="shared" si="40"/>
        <v>81200</v>
      </c>
      <c r="AC182" s="6">
        <f t="shared" si="41"/>
        <v>7308</v>
      </c>
      <c r="AD182" s="6">
        <f t="shared" si="42"/>
        <v>1948.8</v>
      </c>
      <c r="AE182" s="6">
        <f t="shared" si="43"/>
        <v>16956.8</v>
      </c>
      <c r="AF182" s="5">
        <f t="shared" si="44"/>
        <v>113.04533333333333</v>
      </c>
    </row>
    <row r="183" spans="1:32" x14ac:dyDescent="0.25">
      <c r="A183" s="207">
        <v>389</v>
      </c>
      <c r="B183" s="1" t="str">
        <f t="shared" si="30"/>
        <v>1.79, NT Plant &amp; Pre-Folding 12R-20</v>
      </c>
      <c r="C183" s="142">
        <v>1.79</v>
      </c>
      <c r="D183" s="138" t="s">
        <v>424</v>
      </c>
      <c r="E183" s="138" t="s">
        <v>287</v>
      </c>
      <c r="F183" s="138" t="s">
        <v>50</v>
      </c>
      <c r="G183" s="138" t="str">
        <f t="shared" si="31"/>
        <v>NT Plant &amp; Pre-Folding 12R-20</v>
      </c>
      <c r="H183" s="30">
        <v>82600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1566.2878324030573</v>
      </c>
      <c r="W183" s="9">
        <f t="shared" si="35"/>
        <v>10.441918882687048</v>
      </c>
      <c r="X183" s="8">
        <f t="shared" si="36"/>
        <v>4646.25</v>
      </c>
      <c r="Y183" s="7">
        <f t="shared" si="37"/>
        <v>30.975000000000001</v>
      </c>
      <c r="Z183" s="2">
        <f t="shared" si="38"/>
        <v>37170</v>
      </c>
      <c r="AA183" s="2">
        <f t="shared" si="39"/>
        <v>5678.75</v>
      </c>
      <c r="AB183" s="2">
        <f t="shared" si="40"/>
        <v>59885</v>
      </c>
      <c r="AC183" s="6">
        <f t="shared" si="41"/>
        <v>5389.65</v>
      </c>
      <c r="AD183" s="6">
        <f t="shared" si="42"/>
        <v>1437.24</v>
      </c>
      <c r="AE183" s="6">
        <f t="shared" si="43"/>
        <v>12505.64</v>
      </c>
      <c r="AF183" s="5">
        <f t="shared" si="44"/>
        <v>83.370933333333326</v>
      </c>
    </row>
    <row r="184" spans="1:32" x14ac:dyDescent="0.25">
      <c r="A184" s="207">
        <v>395</v>
      </c>
      <c r="B184" s="1" t="str">
        <f t="shared" si="30"/>
        <v>1.8, NT Plant &amp; Pre-Folding  8R-36</v>
      </c>
      <c r="C184" s="142">
        <v>1.8</v>
      </c>
      <c r="D184" s="138" t="s">
        <v>424</v>
      </c>
      <c r="E184" s="138" t="s">
        <v>287</v>
      </c>
      <c r="F184" s="138" t="s">
        <v>193</v>
      </c>
      <c r="G184" s="138" t="str">
        <f t="shared" si="31"/>
        <v>NT Plant &amp; Pre-Folding  8R-36</v>
      </c>
      <c r="H184" s="30">
        <v>67700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1283.749228252869</v>
      </c>
      <c r="W184" s="9">
        <f t="shared" si="35"/>
        <v>8.5583281883524602</v>
      </c>
      <c r="X184" s="8">
        <f t="shared" si="36"/>
        <v>3808.125</v>
      </c>
      <c r="Y184" s="7">
        <f t="shared" si="37"/>
        <v>25.387499999999999</v>
      </c>
      <c r="Z184" s="2">
        <f t="shared" si="38"/>
        <v>30465</v>
      </c>
      <c r="AA184" s="2">
        <f t="shared" si="39"/>
        <v>4654.375</v>
      </c>
      <c r="AB184" s="2">
        <f t="shared" si="40"/>
        <v>49082.5</v>
      </c>
      <c r="AC184" s="6">
        <f t="shared" si="41"/>
        <v>4417.4250000000002</v>
      </c>
      <c r="AD184" s="6">
        <f t="shared" si="42"/>
        <v>1177.98</v>
      </c>
      <c r="AE184" s="6">
        <f t="shared" si="43"/>
        <v>10249.779999999999</v>
      </c>
      <c r="AF184" s="5">
        <f t="shared" si="44"/>
        <v>68.331866666666656</v>
      </c>
    </row>
    <row r="185" spans="1:32" x14ac:dyDescent="0.25">
      <c r="A185" s="207">
        <v>392</v>
      </c>
      <c r="B185" s="1" t="str">
        <f t="shared" si="30"/>
        <v>1.81, NT Plant &amp; Pre-Folding 23R-15</v>
      </c>
      <c r="C185" s="142">
        <v>1.81</v>
      </c>
      <c r="D185" s="138" t="s">
        <v>424</v>
      </c>
      <c r="E185" s="138" t="s">
        <v>287</v>
      </c>
      <c r="F185" s="138" t="s">
        <v>62</v>
      </c>
      <c r="G185" s="138" t="str">
        <f t="shared" si="31"/>
        <v>NT Plant &amp; Pre-Folding 23R-15</v>
      </c>
      <c r="H185" s="30">
        <v>186000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3526.991971270807</v>
      </c>
      <c r="W185" s="9">
        <f t="shared" si="35"/>
        <v>23.513279808472046</v>
      </c>
      <c r="X185" s="8">
        <f t="shared" si="36"/>
        <v>10462.5</v>
      </c>
      <c r="Y185" s="7">
        <f t="shared" si="37"/>
        <v>69.75</v>
      </c>
      <c r="Z185" s="2">
        <f t="shared" si="38"/>
        <v>83700</v>
      </c>
      <c r="AA185" s="2">
        <f t="shared" si="39"/>
        <v>12787.5</v>
      </c>
      <c r="AB185" s="2">
        <f t="shared" si="40"/>
        <v>134850</v>
      </c>
      <c r="AC185" s="6">
        <f t="shared" si="41"/>
        <v>12136.5</v>
      </c>
      <c r="AD185" s="6">
        <f t="shared" si="42"/>
        <v>3236.4</v>
      </c>
      <c r="AE185" s="6">
        <f t="shared" si="43"/>
        <v>28160.400000000001</v>
      </c>
      <c r="AF185" s="5">
        <f t="shared" si="44"/>
        <v>187.73600000000002</v>
      </c>
    </row>
    <row r="186" spans="1:32" x14ac:dyDescent="0.25">
      <c r="A186" s="207">
        <v>390</v>
      </c>
      <c r="B186" s="1" t="str">
        <f t="shared" si="30"/>
        <v>1.82, NT Plant &amp; Pre-Folding 12R-30</v>
      </c>
      <c r="C186" s="142">
        <v>1.82</v>
      </c>
      <c r="D186" s="138" t="s">
        <v>424</v>
      </c>
      <c r="E186" s="138" t="s">
        <v>287</v>
      </c>
      <c r="F186" s="138" t="s">
        <v>6</v>
      </c>
      <c r="G186" s="138" t="str">
        <f t="shared" si="31"/>
        <v>NT Plant &amp; Pre-Folding 12R-30</v>
      </c>
      <c r="H186" s="30">
        <v>91000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1725.5713407830292</v>
      </c>
      <c r="W186" s="9">
        <f t="shared" si="35"/>
        <v>11.503808938553528</v>
      </c>
      <c r="X186" s="8">
        <f t="shared" si="36"/>
        <v>5118.75</v>
      </c>
      <c r="Y186" s="7">
        <f t="shared" si="37"/>
        <v>34.125</v>
      </c>
      <c r="Z186" s="2">
        <f t="shared" si="38"/>
        <v>40950</v>
      </c>
      <c r="AA186" s="2">
        <f t="shared" si="39"/>
        <v>6256.25</v>
      </c>
      <c r="AB186" s="2">
        <f t="shared" si="40"/>
        <v>65975</v>
      </c>
      <c r="AC186" s="6">
        <f t="shared" si="41"/>
        <v>5937.75</v>
      </c>
      <c r="AD186" s="6">
        <f t="shared" si="42"/>
        <v>1583.4</v>
      </c>
      <c r="AE186" s="6">
        <f t="shared" si="43"/>
        <v>13777.4</v>
      </c>
      <c r="AF186" s="5">
        <f t="shared" si="44"/>
        <v>91.849333333333334</v>
      </c>
    </row>
    <row r="187" spans="1:32" x14ac:dyDescent="0.25">
      <c r="A187" s="207">
        <v>549</v>
      </c>
      <c r="B187" s="1" t="str">
        <f t="shared" si="30"/>
        <v>1.83, NT Plant &amp; Pre-Folding 24R-15</v>
      </c>
      <c r="C187" s="142">
        <v>1.83</v>
      </c>
      <c r="D187" s="138" t="s">
        <v>424</v>
      </c>
      <c r="E187" s="138" t="s">
        <v>287</v>
      </c>
      <c r="F187" s="138" t="s">
        <v>61</v>
      </c>
      <c r="G187" s="138" t="str">
        <f t="shared" si="31"/>
        <v>NT Plant &amp; Pre-Folding 24R-15</v>
      </c>
      <c r="H187" s="284">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x14ac:dyDescent="0.25">
      <c r="A188" s="207">
        <v>386</v>
      </c>
      <c r="B188" s="1" t="str">
        <f t="shared" si="30"/>
        <v>1.84, NT Plant &amp; Pre-Folding  8R-36 2x1</v>
      </c>
      <c r="C188" s="142">
        <v>1.84</v>
      </c>
      <c r="D188" s="138" t="s">
        <v>424</v>
      </c>
      <c r="E188" s="138" t="s">
        <v>287</v>
      </c>
      <c r="F188" s="138" t="s">
        <v>197</v>
      </c>
      <c r="G188" s="138" t="str">
        <f t="shared" si="31"/>
        <v>NT Plant &amp; Pre-Folding  8R-36 2x1</v>
      </c>
      <c r="H188" s="30">
        <v>103000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1953.1192098972751</v>
      </c>
      <c r="W188" s="9">
        <f t="shared" si="35"/>
        <v>13.020794732648501</v>
      </c>
      <c r="X188" s="8">
        <f t="shared" si="36"/>
        <v>5793.75</v>
      </c>
      <c r="Y188" s="7">
        <f t="shared" si="37"/>
        <v>38.625</v>
      </c>
      <c r="Z188" s="2">
        <f t="shared" si="38"/>
        <v>46350</v>
      </c>
      <c r="AA188" s="2">
        <f t="shared" si="39"/>
        <v>7081.25</v>
      </c>
      <c r="AB188" s="2">
        <f t="shared" si="40"/>
        <v>74675</v>
      </c>
      <c r="AC188" s="6">
        <f t="shared" si="41"/>
        <v>6720.75</v>
      </c>
      <c r="AD188" s="6">
        <f t="shared" si="42"/>
        <v>1792.2</v>
      </c>
      <c r="AE188" s="6">
        <f t="shared" si="43"/>
        <v>15594.2</v>
      </c>
      <c r="AF188" s="5">
        <f t="shared" si="44"/>
        <v>103.96133333333334</v>
      </c>
    </row>
    <row r="189" spans="1:32" x14ac:dyDescent="0.25">
      <c r="A189" s="207">
        <v>257</v>
      </c>
      <c r="B189" s="1" t="str">
        <f t="shared" si="30"/>
        <v>1.85, NT Plant &amp; Pre-Folding 12R-36</v>
      </c>
      <c r="C189" s="142">
        <v>1.85</v>
      </c>
      <c r="D189" s="138" t="s">
        <v>424</v>
      </c>
      <c r="E189" s="138" t="s">
        <v>287</v>
      </c>
      <c r="F189" s="138" t="s">
        <v>194</v>
      </c>
      <c r="G189" s="138" t="str">
        <f t="shared" si="31"/>
        <v>NT Plant &amp; Pre-Folding 12R-36</v>
      </c>
      <c r="H189" s="30">
        <v>103000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1953.1192098972751</v>
      </c>
      <c r="W189" s="9">
        <f t="shared" si="35"/>
        <v>13.020794732648501</v>
      </c>
      <c r="X189" s="8">
        <f t="shared" si="36"/>
        <v>5793.75</v>
      </c>
      <c r="Y189" s="7">
        <f t="shared" si="37"/>
        <v>38.625</v>
      </c>
      <c r="Z189" s="2">
        <f t="shared" si="38"/>
        <v>46350</v>
      </c>
      <c r="AA189" s="2">
        <f t="shared" si="39"/>
        <v>7081.25</v>
      </c>
      <c r="AB189" s="2">
        <f t="shared" si="40"/>
        <v>74675</v>
      </c>
      <c r="AC189" s="6">
        <f t="shared" si="41"/>
        <v>6720.75</v>
      </c>
      <c r="AD189" s="6">
        <f t="shared" si="42"/>
        <v>1792.2</v>
      </c>
      <c r="AE189" s="6">
        <f t="shared" si="43"/>
        <v>15594.2</v>
      </c>
      <c r="AF189" s="5">
        <f t="shared" si="44"/>
        <v>103.96133333333334</v>
      </c>
    </row>
    <row r="190" spans="1:32" x14ac:dyDescent="0.25">
      <c r="A190" s="207">
        <v>553</v>
      </c>
      <c r="B190" s="1" t="str">
        <f t="shared" si="30"/>
        <v>1.86, NT Plant &amp; Pre-Folding 31R-15</v>
      </c>
      <c r="C190" s="142">
        <v>1.86</v>
      </c>
      <c r="D190" s="138" t="s">
        <v>424</v>
      </c>
      <c r="E190" s="138" t="s">
        <v>287</v>
      </c>
      <c r="F190" s="138" t="s">
        <v>60</v>
      </c>
      <c r="G190" s="138" t="str">
        <f t="shared" si="31"/>
        <v>NT Plant &amp; Pre-Folding 31R-15</v>
      </c>
      <c r="H190" s="30">
        <v>222000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4209.6355786135446</v>
      </c>
      <c r="W190" s="9">
        <f t="shared" si="35"/>
        <v>28.064237190756963</v>
      </c>
      <c r="X190" s="8">
        <f t="shared" si="36"/>
        <v>12487.5</v>
      </c>
      <c r="Y190" s="7">
        <f t="shared" si="37"/>
        <v>83.25</v>
      </c>
      <c r="Z190" s="2">
        <f t="shared" si="38"/>
        <v>99900</v>
      </c>
      <c r="AA190" s="2">
        <f t="shared" si="39"/>
        <v>15262.5</v>
      </c>
      <c r="AB190" s="2">
        <f t="shared" si="40"/>
        <v>160950</v>
      </c>
      <c r="AC190" s="6">
        <f t="shared" si="41"/>
        <v>14485.5</v>
      </c>
      <c r="AD190" s="6">
        <f t="shared" si="42"/>
        <v>3862.8</v>
      </c>
      <c r="AE190" s="6">
        <f t="shared" si="43"/>
        <v>33610.800000000003</v>
      </c>
      <c r="AF190" s="5">
        <f t="shared" si="44"/>
        <v>224.07200000000003</v>
      </c>
    </row>
    <row r="191" spans="1:32" x14ac:dyDescent="0.25">
      <c r="A191" s="207">
        <v>391</v>
      </c>
      <c r="B191" s="1" t="str">
        <f t="shared" si="30"/>
        <v>1.87, NT Plant &amp; Pre-Folding 16R-30</v>
      </c>
      <c r="C191" s="142">
        <v>1.87</v>
      </c>
      <c r="D191" s="138" t="s">
        <v>424</v>
      </c>
      <c r="E191" s="138" t="s">
        <v>287</v>
      </c>
      <c r="F191" s="138" t="s">
        <v>59</v>
      </c>
      <c r="G191" s="138" t="str">
        <f t="shared" si="31"/>
        <v>NT Plant &amp; Pre-Folding 16R-30</v>
      </c>
      <c r="H191" s="30">
        <v>137000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2597.8381723876373</v>
      </c>
      <c r="W191" s="9">
        <f t="shared" si="35"/>
        <v>17.318921149250915</v>
      </c>
      <c r="X191" s="8">
        <f t="shared" si="36"/>
        <v>7706.25</v>
      </c>
      <c r="Y191" s="7">
        <f t="shared" si="37"/>
        <v>51.375</v>
      </c>
      <c r="Z191" s="2">
        <f t="shared" si="38"/>
        <v>61650</v>
      </c>
      <c r="AA191" s="2">
        <f t="shared" si="39"/>
        <v>9418.75</v>
      </c>
      <c r="AB191" s="2">
        <f t="shared" si="40"/>
        <v>99325</v>
      </c>
      <c r="AC191" s="6">
        <f t="shared" si="41"/>
        <v>8939.25</v>
      </c>
      <c r="AD191" s="6">
        <f t="shared" si="42"/>
        <v>2383.8000000000002</v>
      </c>
      <c r="AE191" s="6">
        <f t="shared" si="43"/>
        <v>20741.8</v>
      </c>
      <c r="AF191" s="5">
        <f t="shared" si="44"/>
        <v>138.27866666666665</v>
      </c>
    </row>
    <row r="192" spans="1:32" x14ac:dyDescent="0.25">
      <c r="A192" s="207">
        <v>393</v>
      </c>
      <c r="B192" s="1" t="str">
        <f t="shared" si="30"/>
        <v>1.88, NT Plant &amp; Pre-Folding 24R-20</v>
      </c>
      <c r="C192" s="142">
        <v>1.88</v>
      </c>
      <c r="D192" s="138" t="s">
        <v>424</v>
      </c>
      <c r="E192" s="138" t="s">
        <v>287</v>
      </c>
      <c r="F192" s="138" t="s">
        <v>58</v>
      </c>
      <c r="G192" s="138" t="str">
        <f t="shared" si="31"/>
        <v>NT Plant &amp; Pre-Folding 24R-20</v>
      </c>
      <c r="H192" s="30">
        <v>207000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3925.2007422207375</v>
      </c>
      <c r="W192" s="9">
        <f t="shared" si="35"/>
        <v>26.16800494813825</v>
      </c>
      <c r="X192" s="8">
        <f t="shared" si="36"/>
        <v>11643.75</v>
      </c>
      <c r="Y192" s="7">
        <f t="shared" si="37"/>
        <v>77.625</v>
      </c>
      <c r="Z192" s="2">
        <f t="shared" si="38"/>
        <v>93150</v>
      </c>
      <c r="AA192" s="2">
        <f t="shared" si="39"/>
        <v>14231.25</v>
      </c>
      <c r="AB192" s="2">
        <f t="shared" si="40"/>
        <v>150075</v>
      </c>
      <c r="AC192" s="6">
        <f t="shared" si="41"/>
        <v>13506.75</v>
      </c>
      <c r="AD192" s="6">
        <f t="shared" si="42"/>
        <v>3601.8</v>
      </c>
      <c r="AE192" s="6">
        <f t="shared" si="43"/>
        <v>31339.8</v>
      </c>
      <c r="AF192" s="5">
        <f t="shared" si="44"/>
        <v>208.93199999999999</v>
      </c>
    </row>
    <row r="193" spans="1:32" x14ac:dyDescent="0.25">
      <c r="A193" s="207">
        <v>597</v>
      </c>
      <c r="B193" s="1" t="str">
        <f t="shared" si="30"/>
        <v>1.89, NT Plant &amp; Pre-Folding 32R-15</v>
      </c>
      <c r="C193" s="142">
        <v>1.89</v>
      </c>
      <c r="D193" s="138" t="s">
        <v>424</v>
      </c>
      <c r="E193" s="138" t="s">
        <v>287</v>
      </c>
      <c r="F193" s="138" t="s">
        <v>57</v>
      </c>
      <c r="G193" s="138" t="str">
        <f t="shared" si="31"/>
        <v>NT Plant &amp; Pre-Folding 32R-15</v>
      </c>
      <c r="H193" s="30">
        <v>216200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4099.6541085416593</v>
      </c>
      <c r="W193" s="9">
        <f t="shared" si="35"/>
        <v>27.331027390277729</v>
      </c>
      <c r="X193" s="8">
        <f t="shared" si="36"/>
        <v>12161.25</v>
      </c>
      <c r="Y193" s="7">
        <f t="shared" si="37"/>
        <v>81.075000000000003</v>
      </c>
      <c r="Z193" s="2">
        <f t="shared" si="38"/>
        <v>97290</v>
      </c>
      <c r="AA193" s="2">
        <f t="shared" si="39"/>
        <v>14863.75</v>
      </c>
      <c r="AB193" s="2">
        <f t="shared" si="40"/>
        <v>156745</v>
      </c>
      <c r="AC193" s="6">
        <f t="shared" si="41"/>
        <v>14107.05</v>
      </c>
      <c r="AD193" s="6">
        <f t="shared" si="42"/>
        <v>3761.88</v>
      </c>
      <c r="AE193" s="6">
        <f t="shared" si="43"/>
        <v>32732.68</v>
      </c>
      <c r="AF193" s="5">
        <f t="shared" si="44"/>
        <v>218.21786666666668</v>
      </c>
    </row>
    <row r="194" spans="1:32" x14ac:dyDescent="0.25">
      <c r="A194" s="207">
        <v>394</v>
      </c>
      <c r="B194" s="1" t="str">
        <f t="shared" si="30"/>
        <v>1.9, NT Plant &amp; Pre-Folding 24R-30</v>
      </c>
      <c r="C194" s="142">
        <v>1.9</v>
      </c>
      <c r="D194" s="138" t="s">
        <v>424</v>
      </c>
      <c r="E194" s="138" t="s">
        <v>287</v>
      </c>
      <c r="F194" s="138" t="s">
        <v>56</v>
      </c>
      <c r="G194" s="138" t="str">
        <f t="shared" si="31"/>
        <v>NT Plant &amp; Pre-Folding 24R-30</v>
      </c>
      <c r="H194" s="30">
        <v>217000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4114.8239664826087</v>
      </c>
      <c r="W194" s="9">
        <f t="shared" si="35"/>
        <v>27.432159776550726</v>
      </c>
      <c r="X194" s="8">
        <f t="shared" si="36"/>
        <v>12206.25</v>
      </c>
      <c r="Y194" s="7">
        <f t="shared" si="37"/>
        <v>81.375</v>
      </c>
      <c r="Z194" s="2">
        <f t="shared" si="38"/>
        <v>97650</v>
      </c>
      <c r="AA194" s="2">
        <f t="shared" si="39"/>
        <v>14918.75</v>
      </c>
      <c r="AB194" s="2">
        <f t="shared" si="40"/>
        <v>157325</v>
      </c>
      <c r="AC194" s="6">
        <f t="shared" si="41"/>
        <v>14159.25</v>
      </c>
      <c r="AD194" s="6">
        <f t="shared" si="42"/>
        <v>3775.8</v>
      </c>
      <c r="AE194" s="6">
        <f t="shared" si="43"/>
        <v>32853.800000000003</v>
      </c>
      <c r="AF194" s="5">
        <f t="shared" si="44"/>
        <v>219.02533333333335</v>
      </c>
    </row>
    <row r="195" spans="1:32" x14ac:dyDescent="0.25">
      <c r="A195" s="207">
        <v>629</v>
      </c>
      <c r="B195" s="1" t="str">
        <f t="shared" si="30"/>
        <v>1.91, NT Plant &amp; Pre-Folding 36R-20</v>
      </c>
      <c r="C195" s="142">
        <v>1.91</v>
      </c>
      <c r="D195" s="138" t="s">
        <v>424</v>
      </c>
      <c r="E195" s="138" t="s">
        <v>287</v>
      </c>
      <c r="F195" s="138" t="s">
        <v>55</v>
      </c>
      <c r="G195" s="138" t="str">
        <f t="shared" si="31"/>
        <v>NT Plant &amp; Pre-Folding 36R-20</v>
      </c>
      <c r="H195" s="284">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x14ac:dyDescent="0.25">
      <c r="A196" s="207">
        <v>381</v>
      </c>
      <c r="B196" s="1" t="str">
        <f t="shared" si="30"/>
        <v>1.92, NT Plant &amp; Pre-Rigid  4R-30</v>
      </c>
      <c r="C196" s="142">
        <v>1.92</v>
      </c>
      <c r="D196" s="138" t="s">
        <v>424</v>
      </c>
      <c r="E196" s="138" t="s">
        <v>288</v>
      </c>
      <c r="F196" s="138" t="s">
        <v>48</v>
      </c>
      <c r="G196" s="138"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x14ac:dyDescent="0.25">
      <c r="A197" s="207">
        <v>136</v>
      </c>
      <c r="B197" s="1" t="str">
        <f t="shared" ref="B197:B260" si="45">CONCATENATE(C197,D197,E197,F197)</f>
        <v>1.93, NT Plant &amp; Pre-Rigid  4R-36</v>
      </c>
      <c r="C197" s="142">
        <v>1.93</v>
      </c>
      <c r="D197" s="138" t="s">
        <v>424</v>
      </c>
      <c r="E197" s="138" t="s">
        <v>288</v>
      </c>
      <c r="F197" s="138" t="s">
        <v>195</v>
      </c>
      <c r="G197" s="138" t="str">
        <f t="shared" ref="G197:G260" si="46">CONCATENATE(E197,F197)</f>
        <v>NT Plant &amp; Pre-Rigid  4R-36</v>
      </c>
      <c r="H197" s="30">
        <v>36000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682.64360734273691</v>
      </c>
      <c r="W197" s="9">
        <f t="shared" ref="W197:W260" si="50">V197/P197</f>
        <v>4.5509573822849125</v>
      </c>
      <c r="X197" s="8">
        <f t="shared" ref="X197:X260" si="51">(H197*N197/100)/O197</f>
        <v>2025</v>
      </c>
      <c r="Y197" s="7">
        <f t="shared" ref="Y197:Y260" si="52">X197/P197</f>
        <v>13.5</v>
      </c>
      <c r="Z197" s="2">
        <f t="shared" ref="Z197:Z260" si="53">H197*M197/100</f>
        <v>16200</v>
      </c>
      <c r="AA197" s="2">
        <f t="shared" ref="AA197:AA260" si="54">(H197-Z197)/O197</f>
        <v>2475</v>
      </c>
      <c r="AB197" s="2">
        <f t="shared" ref="AB197:AB260" si="55">(Z197+H197)/2</f>
        <v>26100</v>
      </c>
      <c r="AC197" s="6">
        <f t="shared" ref="AC197:AC260" si="56">AB197*intir</f>
        <v>2349</v>
      </c>
      <c r="AD197" s="6">
        <f t="shared" ref="AD197:AD260" si="57">AB197*itr</f>
        <v>626.4</v>
      </c>
      <c r="AE197" s="6">
        <f t="shared" ref="AE197:AE260" si="58">AA197+AC197+AD197</f>
        <v>5450.4</v>
      </c>
      <c r="AF197" s="5">
        <f t="shared" ref="AF197:AF260" si="59">AE197/P197</f>
        <v>36.335999999999999</v>
      </c>
    </row>
    <row r="198" spans="1:32" x14ac:dyDescent="0.25">
      <c r="A198" s="207">
        <v>533</v>
      </c>
      <c r="B198" s="1" t="str">
        <f t="shared" si="45"/>
        <v>1.94, NT Plant &amp; Pre-Rigid 11R-15</v>
      </c>
      <c r="C198" s="142">
        <v>1.94</v>
      </c>
      <c r="D198" s="138" t="s">
        <v>424</v>
      </c>
      <c r="E198" s="138" t="s">
        <v>288</v>
      </c>
      <c r="F198" s="138" t="s">
        <v>54</v>
      </c>
      <c r="G198" s="138" t="str">
        <f t="shared" si="46"/>
        <v>NT Plant &amp; Pre-Rigid 11R-15</v>
      </c>
      <c r="H198" s="30">
        <v>63900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1211.692403033358</v>
      </c>
      <c r="W198" s="9">
        <f t="shared" si="50"/>
        <v>8.0779493535557201</v>
      </c>
      <c r="X198" s="8">
        <f t="shared" si="51"/>
        <v>3594.375</v>
      </c>
      <c r="Y198" s="7">
        <f t="shared" si="52"/>
        <v>23.962499999999999</v>
      </c>
      <c r="Z198" s="2">
        <f t="shared" si="53"/>
        <v>28755</v>
      </c>
      <c r="AA198" s="2">
        <f t="shared" si="54"/>
        <v>4393.125</v>
      </c>
      <c r="AB198" s="2">
        <f t="shared" si="55"/>
        <v>46327.5</v>
      </c>
      <c r="AC198" s="6">
        <f t="shared" si="56"/>
        <v>4169.4749999999995</v>
      </c>
      <c r="AD198" s="6">
        <f t="shared" si="57"/>
        <v>1111.8600000000001</v>
      </c>
      <c r="AE198" s="6">
        <f t="shared" si="58"/>
        <v>9674.4599999999991</v>
      </c>
      <c r="AF198" s="5">
        <f t="shared" si="59"/>
        <v>64.496399999999994</v>
      </c>
    </row>
    <row r="199" spans="1:32" x14ac:dyDescent="0.25">
      <c r="A199" s="207">
        <v>137</v>
      </c>
      <c r="B199" s="1" t="str">
        <f t="shared" si="45"/>
        <v>1.95, NT Plant &amp; Pre-Rigid  6R-30</v>
      </c>
      <c r="C199" s="142">
        <v>1.95</v>
      </c>
      <c r="D199" s="138" t="s">
        <v>424</v>
      </c>
      <c r="E199" s="138" t="s">
        <v>288</v>
      </c>
      <c r="F199" s="138" t="s">
        <v>53</v>
      </c>
      <c r="G199" s="138" t="str">
        <f t="shared" si="46"/>
        <v>NT Plant &amp; Pre-Rigid  6R-30</v>
      </c>
      <c r="H199" s="30">
        <v>44300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840.0308834800901</v>
      </c>
      <c r="W199" s="9">
        <f t="shared" si="50"/>
        <v>5.6002058898672678</v>
      </c>
      <c r="X199" s="8">
        <f t="shared" si="51"/>
        <v>2491.875</v>
      </c>
      <c r="Y199" s="7">
        <f t="shared" si="52"/>
        <v>16.612500000000001</v>
      </c>
      <c r="Z199" s="2">
        <f t="shared" si="53"/>
        <v>19935</v>
      </c>
      <c r="AA199" s="2">
        <f t="shared" si="54"/>
        <v>3045.625</v>
      </c>
      <c r="AB199" s="2">
        <f t="shared" si="55"/>
        <v>32117.5</v>
      </c>
      <c r="AC199" s="6">
        <f t="shared" si="56"/>
        <v>2890.5749999999998</v>
      </c>
      <c r="AD199" s="6">
        <f t="shared" si="57"/>
        <v>770.82</v>
      </c>
      <c r="AE199" s="6">
        <f t="shared" si="58"/>
        <v>6707.0199999999995</v>
      </c>
      <c r="AF199" s="5">
        <f t="shared" si="59"/>
        <v>44.713466666666662</v>
      </c>
    </row>
    <row r="200" spans="1:32" x14ac:dyDescent="0.25">
      <c r="A200" s="207">
        <v>138</v>
      </c>
      <c r="B200" s="1" t="str">
        <f t="shared" si="45"/>
        <v>1.96, NT Plant &amp; Pre-Rigid  6R-36</v>
      </c>
      <c r="C200" s="142">
        <v>1.96</v>
      </c>
      <c r="D200" s="138" t="s">
        <v>424</v>
      </c>
      <c r="E200" s="138" t="s">
        <v>288</v>
      </c>
      <c r="F200" s="138" t="s">
        <v>196</v>
      </c>
      <c r="G200" s="138" t="str">
        <f t="shared" si="46"/>
        <v>NT Plant &amp; Pre-Rigid  6R-36</v>
      </c>
      <c r="H200" s="30">
        <v>43500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824.86102553914043</v>
      </c>
      <c r="W200" s="9">
        <f t="shared" si="50"/>
        <v>5.4990735035942695</v>
      </c>
      <c r="X200" s="8">
        <f t="shared" si="51"/>
        <v>2446.875</v>
      </c>
      <c r="Y200" s="7">
        <f t="shared" si="52"/>
        <v>16.3125</v>
      </c>
      <c r="Z200" s="2">
        <f t="shared" si="53"/>
        <v>19575</v>
      </c>
      <c r="AA200" s="2">
        <f t="shared" si="54"/>
        <v>2990.625</v>
      </c>
      <c r="AB200" s="2">
        <f t="shared" si="55"/>
        <v>31537.5</v>
      </c>
      <c r="AC200" s="6">
        <f t="shared" si="56"/>
        <v>2838.375</v>
      </c>
      <c r="AD200" s="6">
        <f t="shared" si="57"/>
        <v>756.9</v>
      </c>
      <c r="AE200" s="6">
        <f t="shared" si="58"/>
        <v>6585.9</v>
      </c>
      <c r="AF200" s="5">
        <f t="shared" si="59"/>
        <v>43.905999999999999</v>
      </c>
    </row>
    <row r="201" spans="1:32" x14ac:dyDescent="0.25">
      <c r="A201" s="207">
        <v>537</v>
      </c>
      <c r="B201" s="1" t="str">
        <f t="shared" si="45"/>
        <v>1.97, NT Plant &amp; Pre-Rigid 11R-20</v>
      </c>
      <c r="C201" s="142">
        <v>1.97</v>
      </c>
      <c r="D201" s="138" t="s">
        <v>424</v>
      </c>
      <c r="E201" s="138" t="s">
        <v>288</v>
      </c>
      <c r="F201" s="138" t="s">
        <v>52</v>
      </c>
      <c r="G201" s="138" t="str">
        <f t="shared" si="46"/>
        <v>NT Plant &amp; Pre-Rigid 11R-20</v>
      </c>
      <c r="H201" s="30">
        <v>63200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1198.418777335027</v>
      </c>
      <c r="W201" s="9">
        <f t="shared" si="50"/>
        <v>7.9894585155668469</v>
      </c>
      <c r="X201" s="8">
        <f t="shared" si="51"/>
        <v>3555</v>
      </c>
      <c r="Y201" s="7">
        <f t="shared" si="52"/>
        <v>23.7</v>
      </c>
      <c r="Z201" s="2">
        <f t="shared" si="53"/>
        <v>28440</v>
      </c>
      <c r="AA201" s="2">
        <f t="shared" si="54"/>
        <v>4345</v>
      </c>
      <c r="AB201" s="2">
        <f t="shared" si="55"/>
        <v>45820</v>
      </c>
      <c r="AC201" s="6">
        <f t="shared" si="56"/>
        <v>4123.8</v>
      </c>
      <c r="AD201" s="6">
        <f t="shared" si="57"/>
        <v>1099.68</v>
      </c>
      <c r="AE201" s="6">
        <f t="shared" si="58"/>
        <v>9568.48</v>
      </c>
      <c r="AF201" s="5">
        <f t="shared" si="59"/>
        <v>63.789866666666661</v>
      </c>
    </row>
    <row r="202" spans="1:32" x14ac:dyDescent="0.25">
      <c r="A202" s="207">
        <v>598</v>
      </c>
      <c r="B202" s="1" t="str">
        <f t="shared" si="45"/>
        <v>1.98, NT Plant &amp; Pre-Rigid 15R-15</v>
      </c>
      <c r="C202" s="142">
        <v>1.98</v>
      </c>
      <c r="D202" s="138" t="s">
        <v>424</v>
      </c>
      <c r="E202" s="138" t="s">
        <v>288</v>
      </c>
      <c r="F202" s="138" t="s">
        <v>51</v>
      </c>
      <c r="G202" s="138" t="str">
        <f t="shared" si="46"/>
        <v>NT Plant &amp; Pre-Rigid 15R-15</v>
      </c>
      <c r="H202" s="30">
        <v>82000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1554.910438947345</v>
      </c>
      <c r="W202" s="9">
        <f t="shared" si="50"/>
        <v>10.366069592982301</v>
      </c>
      <c r="X202" s="8">
        <f t="shared" si="51"/>
        <v>4612.5</v>
      </c>
      <c r="Y202" s="7">
        <f t="shared" si="52"/>
        <v>30.75</v>
      </c>
      <c r="Z202" s="2">
        <f t="shared" si="53"/>
        <v>36900</v>
      </c>
      <c r="AA202" s="2">
        <f t="shared" si="54"/>
        <v>5637.5</v>
      </c>
      <c r="AB202" s="2">
        <f t="shared" si="55"/>
        <v>59450</v>
      </c>
      <c r="AC202" s="6">
        <f t="shared" si="56"/>
        <v>5350.5</v>
      </c>
      <c r="AD202" s="6">
        <f t="shared" si="57"/>
        <v>1426.8</v>
      </c>
      <c r="AE202" s="6">
        <f t="shared" si="58"/>
        <v>12414.8</v>
      </c>
      <c r="AF202" s="5">
        <f t="shared" si="59"/>
        <v>82.765333333333331</v>
      </c>
    </row>
    <row r="203" spans="1:32" x14ac:dyDescent="0.25">
      <c r="A203" s="207">
        <v>139</v>
      </c>
      <c r="B203" s="1" t="str">
        <f t="shared" si="45"/>
        <v>1.99, NT Plant &amp; Pre-Rigid  8R-30</v>
      </c>
      <c r="C203" s="142">
        <v>1.99</v>
      </c>
      <c r="D203" s="138" t="s">
        <v>424</v>
      </c>
      <c r="E203" s="138" t="s">
        <v>288</v>
      </c>
      <c r="F203" s="138" t="s">
        <v>25</v>
      </c>
      <c r="G203" s="138" t="str">
        <f t="shared" si="46"/>
        <v>NT Plant &amp; Pre-Rigid  8R-30</v>
      </c>
      <c r="H203" s="30">
        <v>54500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1033.4465722271989</v>
      </c>
      <c r="W203" s="9">
        <f t="shared" si="50"/>
        <v>6.8896438148479922</v>
      </c>
      <c r="X203" s="8">
        <f t="shared" si="51"/>
        <v>3065.625</v>
      </c>
      <c r="Y203" s="7">
        <f t="shared" si="52"/>
        <v>20.4375</v>
      </c>
      <c r="Z203" s="2">
        <f t="shared" si="53"/>
        <v>24525</v>
      </c>
      <c r="AA203" s="2">
        <f t="shared" si="54"/>
        <v>3746.875</v>
      </c>
      <c r="AB203" s="2">
        <f t="shared" si="55"/>
        <v>39512.5</v>
      </c>
      <c r="AC203" s="6">
        <f t="shared" si="56"/>
        <v>3556.125</v>
      </c>
      <c r="AD203" s="6">
        <f t="shared" si="57"/>
        <v>948.30000000000007</v>
      </c>
      <c r="AE203" s="6">
        <f t="shared" si="58"/>
        <v>8251.2999999999993</v>
      </c>
      <c r="AF203" s="5">
        <f t="shared" si="59"/>
        <v>55.008666666666663</v>
      </c>
    </row>
    <row r="204" spans="1:32" x14ac:dyDescent="0.25">
      <c r="A204" s="207">
        <v>384</v>
      </c>
      <c r="B204" s="1" t="str">
        <f t="shared" si="45"/>
        <v>2, NT Plant &amp; Pre-Rigid 12R-20</v>
      </c>
      <c r="C204" s="142">
        <v>2</v>
      </c>
      <c r="D204" s="138" t="s">
        <v>424</v>
      </c>
      <c r="E204" s="138" t="s">
        <v>288</v>
      </c>
      <c r="F204" s="138" t="s">
        <v>50</v>
      </c>
      <c r="G204" s="138" t="str">
        <f t="shared" si="46"/>
        <v>NT Plant &amp; Pre-Rigid 12R-20</v>
      </c>
      <c r="H204" s="30">
        <v>65700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1245.8245834004947</v>
      </c>
      <c r="W204" s="9">
        <f t="shared" si="50"/>
        <v>8.305497222669965</v>
      </c>
      <c r="X204" s="8">
        <f t="shared" si="51"/>
        <v>3695.625</v>
      </c>
      <c r="Y204" s="7">
        <f t="shared" si="52"/>
        <v>24.637499999999999</v>
      </c>
      <c r="Z204" s="2">
        <f t="shared" si="53"/>
        <v>29565</v>
      </c>
      <c r="AA204" s="2">
        <f t="shared" si="54"/>
        <v>4516.875</v>
      </c>
      <c r="AB204" s="2">
        <f t="shared" si="55"/>
        <v>47632.5</v>
      </c>
      <c r="AC204" s="6">
        <f t="shared" si="56"/>
        <v>4286.9250000000002</v>
      </c>
      <c r="AD204" s="6">
        <f t="shared" si="57"/>
        <v>1143.18</v>
      </c>
      <c r="AE204" s="6">
        <f t="shared" si="58"/>
        <v>9946.98</v>
      </c>
      <c r="AF204" s="5">
        <f t="shared" si="59"/>
        <v>66.313199999999995</v>
      </c>
    </row>
    <row r="205" spans="1:32" x14ac:dyDescent="0.25">
      <c r="A205" s="207">
        <v>631</v>
      </c>
      <c r="B205" s="1" t="str">
        <f t="shared" si="45"/>
        <v>2.01, NT Plant &amp; Pre-Rigid 13R-18/20</v>
      </c>
      <c r="C205" s="142">
        <v>2.0099999999999998</v>
      </c>
      <c r="D205" s="138" t="s">
        <v>424</v>
      </c>
      <c r="E205" s="138" t="s">
        <v>288</v>
      </c>
      <c r="F205" s="138" t="s">
        <v>49</v>
      </c>
      <c r="G205" s="138" t="str">
        <f t="shared" si="46"/>
        <v>NT Plant &amp; Pre-Rigid 13R-18/20</v>
      </c>
      <c r="H205" s="284">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x14ac:dyDescent="0.25">
      <c r="A206" s="207">
        <v>140</v>
      </c>
      <c r="B206" s="1" t="str">
        <f t="shared" si="45"/>
        <v>2.02, NT Plant &amp; Pre-Rigid  8R-36</v>
      </c>
      <c r="C206" s="142">
        <v>2.02</v>
      </c>
      <c r="D206" s="138" t="s">
        <v>424</v>
      </c>
      <c r="E206" s="138" t="s">
        <v>288</v>
      </c>
      <c r="F206" s="138" t="s">
        <v>193</v>
      </c>
      <c r="G206" s="138" t="str">
        <f t="shared" si="46"/>
        <v>NT Plant &amp; Pre-Rigid  8R-36</v>
      </c>
      <c r="H206" s="30">
        <v>52400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993.62569513220603</v>
      </c>
      <c r="W206" s="9">
        <f t="shared" si="50"/>
        <v>6.6241713008813736</v>
      </c>
      <c r="X206" s="8">
        <f t="shared" si="51"/>
        <v>2947.5</v>
      </c>
      <c r="Y206" s="7">
        <f t="shared" si="52"/>
        <v>19.649999999999999</v>
      </c>
      <c r="Z206" s="2">
        <f t="shared" si="53"/>
        <v>23580</v>
      </c>
      <c r="AA206" s="2">
        <f t="shared" si="54"/>
        <v>3602.5</v>
      </c>
      <c r="AB206" s="2">
        <f t="shared" si="55"/>
        <v>37990</v>
      </c>
      <c r="AC206" s="6">
        <f t="shared" si="56"/>
        <v>3419.1</v>
      </c>
      <c r="AD206" s="6">
        <f t="shared" si="57"/>
        <v>911.76</v>
      </c>
      <c r="AE206" s="6">
        <f t="shared" si="58"/>
        <v>7933.3600000000006</v>
      </c>
      <c r="AF206" s="5">
        <f t="shared" si="59"/>
        <v>52.889066666666672</v>
      </c>
    </row>
    <row r="207" spans="1:32" x14ac:dyDescent="0.25">
      <c r="A207" s="207">
        <v>141</v>
      </c>
      <c r="B207" s="1" t="str">
        <f t="shared" si="45"/>
        <v>2.03, NT Plant &amp; Pre-Rigid 10R-30</v>
      </c>
      <c r="C207" s="142">
        <v>2.0299999999999998</v>
      </c>
      <c r="D207" s="138" t="s">
        <v>424</v>
      </c>
      <c r="E207" s="138" t="s">
        <v>288</v>
      </c>
      <c r="F207" s="138" t="s">
        <v>24</v>
      </c>
      <c r="G207" s="138" t="str">
        <f t="shared" si="46"/>
        <v>NT Plant &amp; Pre-Rigid 10R-30</v>
      </c>
      <c r="H207" s="284">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x14ac:dyDescent="0.25">
      <c r="A208" s="207">
        <v>385</v>
      </c>
      <c r="B208" s="1" t="str">
        <f t="shared" si="45"/>
        <v>2.04, NT Plant &amp; Pre-Rigid 12R-30</v>
      </c>
      <c r="C208" s="142">
        <v>2.04</v>
      </c>
      <c r="D208" s="138" t="s">
        <v>424</v>
      </c>
      <c r="E208" s="138" t="s">
        <v>288</v>
      </c>
      <c r="F208" s="138" t="s">
        <v>6</v>
      </c>
      <c r="G208" s="138" t="str">
        <f t="shared" si="46"/>
        <v>NT Plant &amp; Pre-Rigid 12R-30</v>
      </c>
      <c r="H208" s="30">
        <v>82800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1570.0802968882947</v>
      </c>
      <c r="W208" s="9">
        <f t="shared" si="50"/>
        <v>10.467201979255298</v>
      </c>
      <c r="X208" s="8">
        <f t="shared" si="51"/>
        <v>4657.5</v>
      </c>
      <c r="Y208" s="7">
        <f t="shared" si="52"/>
        <v>31.05</v>
      </c>
      <c r="Z208" s="2">
        <f t="shared" si="53"/>
        <v>37260</v>
      </c>
      <c r="AA208" s="2">
        <f t="shared" si="54"/>
        <v>5692.5</v>
      </c>
      <c r="AB208" s="2">
        <f t="shared" si="55"/>
        <v>60030</v>
      </c>
      <c r="AC208" s="6">
        <f t="shared" si="56"/>
        <v>5402.7</v>
      </c>
      <c r="AD208" s="6">
        <f t="shared" si="57"/>
        <v>1440.72</v>
      </c>
      <c r="AE208" s="6">
        <f t="shared" si="58"/>
        <v>12535.92</v>
      </c>
      <c r="AF208" s="5">
        <f t="shared" si="59"/>
        <v>83.572800000000001</v>
      </c>
    </row>
    <row r="209" spans="1:32" x14ac:dyDescent="0.25">
      <c r="A209" s="207">
        <v>632</v>
      </c>
      <c r="B209" s="1" t="str">
        <f t="shared" si="45"/>
        <v>2.05, NT Plant &amp; Pre-Twin Row 8R-36</v>
      </c>
      <c r="C209" s="142">
        <v>2.0499999999999998</v>
      </c>
      <c r="D209" s="138" t="s">
        <v>424</v>
      </c>
      <c r="E209" s="138" t="s">
        <v>289</v>
      </c>
      <c r="F209" s="138" t="s">
        <v>199</v>
      </c>
      <c r="G209" s="138" t="str">
        <f t="shared" si="46"/>
        <v>NT Plant &amp; Pre-Twin Row 8R-36</v>
      </c>
      <c r="H209" s="30">
        <v>135000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2559.9135275352633</v>
      </c>
      <c r="W209" s="9">
        <f t="shared" si="50"/>
        <v>17.06609018356842</v>
      </c>
      <c r="X209" s="8">
        <f t="shared" si="51"/>
        <v>7593.75</v>
      </c>
      <c r="Y209" s="7">
        <f t="shared" si="52"/>
        <v>50.625</v>
      </c>
      <c r="Z209" s="2">
        <f t="shared" si="53"/>
        <v>60750</v>
      </c>
      <c r="AA209" s="2">
        <f t="shared" si="54"/>
        <v>9281.25</v>
      </c>
      <c r="AB209" s="2">
        <f t="shared" si="55"/>
        <v>97875</v>
      </c>
      <c r="AC209" s="6">
        <f t="shared" si="56"/>
        <v>8808.75</v>
      </c>
      <c r="AD209" s="6">
        <f t="shared" si="57"/>
        <v>2349</v>
      </c>
      <c r="AE209" s="6">
        <f t="shared" si="58"/>
        <v>20439</v>
      </c>
      <c r="AF209" s="5">
        <f t="shared" si="59"/>
        <v>136.26</v>
      </c>
    </row>
    <row r="210" spans="1:32" x14ac:dyDescent="0.25">
      <c r="A210" s="207">
        <v>628</v>
      </c>
      <c r="B210" s="1" t="str">
        <f t="shared" si="45"/>
        <v>2.06, NT Plant &amp; Pre-Twin Row 12R-36</v>
      </c>
      <c r="C210" s="142">
        <v>2.06</v>
      </c>
      <c r="D210" s="138" t="s">
        <v>424</v>
      </c>
      <c r="E210" s="138" t="s">
        <v>289</v>
      </c>
      <c r="F210" s="138" t="s">
        <v>194</v>
      </c>
      <c r="G210" s="138" t="str">
        <f t="shared" si="46"/>
        <v>NT Plant &amp; Pre-Twin Row 12R-36</v>
      </c>
      <c r="H210" s="30">
        <v>170000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3223.5948124518131</v>
      </c>
      <c r="W210" s="9">
        <f t="shared" si="50"/>
        <v>21.490632083012088</v>
      </c>
      <c r="X210" s="8">
        <f t="shared" si="51"/>
        <v>9562.5</v>
      </c>
      <c r="Y210" s="7">
        <f t="shared" si="52"/>
        <v>63.75</v>
      </c>
      <c r="Z210" s="2">
        <f t="shared" si="53"/>
        <v>76500</v>
      </c>
      <c r="AA210" s="2">
        <f t="shared" si="54"/>
        <v>11687.5</v>
      </c>
      <c r="AB210" s="2">
        <f t="shared" si="55"/>
        <v>123250</v>
      </c>
      <c r="AC210" s="6">
        <f t="shared" si="56"/>
        <v>11092.5</v>
      </c>
      <c r="AD210" s="6">
        <f t="shared" si="57"/>
        <v>2958</v>
      </c>
      <c r="AE210" s="6">
        <f t="shared" si="58"/>
        <v>25738</v>
      </c>
      <c r="AF210" s="5">
        <f t="shared" si="59"/>
        <v>171.58666666666667</v>
      </c>
    </row>
    <row r="211" spans="1:32" x14ac:dyDescent="0.25">
      <c r="A211" s="207">
        <v>374</v>
      </c>
      <c r="B211" s="1" t="str">
        <f t="shared" si="45"/>
        <v>2.07, NT Plant-Folding 12R-20</v>
      </c>
      <c r="C211" s="142">
        <v>2.0699999999999998</v>
      </c>
      <c r="D211" s="138" t="s">
        <v>424</v>
      </c>
      <c r="E211" s="138" t="s">
        <v>290</v>
      </c>
      <c r="F211" s="138" t="s">
        <v>50</v>
      </c>
      <c r="G211" s="138" t="str">
        <f t="shared" si="46"/>
        <v>NT Plant-Folding 12R-20</v>
      </c>
      <c r="H211" s="30">
        <v>7500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142.21741819640354</v>
      </c>
      <c r="W211" s="9">
        <f t="shared" si="50"/>
        <v>0.94811612130935696</v>
      </c>
      <c r="X211" s="8">
        <f t="shared" si="51"/>
        <v>421.875</v>
      </c>
      <c r="Y211" s="7">
        <f t="shared" si="52"/>
        <v>2.8125</v>
      </c>
      <c r="Z211" s="2">
        <f t="shared" si="53"/>
        <v>3375</v>
      </c>
      <c r="AA211" s="2">
        <f t="shared" si="54"/>
        <v>515.625</v>
      </c>
      <c r="AB211" s="2">
        <f t="shared" si="55"/>
        <v>5437.5</v>
      </c>
      <c r="AC211" s="6">
        <f t="shared" si="56"/>
        <v>489.375</v>
      </c>
      <c r="AD211" s="6">
        <f t="shared" si="57"/>
        <v>130.5</v>
      </c>
      <c r="AE211" s="6">
        <f t="shared" si="58"/>
        <v>1135.5</v>
      </c>
      <c r="AF211" s="5">
        <f t="shared" si="59"/>
        <v>7.57</v>
      </c>
    </row>
    <row r="212" spans="1:32" x14ac:dyDescent="0.25">
      <c r="A212" s="207">
        <v>370</v>
      </c>
      <c r="B212" s="1" t="str">
        <f t="shared" si="45"/>
        <v>2.08, NT Plant-Folding  8R-36</v>
      </c>
      <c r="C212" s="142">
        <v>2.08</v>
      </c>
      <c r="D212" s="138" t="s">
        <v>424</v>
      </c>
      <c r="E212" s="138" t="s">
        <v>290</v>
      </c>
      <c r="F212" s="138" t="s">
        <v>193</v>
      </c>
      <c r="G212" s="138" t="str">
        <f t="shared" si="46"/>
        <v>NT Plant-Folding  8R-36</v>
      </c>
      <c r="H212" s="30">
        <v>60400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1145.3242745417031</v>
      </c>
      <c r="W212" s="9">
        <f t="shared" si="50"/>
        <v>7.6354951636113535</v>
      </c>
      <c r="X212" s="8">
        <f t="shared" si="51"/>
        <v>3397.5</v>
      </c>
      <c r="Y212" s="7">
        <f t="shared" si="52"/>
        <v>22.65</v>
      </c>
      <c r="Z212" s="2">
        <f t="shared" si="53"/>
        <v>27180</v>
      </c>
      <c r="AA212" s="2">
        <f t="shared" si="54"/>
        <v>4152.5</v>
      </c>
      <c r="AB212" s="2">
        <f t="shared" si="55"/>
        <v>43790</v>
      </c>
      <c r="AC212" s="6">
        <f t="shared" si="56"/>
        <v>3941.1</v>
      </c>
      <c r="AD212" s="6">
        <f t="shared" si="57"/>
        <v>1050.96</v>
      </c>
      <c r="AE212" s="6">
        <f t="shared" si="58"/>
        <v>9144.5600000000013</v>
      </c>
      <c r="AF212" s="5">
        <f t="shared" si="59"/>
        <v>60.963733333333344</v>
      </c>
    </row>
    <row r="213" spans="1:32" x14ac:dyDescent="0.25">
      <c r="A213" s="207">
        <v>378</v>
      </c>
      <c r="B213" s="1" t="str">
        <f t="shared" si="45"/>
        <v>2.09, NT Plant-Folding 23R-15</v>
      </c>
      <c r="C213" s="142">
        <v>2.09</v>
      </c>
      <c r="D213" s="138" t="s">
        <v>424</v>
      </c>
      <c r="E213" s="138" t="s">
        <v>290</v>
      </c>
      <c r="F213" s="138" t="s">
        <v>62</v>
      </c>
      <c r="G213" s="138" t="str">
        <f t="shared" si="46"/>
        <v>NT Plant-Folding 23R-15</v>
      </c>
      <c r="H213" s="30">
        <v>176000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3337.3687470089358</v>
      </c>
      <c r="W213" s="9">
        <f t="shared" si="50"/>
        <v>22.249124980059573</v>
      </c>
      <c r="X213" s="8">
        <f t="shared" si="51"/>
        <v>9900</v>
      </c>
      <c r="Y213" s="7">
        <f t="shared" si="52"/>
        <v>66</v>
      </c>
      <c r="Z213" s="2">
        <f t="shared" si="53"/>
        <v>79200</v>
      </c>
      <c r="AA213" s="2">
        <f t="shared" si="54"/>
        <v>12100</v>
      </c>
      <c r="AB213" s="2">
        <f t="shared" si="55"/>
        <v>127600</v>
      </c>
      <c r="AC213" s="6">
        <f t="shared" si="56"/>
        <v>11484</v>
      </c>
      <c r="AD213" s="6">
        <f t="shared" si="57"/>
        <v>3062.4</v>
      </c>
      <c r="AE213" s="6">
        <f t="shared" si="58"/>
        <v>26646.400000000001</v>
      </c>
      <c r="AF213" s="5">
        <f t="shared" si="59"/>
        <v>177.64266666666668</v>
      </c>
    </row>
    <row r="214" spans="1:32" x14ac:dyDescent="0.25">
      <c r="A214" s="207">
        <v>375</v>
      </c>
      <c r="B214" s="1" t="str">
        <f t="shared" si="45"/>
        <v>2.1, NT Plant-Folding 12R-30</v>
      </c>
      <c r="C214" s="142">
        <v>2.1</v>
      </c>
      <c r="D214" s="138" t="s">
        <v>424</v>
      </c>
      <c r="E214" s="138" t="s">
        <v>290</v>
      </c>
      <c r="F214" s="138" t="s">
        <v>6</v>
      </c>
      <c r="G214" s="138" t="str">
        <f t="shared" si="46"/>
        <v>NT Plant-Folding 12R-30</v>
      </c>
      <c r="H214" s="30">
        <v>81700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1549.221742219489</v>
      </c>
      <c r="W214" s="9">
        <f t="shared" si="50"/>
        <v>10.328144948129927</v>
      </c>
      <c r="X214" s="8">
        <f t="shared" si="51"/>
        <v>4595.625</v>
      </c>
      <c r="Y214" s="7">
        <f t="shared" si="52"/>
        <v>30.637499999999999</v>
      </c>
      <c r="Z214" s="2">
        <f t="shared" si="53"/>
        <v>36765</v>
      </c>
      <c r="AA214" s="2">
        <f t="shared" si="54"/>
        <v>5616.875</v>
      </c>
      <c r="AB214" s="2">
        <f t="shared" si="55"/>
        <v>59232.5</v>
      </c>
      <c r="AC214" s="6">
        <f t="shared" si="56"/>
        <v>5330.9250000000002</v>
      </c>
      <c r="AD214" s="6">
        <f t="shared" si="57"/>
        <v>1421.58</v>
      </c>
      <c r="AE214" s="6">
        <f t="shared" si="58"/>
        <v>12369.38</v>
      </c>
      <c r="AF214" s="5">
        <f t="shared" si="59"/>
        <v>82.462533333333326</v>
      </c>
    </row>
    <row r="215" spans="1:32" x14ac:dyDescent="0.25">
      <c r="A215" s="207">
        <v>548</v>
      </c>
      <c r="B215" s="1" t="str">
        <f t="shared" si="45"/>
        <v>2.11, NT Plant-Folding 24R-15</v>
      </c>
      <c r="C215" s="142">
        <v>2.11</v>
      </c>
      <c r="D215" s="138" t="s">
        <v>424</v>
      </c>
      <c r="E215" s="138" t="s">
        <v>290</v>
      </c>
      <c r="F215" s="138" t="s">
        <v>61</v>
      </c>
      <c r="G215" s="138" t="str">
        <f t="shared" si="46"/>
        <v>NT Plant-Folding 24R-15</v>
      </c>
      <c r="H215" s="284">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x14ac:dyDescent="0.25">
      <c r="A216" s="207">
        <v>371</v>
      </c>
      <c r="B216" s="1" t="str">
        <f t="shared" si="45"/>
        <v>2.12, NT Plant-Folding  8R-36 2x1</v>
      </c>
      <c r="C216" s="142">
        <v>2.12</v>
      </c>
      <c r="D216" s="138" t="s">
        <v>424</v>
      </c>
      <c r="E216" s="138" t="s">
        <v>290</v>
      </c>
      <c r="F216" s="138" t="s">
        <v>197</v>
      </c>
      <c r="G216" s="138" t="str">
        <f t="shared" si="46"/>
        <v>NT Plant-Folding  8R-36 2x1</v>
      </c>
      <c r="H216" s="30">
        <v>93400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1771.0809146058784</v>
      </c>
      <c r="W216" s="9">
        <f t="shared" si="50"/>
        <v>11.807206097372523</v>
      </c>
      <c r="X216" s="8">
        <f t="shared" si="51"/>
        <v>5253.75</v>
      </c>
      <c r="Y216" s="7">
        <f t="shared" si="52"/>
        <v>35.024999999999999</v>
      </c>
      <c r="Z216" s="2">
        <f t="shared" si="53"/>
        <v>42030</v>
      </c>
      <c r="AA216" s="2">
        <f t="shared" si="54"/>
        <v>6421.25</v>
      </c>
      <c r="AB216" s="2">
        <f t="shared" si="55"/>
        <v>67715</v>
      </c>
      <c r="AC216" s="6">
        <f t="shared" si="56"/>
        <v>6094.3499999999995</v>
      </c>
      <c r="AD216" s="6">
        <f t="shared" si="57"/>
        <v>1625.16</v>
      </c>
      <c r="AE216" s="6">
        <f t="shared" si="58"/>
        <v>14140.759999999998</v>
      </c>
      <c r="AF216" s="5">
        <f t="shared" si="59"/>
        <v>94.271733333333316</v>
      </c>
    </row>
    <row r="217" spans="1:32" x14ac:dyDescent="0.25">
      <c r="A217" s="207">
        <v>255</v>
      </c>
      <c r="B217" s="1" t="str">
        <f t="shared" si="45"/>
        <v>2.13, NT Plant-Folding 12R-36</v>
      </c>
      <c r="C217" s="142">
        <v>2.13</v>
      </c>
      <c r="D217" s="138" t="s">
        <v>424</v>
      </c>
      <c r="E217" s="138" t="s">
        <v>290</v>
      </c>
      <c r="F217" s="138" t="s">
        <v>194</v>
      </c>
      <c r="G217" s="138" t="str">
        <f t="shared" si="46"/>
        <v>NT Plant-Folding 12R-36</v>
      </c>
      <c r="H217" s="30">
        <v>93400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1771.0809146058784</v>
      </c>
      <c r="W217" s="9">
        <f t="shared" si="50"/>
        <v>11.807206097372523</v>
      </c>
      <c r="X217" s="8">
        <f t="shared" si="51"/>
        <v>5253.75</v>
      </c>
      <c r="Y217" s="7">
        <f t="shared" si="52"/>
        <v>35.024999999999999</v>
      </c>
      <c r="Z217" s="2">
        <f t="shared" si="53"/>
        <v>42030</v>
      </c>
      <c r="AA217" s="2">
        <f t="shared" si="54"/>
        <v>6421.25</v>
      </c>
      <c r="AB217" s="2">
        <f t="shared" si="55"/>
        <v>67715</v>
      </c>
      <c r="AC217" s="6">
        <f t="shared" si="56"/>
        <v>6094.3499999999995</v>
      </c>
      <c r="AD217" s="6">
        <f t="shared" si="57"/>
        <v>1625.16</v>
      </c>
      <c r="AE217" s="6">
        <f t="shared" si="58"/>
        <v>14140.759999999998</v>
      </c>
      <c r="AF217" s="5">
        <f t="shared" si="59"/>
        <v>94.271733333333316</v>
      </c>
    </row>
    <row r="218" spans="1:32" x14ac:dyDescent="0.25">
      <c r="A218" s="207">
        <v>552</v>
      </c>
      <c r="B218" s="1" t="str">
        <f t="shared" si="45"/>
        <v>2.14, NT Plant-Folding 31R-15</v>
      </c>
      <c r="C218" s="142">
        <v>2.14</v>
      </c>
      <c r="D218" s="138" t="s">
        <v>424</v>
      </c>
      <c r="E218" s="138" t="s">
        <v>290</v>
      </c>
      <c r="F218" s="138" t="s">
        <v>60</v>
      </c>
      <c r="G218" s="138" t="str">
        <f t="shared" si="46"/>
        <v>NT Plant-Folding 31R-15</v>
      </c>
      <c r="H218" s="30">
        <v>213000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4038.9746767778602</v>
      </c>
      <c r="W218" s="9">
        <f t="shared" si="50"/>
        <v>26.926497845185736</v>
      </c>
      <c r="X218" s="8">
        <f t="shared" si="51"/>
        <v>11981.25</v>
      </c>
      <c r="Y218" s="7">
        <f t="shared" si="52"/>
        <v>79.875</v>
      </c>
      <c r="Z218" s="2">
        <f t="shared" si="53"/>
        <v>95850</v>
      </c>
      <c r="AA218" s="2">
        <f t="shared" si="54"/>
        <v>14643.75</v>
      </c>
      <c r="AB218" s="2">
        <f t="shared" si="55"/>
        <v>154425</v>
      </c>
      <c r="AC218" s="6">
        <f t="shared" si="56"/>
        <v>13898.25</v>
      </c>
      <c r="AD218" s="6">
        <f t="shared" si="57"/>
        <v>3706.2000000000003</v>
      </c>
      <c r="AE218" s="6">
        <f t="shared" si="58"/>
        <v>32248.2</v>
      </c>
      <c r="AF218" s="5">
        <f t="shared" si="59"/>
        <v>214.988</v>
      </c>
    </row>
    <row r="219" spans="1:32" x14ac:dyDescent="0.25">
      <c r="A219" s="207">
        <v>377</v>
      </c>
      <c r="B219" s="1" t="str">
        <f t="shared" si="45"/>
        <v>2.15, NT Plant-Folding 16R-30</v>
      </c>
      <c r="C219" s="142">
        <v>2.15</v>
      </c>
      <c r="D219" s="138" t="s">
        <v>424</v>
      </c>
      <c r="E219" s="138" t="s">
        <v>290</v>
      </c>
      <c r="F219" s="138" t="s">
        <v>59</v>
      </c>
      <c r="G219" s="138" t="str">
        <f t="shared" si="46"/>
        <v>NT Plant-Folding 16R-30</v>
      </c>
      <c r="H219" s="30">
        <v>128000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2427.1772705519534</v>
      </c>
      <c r="W219" s="9">
        <f t="shared" si="50"/>
        <v>16.181181803679689</v>
      </c>
      <c r="X219" s="8">
        <f t="shared" si="51"/>
        <v>7200</v>
      </c>
      <c r="Y219" s="7">
        <f t="shared" si="52"/>
        <v>48</v>
      </c>
      <c r="Z219" s="2">
        <f t="shared" si="53"/>
        <v>57600</v>
      </c>
      <c r="AA219" s="2">
        <f t="shared" si="54"/>
        <v>8800</v>
      </c>
      <c r="AB219" s="2">
        <f t="shared" si="55"/>
        <v>92800</v>
      </c>
      <c r="AC219" s="6">
        <f t="shared" si="56"/>
        <v>8352</v>
      </c>
      <c r="AD219" s="6">
        <f t="shared" si="57"/>
        <v>2227.2000000000003</v>
      </c>
      <c r="AE219" s="6">
        <f t="shared" si="58"/>
        <v>19379.2</v>
      </c>
      <c r="AF219" s="5">
        <f t="shared" si="59"/>
        <v>129.19466666666668</v>
      </c>
    </row>
    <row r="220" spans="1:32" x14ac:dyDescent="0.25">
      <c r="A220" s="207">
        <v>379</v>
      </c>
      <c r="B220" s="1" t="str">
        <f t="shared" si="45"/>
        <v>2.16, NT Plant-Folding 24R-20</v>
      </c>
      <c r="C220" s="142">
        <v>2.16</v>
      </c>
      <c r="D220" s="138" t="s">
        <v>424</v>
      </c>
      <c r="E220" s="138" t="s">
        <v>290</v>
      </c>
      <c r="F220" s="138" t="s">
        <v>58</v>
      </c>
      <c r="G220" s="138" t="str">
        <f t="shared" si="46"/>
        <v>NT Plant-Folding 24R-20</v>
      </c>
      <c r="H220" s="30">
        <v>197000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3735.5775179588654</v>
      </c>
      <c r="W220" s="9">
        <f t="shared" si="50"/>
        <v>24.903850119725771</v>
      </c>
      <c r="X220" s="8">
        <f t="shared" si="51"/>
        <v>11081.25</v>
      </c>
      <c r="Y220" s="7">
        <f t="shared" si="52"/>
        <v>73.875</v>
      </c>
      <c r="Z220" s="2">
        <f t="shared" si="53"/>
        <v>88650</v>
      </c>
      <c r="AA220" s="2">
        <f t="shared" si="54"/>
        <v>13543.75</v>
      </c>
      <c r="AB220" s="2">
        <f t="shared" si="55"/>
        <v>142825</v>
      </c>
      <c r="AC220" s="6">
        <f t="shared" si="56"/>
        <v>12854.25</v>
      </c>
      <c r="AD220" s="6">
        <f t="shared" si="57"/>
        <v>3427.8</v>
      </c>
      <c r="AE220" s="6">
        <f t="shared" si="58"/>
        <v>29825.8</v>
      </c>
      <c r="AF220" s="5">
        <f t="shared" si="59"/>
        <v>198.83866666666665</v>
      </c>
    </row>
    <row r="221" spans="1:32" x14ac:dyDescent="0.25">
      <c r="A221" s="207">
        <v>599</v>
      </c>
      <c r="B221" s="1" t="str">
        <f t="shared" si="45"/>
        <v>2.17, NT Plant-Folding 32R-15</v>
      </c>
      <c r="C221" s="142">
        <v>2.17</v>
      </c>
      <c r="D221" s="138" t="s">
        <v>424</v>
      </c>
      <c r="E221" s="138" t="s">
        <v>290</v>
      </c>
      <c r="F221" s="138" t="s">
        <v>57</v>
      </c>
      <c r="G221" s="138" t="str">
        <f t="shared" si="46"/>
        <v>NT Plant-Folding 32R-15</v>
      </c>
      <c r="H221" s="30">
        <v>207000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3925.2007422207375</v>
      </c>
      <c r="W221" s="9">
        <f t="shared" si="50"/>
        <v>26.16800494813825</v>
      </c>
      <c r="X221" s="8">
        <f t="shared" si="51"/>
        <v>11643.75</v>
      </c>
      <c r="Y221" s="7">
        <f t="shared" si="52"/>
        <v>77.625</v>
      </c>
      <c r="Z221" s="2">
        <f t="shared" si="53"/>
        <v>93150</v>
      </c>
      <c r="AA221" s="2">
        <f t="shared" si="54"/>
        <v>14231.25</v>
      </c>
      <c r="AB221" s="2">
        <f t="shared" si="55"/>
        <v>150075</v>
      </c>
      <c r="AC221" s="6">
        <f t="shared" si="56"/>
        <v>13506.75</v>
      </c>
      <c r="AD221" s="6">
        <f t="shared" si="57"/>
        <v>3601.8</v>
      </c>
      <c r="AE221" s="6">
        <f t="shared" si="58"/>
        <v>31339.8</v>
      </c>
      <c r="AF221" s="5">
        <f t="shared" si="59"/>
        <v>208.93199999999999</v>
      </c>
    </row>
    <row r="222" spans="1:32" x14ac:dyDescent="0.25">
      <c r="A222" s="207">
        <v>380</v>
      </c>
      <c r="B222" s="1" t="str">
        <f t="shared" si="45"/>
        <v>2.18, NT Plant-Folding 24R-30</v>
      </c>
      <c r="C222" s="142">
        <v>2.1800000000000002</v>
      </c>
      <c r="D222" s="138" t="s">
        <v>424</v>
      </c>
      <c r="E222" s="138" t="s">
        <v>290</v>
      </c>
      <c r="F222" s="138" t="s">
        <v>56</v>
      </c>
      <c r="G222" s="138" t="str">
        <f t="shared" si="46"/>
        <v>NT Plant-Folding 24R-30</v>
      </c>
      <c r="H222" s="30">
        <v>204000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3868.3137749421758</v>
      </c>
      <c r="W222" s="9">
        <f t="shared" si="50"/>
        <v>25.788758499614506</v>
      </c>
      <c r="X222" s="8">
        <f t="shared" si="51"/>
        <v>11475</v>
      </c>
      <c r="Y222" s="7">
        <f t="shared" si="52"/>
        <v>76.5</v>
      </c>
      <c r="Z222" s="2">
        <f t="shared" si="53"/>
        <v>91800</v>
      </c>
      <c r="AA222" s="2">
        <f t="shared" si="54"/>
        <v>14025</v>
      </c>
      <c r="AB222" s="2">
        <f t="shared" si="55"/>
        <v>147900</v>
      </c>
      <c r="AC222" s="6">
        <f t="shared" si="56"/>
        <v>13311</v>
      </c>
      <c r="AD222" s="6">
        <f t="shared" si="57"/>
        <v>3549.6</v>
      </c>
      <c r="AE222" s="6">
        <f t="shared" si="58"/>
        <v>30885.599999999999</v>
      </c>
      <c r="AF222" s="5">
        <f t="shared" si="59"/>
        <v>205.904</v>
      </c>
    </row>
    <row r="223" spans="1:32" x14ac:dyDescent="0.25">
      <c r="A223" s="207">
        <v>637</v>
      </c>
      <c r="B223" s="1" t="str">
        <f t="shared" si="45"/>
        <v>2.19, NT Plant-Folding 36R-20</v>
      </c>
      <c r="C223" s="142">
        <v>2.19</v>
      </c>
      <c r="D223" s="138" t="s">
        <v>424</v>
      </c>
      <c r="E223" s="138" t="s">
        <v>290</v>
      </c>
      <c r="F223" s="138" t="s">
        <v>55</v>
      </c>
      <c r="G223" s="138" t="str">
        <f t="shared" si="46"/>
        <v>NT Plant-Folding 36R-20</v>
      </c>
      <c r="H223" s="284">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x14ac:dyDescent="0.25">
      <c r="A224" s="207">
        <v>365</v>
      </c>
      <c r="B224" s="1" t="str">
        <f t="shared" si="45"/>
        <v>2.2, NT Plant-Rigid  4R-30</v>
      </c>
      <c r="C224" s="142">
        <v>2.2000000000000002</v>
      </c>
      <c r="D224" s="138" t="s">
        <v>424</v>
      </c>
      <c r="E224" s="138" t="s">
        <v>291</v>
      </c>
      <c r="F224" s="138" t="s">
        <v>48</v>
      </c>
      <c r="G224" s="138"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x14ac:dyDescent="0.25">
      <c r="A225" s="207">
        <v>130</v>
      </c>
      <c r="B225" s="1" t="str">
        <f t="shared" si="45"/>
        <v>2.21, NT Plant-Rigid  4R-36</v>
      </c>
      <c r="C225" s="142">
        <v>2.21</v>
      </c>
      <c r="D225" s="138" t="s">
        <v>424</v>
      </c>
      <c r="E225" s="138" t="s">
        <v>291</v>
      </c>
      <c r="F225" s="138" t="s">
        <v>195</v>
      </c>
      <c r="G225" s="138" t="str">
        <f t="shared" si="46"/>
        <v>NT Plant-Rigid  4R-36</v>
      </c>
      <c r="H225" s="30">
        <v>28600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542.32242138895208</v>
      </c>
      <c r="W225" s="9">
        <f t="shared" si="50"/>
        <v>3.6154828092596807</v>
      </c>
      <c r="X225" s="8">
        <f t="shared" si="51"/>
        <v>1608.75</v>
      </c>
      <c r="Y225" s="7">
        <f t="shared" si="52"/>
        <v>10.725</v>
      </c>
      <c r="Z225" s="2">
        <f t="shared" si="53"/>
        <v>12870</v>
      </c>
      <c r="AA225" s="2">
        <f t="shared" si="54"/>
        <v>1966.25</v>
      </c>
      <c r="AB225" s="2">
        <f t="shared" si="55"/>
        <v>20735</v>
      </c>
      <c r="AC225" s="6">
        <f t="shared" si="56"/>
        <v>1866.1499999999999</v>
      </c>
      <c r="AD225" s="6">
        <f t="shared" si="57"/>
        <v>497.64</v>
      </c>
      <c r="AE225" s="6">
        <f t="shared" si="58"/>
        <v>4330.04</v>
      </c>
      <c r="AF225" s="5">
        <f t="shared" si="59"/>
        <v>28.866933333333332</v>
      </c>
    </row>
    <row r="226" spans="1:32" x14ac:dyDescent="0.25">
      <c r="A226" s="207">
        <v>532</v>
      </c>
      <c r="B226" s="1" t="str">
        <f t="shared" si="45"/>
        <v>2.22, NT Plant-Rigid 11R-15</v>
      </c>
      <c r="C226" s="142">
        <v>2.2200000000000002</v>
      </c>
      <c r="D226" s="138" t="s">
        <v>424</v>
      </c>
      <c r="E226" s="138" t="s">
        <v>291</v>
      </c>
      <c r="F226" s="138" t="s">
        <v>54</v>
      </c>
      <c r="G226" s="138" t="str">
        <f t="shared" si="46"/>
        <v>NT Plant-Rigid 11R-15</v>
      </c>
      <c r="H226" s="30">
        <v>56500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1071.3712170795732</v>
      </c>
      <c r="W226" s="9">
        <f t="shared" si="50"/>
        <v>7.1424747805304882</v>
      </c>
      <c r="X226" s="8">
        <f t="shared" si="51"/>
        <v>3178.125</v>
      </c>
      <c r="Y226" s="7">
        <f t="shared" si="52"/>
        <v>21.1875</v>
      </c>
      <c r="Z226" s="2">
        <f t="shared" si="53"/>
        <v>25425</v>
      </c>
      <c r="AA226" s="2">
        <f t="shared" si="54"/>
        <v>3884.375</v>
      </c>
      <c r="AB226" s="2">
        <f t="shared" si="55"/>
        <v>40962.5</v>
      </c>
      <c r="AC226" s="6">
        <f t="shared" si="56"/>
        <v>3686.625</v>
      </c>
      <c r="AD226" s="6">
        <f t="shared" si="57"/>
        <v>983.1</v>
      </c>
      <c r="AE226" s="6">
        <f t="shared" si="58"/>
        <v>8554.1</v>
      </c>
      <c r="AF226" s="5">
        <f t="shared" si="59"/>
        <v>57.027333333333338</v>
      </c>
    </row>
    <row r="227" spans="1:32" x14ac:dyDescent="0.25">
      <c r="A227" s="207">
        <v>131</v>
      </c>
      <c r="B227" s="1" t="str">
        <f t="shared" si="45"/>
        <v>2.23, NT Plant-Rigid  6R-30</v>
      </c>
      <c r="C227" s="142">
        <v>2.23</v>
      </c>
      <c r="D227" s="138" t="s">
        <v>424</v>
      </c>
      <c r="E227" s="138" t="s">
        <v>291</v>
      </c>
      <c r="F227" s="138" t="s">
        <v>53</v>
      </c>
      <c r="G227" s="138" t="str">
        <f t="shared" si="46"/>
        <v>NT Plant-Rigid  6R-30</v>
      </c>
      <c r="H227" s="30">
        <v>37000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701.60592976892394</v>
      </c>
      <c r="W227" s="9">
        <f t="shared" si="50"/>
        <v>4.6773728651261592</v>
      </c>
      <c r="X227" s="8">
        <f t="shared" si="51"/>
        <v>2081.25</v>
      </c>
      <c r="Y227" s="7">
        <f t="shared" si="52"/>
        <v>13.875</v>
      </c>
      <c r="Z227" s="2">
        <f t="shared" si="53"/>
        <v>16650</v>
      </c>
      <c r="AA227" s="2">
        <f t="shared" si="54"/>
        <v>2543.75</v>
      </c>
      <c r="AB227" s="2">
        <f t="shared" si="55"/>
        <v>26825</v>
      </c>
      <c r="AC227" s="6">
        <f t="shared" si="56"/>
        <v>2414.25</v>
      </c>
      <c r="AD227" s="6">
        <f t="shared" si="57"/>
        <v>643.80000000000007</v>
      </c>
      <c r="AE227" s="6">
        <f t="shared" si="58"/>
        <v>5601.8</v>
      </c>
      <c r="AF227" s="5">
        <f t="shared" si="59"/>
        <v>37.345333333333336</v>
      </c>
    </row>
    <row r="228" spans="1:32" x14ac:dyDescent="0.25">
      <c r="A228" s="207">
        <v>132</v>
      </c>
      <c r="B228" s="1" t="str">
        <f t="shared" si="45"/>
        <v>2.24, NT Plant-Rigid  6R-36</v>
      </c>
      <c r="C228" s="142">
        <v>2.2400000000000002</v>
      </c>
      <c r="D228" s="138" t="s">
        <v>424</v>
      </c>
      <c r="E228" s="138" t="s">
        <v>291</v>
      </c>
      <c r="F228" s="138" t="s">
        <v>196</v>
      </c>
      <c r="G228" s="138" t="str">
        <f t="shared" si="46"/>
        <v>NT Plant-Rigid  6R-36</v>
      </c>
      <c r="H228" s="30">
        <v>36100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684.53983958535559</v>
      </c>
      <c r="W228" s="9">
        <f t="shared" si="50"/>
        <v>4.5635989305690376</v>
      </c>
      <c r="X228" s="8">
        <f t="shared" si="51"/>
        <v>2030.625</v>
      </c>
      <c r="Y228" s="7">
        <f t="shared" si="52"/>
        <v>13.5375</v>
      </c>
      <c r="Z228" s="2">
        <f t="shared" si="53"/>
        <v>16245</v>
      </c>
      <c r="AA228" s="2">
        <f t="shared" si="54"/>
        <v>2481.875</v>
      </c>
      <c r="AB228" s="2">
        <f t="shared" si="55"/>
        <v>26172.5</v>
      </c>
      <c r="AC228" s="6">
        <f t="shared" si="56"/>
        <v>2355.5250000000001</v>
      </c>
      <c r="AD228" s="6">
        <f t="shared" si="57"/>
        <v>628.14</v>
      </c>
      <c r="AE228" s="6">
        <f t="shared" si="58"/>
        <v>5465.54</v>
      </c>
      <c r="AF228" s="5">
        <f t="shared" si="59"/>
        <v>36.436933333333336</v>
      </c>
    </row>
    <row r="229" spans="1:32" x14ac:dyDescent="0.25">
      <c r="A229" s="207">
        <v>536</v>
      </c>
      <c r="B229" s="1" t="str">
        <f t="shared" si="45"/>
        <v>2.25, NT Plant-Rigid 11R-20</v>
      </c>
      <c r="C229" s="142">
        <v>2.25</v>
      </c>
      <c r="D229" s="138" t="s">
        <v>424</v>
      </c>
      <c r="E229" s="138" t="s">
        <v>291</v>
      </c>
      <c r="F229" s="138" t="s">
        <v>52</v>
      </c>
      <c r="G229" s="138" t="str">
        <f t="shared" si="46"/>
        <v>NT Plant-Rigid 11R-20</v>
      </c>
      <c r="H229" s="30">
        <v>55800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1058.0975913812422</v>
      </c>
      <c r="W229" s="9">
        <f t="shared" si="50"/>
        <v>7.0539839425416142</v>
      </c>
      <c r="X229" s="8">
        <f t="shared" si="51"/>
        <v>3138.75</v>
      </c>
      <c r="Y229" s="7">
        <f t="shared" si="52"/>
        <v>20.925000000000001</v>
      </c>
      <c r="Z229" s="2">
        <f t="shared" si="53"/>
        <v>25110</v>
      </c>
      <c r="AA229" s="2">
        <f t="shared" si="54"/>
        <v>3836.25</v>
      </c>
      <c r="AB229" s="2">
        <f t="shared" si="55"/>
        <v>40455</v>
      </c>
      <c r="AC229" s="6">
        <f t="shared" si="56"/>
        <v>3640.95</v>
      </c>
      <c r="AD229" s="6">
        <f t="shared" si="57"/>
        <v>970.92000000000007</v>
      </c>
      <c r="AE229" s="6">
        <f t="shared" si="58"/>
        <v>8448.119999999999</v>
      </c>
      <c r="AF229" s="5">
        <f t="shared" si="59"/>
        <v>56.320799999999991</v>
      </c>
    </row>
    <row r="230" spans="1:32" x14ac:dyDescent="0.25">
      <c r="A230" s="207">
        <v>600</v>
      </c>
      <c r="B230" s="1" t="str">
        <f t="shared" si="45"/>
        <v>2.26, NT Plant-Rigid 15R-15</v>
      </c>
      <c r="C230" s="142">
        <v>2.2599999999999998</v>
      </c>
      <c r="D230" s="138" t="s">
        <v>424</v>
      </c>
      <c r="E230" s="138" t="s">
        <v>291</v>
      </c>
      <c r="F230" s="138" t="s">
        <v>51</v>
      </c>
      <c r="G230" s="138" t="str">
        <f t="shared" si="46"/>
        <v>NT Plant-Rigid 15R-15</v>
      </c>
      <c r="H230" s="30">
        <v>72700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1378.5608403838048</v>
      </c>
      <c r="W230" s="9">
        <f t="shared" si="50"/>
        <v>9.1904056025586982</v>
      </c>
      <c r="X230" s="8">
        <f t="shared" si="51"/>
        <v>4089.375</v>
      </c>
      <c r="Y230" s="7">
        <f t="shared" si="52"/>
        <v>27.262499999999999</v>
      </c>
      <c r="Z230" s="2">
        <f t="shared" si="53"/>
        <v>32715</v>
      </c>
      <c r="AA230" s="2">
        <f t="shared" si="54"/>
        <v>4998.125</v>
      </c>
      <c r="AB230" s="2">
        <f t="shared" si="55"/>
        <v>52707.5</v>
      </c>
      <c r="AC230" s="6">
        <f t="shared" si="56"/>
        <v>4743.6750000000002</v>
      </c>
      <c r="AD230" s="6">
        <f t="shared" si="57"/>
        <v>1264.98</v>
      </c>
      <c r="AE230" s="6">
        <f t="shared" si="58"/>
        <v>11006.779999999999</v>
      </c>
      <c r="AF230" s="5">
        <f t="shared" si="59"/>
        <v>73.378533333333323</v>
      </c>
    </row>
    <row r="231" spans="1:32" x14ac:dyDescent="0.25">
      <c r="A231" s="207">
        <v>133</v>
      </c>
      <c r="B231" s="1" t="str">
        <f t="shared" si="45"/>
        <v>2.27, NT Plant-Rigid  8R-30</v>
      </c>
      <c r="C231" s="142">
        <v>2.27</v>
      </c>
      <c r="D231" s="138" t="s">
        <v>424</v>
      </c>
      <c r="E231" s="138" t="s">
        <v>291</v>
      </c>
      <c r="F231" s="138" t="s">
        <v>25</v>
      </c>
      <c r="G231" s="138" t="str">
        <f t="shared" si="46"/>
        <v>NT Plant-Rigid  8R-30</v>
      </c>
      <c r="H231" s="30">
        <v>47100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893.12538627341405</v>
      </c>
      <c r="W231" s="9">
        <f t="shared" si="50"/>
        <v>5.9541692418227603</v>
      </c>
      <c r="X231" s="8">
        <f t="shared" si="51"/>
        <v>2649.375</v>
      </c>
      <c r="Y231" s="7">
        <f t="shared" si="52"/>
        <v>17.662500000000001</v>
      </c>
      <c r="Z231" s="2">
        <f t="shared" si="53"/>
        <v>21195</v>
      </c>
      <c r="AA231" s="2">
        <f t="shared" si="54"/>
        <v>3238.125</v>
      </c>
      <c r="AB231" s="2">
        <f t="shared" si="55"/>
        <v>34147.5</v>
      </c>
      <c r="AC231" s="6">
        <f t="shared" si="56"/>
        <v>3073.2750000000001</v>
      </c>
      <c r="AD231" s="6">
        <f t="shared" si="57"/>
        <v>819.54</v>
      </c>
      <c r="AE231" s="6">
        <f t="shared" si="58"/>
        <v>7130.94</v>
      </c>
      <c r="AF231" s="5">
        <f t="shared" si="59"/>
        <v>47.5396</v>
      </c>
    </row>
    <row r="232" spans="1:32" x14ac:dyDescent="0.25">
      <c r="A232" s="207">
        <v>368</v>
      </c>
      <c r="B232" s="1" t="str">
        <f t="shared" si="45"/>
        <v>2.28, NT Plant-Rigid 12R-20</v>
      </c>
      <c r="C232" s="142">
        <v>2.2799999999999998</v>
      </c>
      <c r="D232" s="138" t="s">
        <v>424</v>
      </c>
      <c r="E232" s="138" t="s">
        <v>291</v>
      </c>
      <c r="F232" s="138" t="s">
        <v>50</v>
      </c>
      <c r="G232" s="138" t="str">
        <f t="shared" si="46"/>
        <v>NT Plant-Rigid 12R-20</v>
      </c>
      <c r="H232" s="30">
        <v>58400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1107.3996296893288</v>
      </c>
      <c r="W232" s="9">
        <f t="shared" si="50"/>
        <v>7.3826641979288583</v>
      </c>
      <c r="X232" s="8">
        <f t="shared" si="51"/>
        <v>3285</v>
      </c>
      <c r="Y232" s="7">
        <f t="shared" si="52"/>
        <v>21.9</v>
      </c>
      <c r="Z232" s="2">
        <f t="shared" si="53"/>
        <v>26280</v>
      </c>
      <c r="AA232" s="2">
        <f t="shared" si="54"/>
        <v>4015</v>
      </c>
      <c r="AB232" s="2">
        <f t="shared" si="55"/>
        <v>42340</v>
      </c>
      <c r="AC232" s="6">
        <f t="shared" si="56"/>
        <v>3810.6</v>
      </c>
      <c r="AD232" s="6">
        <f t="shared" si="57"/>
        <v>1016.16</v>
      </c>
      <c r="AE232" s="6">
        <f t="shared" si="58"/>
        <v>8841.76</v>
      </c>
      <c r="AF232" s="5">
        <f t="shared" si="59"/>
        <v>58.945066666666669</v>
      </c>
    </row>
    <row r="233" spans="1:32" x14ac:dyDescent="0.25">
      <c r="A233" s="207">
        <v>639</v>
      </c>
      <c r="B233" s="1" t="str">
        <f t="shared" si="45"/>
        <v>2.29, NT Plant-Rigid 13R-18/20</v>
      </c>
      <c r="C233" s="142">
        <v>2.29</v>
      </c>
      <c r="D233" s="138" t="s">
        <v>424</v>
      </c>
      <c r="E233" s="138" t="s">
        <v>291</v>
      </c>
      <c r="F233" s="138" t="s">
        <v>49</v>
      </c>
      <c r="G233" s="138" t="str">
        <f t="shared" si="46"/>
        <v>NT Plant-Rigid 13R-18/20</v>
      </c>
      <c r="H233" s="284">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x14ac:dyDescent="0.25">
      <c r="A234" s="207">
        <v>134</v>
      </c>
      <c r="B234" s="1" t="str">
        <f t="shared" si="45"/>
        <v>2.3, NT Plant-Rigid  8R-36</v>
      </c>
      <c r="C234" s="142">
        <v>2.2999999999999998</v>
      </c>
      <c r="D234" s="138" t="s">
        <v>424</v>
      </c>
      <c r="E234" s="138" t="s">
        <v>291</v>
      </c>
      <c r="F234" s="138" t="s">
        <v>193</v>
      </c>
      <c r="G234" s="138" t="str">
        <f t="shared" si="46"/>
        <v>NT Plant-Rigid  8R-36</v>
      </c>
      <c r="H234" s="30">
        <v>45000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853.30450917842109</v>
      </c>
      <c r="W234" s="9">
        <f t="shared" si="50"/>
        <v>5.6886967278561409</v>
      </c>
      <c r="X234" s="8">
        <f t="shared" si="51"/>
        <v>2531.25</v>
      </c>
      <c r="Y234" s="7">
        <f t="shared" si="52"/>
        <v>16.875</v>
      </c>
      <c r="Z234" s="2">
        <f t="shared" si="53"/>
        <v>20250</v>
      </c>
      <c r="AA234" s="2">
        <f t="shared" si="54"/>
        <v>3093.75</v>
      </c>
      <c r="AB234" s="2">
        <f t="shared" si="55"/>
        <v>32625</v>
      </c>
      <c r="AC234" s="6">
        <f t="shared" si="56"/>
        <v>2936.25</v>
      </c>
      <c r="AD234" s="6">
        <f t="shared" si="57"/>
        <v>783</v>
      </c>
      <c r="AE234" s="6">
        <f t="shared" si="58"/>
        <v>6813</v>
      </c>
      <c r="AF234" s="5">
        <f t="shared" si="59"/>
        <v>45.42</v>
      </c>
    </row>
    <row r="235" spans="1:32" x14ac:dyDescent="0.25">
      <c r="A235" s="207">
        <v>135</v>
      </c>
      <c r="B235" s="1" t="str">
        <f t="shared" si="45"/>
        <v>2.31, NT Plant-Rigid 10R-30</v>
      </c>
      <c r="C235" s="142">
        <v>2.31</v>
      </c>
      <c r="D235" s="138" t="s">
        <v>424</v>
      </c>
      <c r="E235" s="138" t="s">
        <v>291</v>
      </c>
      <c r="F235" s="138" t="s">
        <v>24</v>
      </c>
      <c r="G235" s="138" t="str">
        <f t="shared" si="46"/>
        <v>NT Plant-Rigid 10R-30</v>
      </c>
      <c r="H235" s="284">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x14ac:dyDescent="0.25">
      <c r="A236" s="207">
        <v>369</v>
      </c>
      <c r="B236" s="1" t="str">
        <f t="shared" si="45"/>
        <v>2.32, NT Plant-Rigid 12R-30</v>
      </c>
      <c r="C236" s="142">
        <v>2.3199999999999998</v>
      </c>
      <c r="D236" s="138" t="s">
        <v>424</v>
      </c>
      <c r="E236" s="138" t="s">
        <v>291</v>
      </c>
      <c r="F236" s="138" t="s">
        <v>6</v>
      </c>
      <c r="G236" s="138" t="str">
        <f t="shared" si="46"/>
        <v>NT Plant-Rigid 12R-30</v>
      </c>
      <c r="H236" s="30">
        <v>73500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1393.7306983247545</v>
      </c>
      <c r="W236" s="9">
        <f t="shared" si="50"/>
        <v>9.2915379888316973</v>
      </c>
      <c r="X236" s="8">
        <f t="shared" si="51"/>
        <v>4134.375</v>
      </c>
      <c r="Y236" s="7">
        <f t="shared" si="52"/>
        <v>27.5625</v>
      </c>
      <c r="Z236" s="2">
        <f t="shared" si="53"/>
        <v>33075</v>
      </c>
      <c r="AA236" s="2">
        <f t="shared" si="54"/>
        <v>5053.125</v>
      </c>
      <c r="AB236" s="2">
        <f t="shared" si="55"/>
        <v>53287.5</v>
      </c>
      <c r="AC236" s="6">
        <f t="shared" si="56"/>
        <v>4795.875</v>
      </c>
      <c r="AD236" s="6">
        <f t="shared" si="57"/>
        <v>1278.9000000000001</v>
      </c>
      <c r="AE236" s="6">
        <f t="shared" si="58"/>
        <v>11127.9</v>
      </c>
      <c r="AF236" s="5">
        <f t="shared" si="59"/>
        <v>74.185999999999993</v>
      </c>
    </row>
    <row r="237" spans="1:32" x14ac:dyDescent="0.25">
      <c r="A237" s="207">
        <v>640</v>
      </c>
      <c r="B237" s="1" t="str">
        <f t="shared" si="45"/>
        <v>2.33, NT Plant-Twin Row 8R-36</v>
      </c>
      <c r="C237" s="142">
        <v>2.33</v>
      </c>
      <c r="D237" s="138" t="s">
        <v>424</v>
      </c>
      <c r="E237" s="138" t="s">
        <v>292</v>
      </c>
      <c r="F237" s="138" t="s">
        <v>199</v>
      </c>
      <c r="G237" s="138" t="str">
        <f t="shared" si="46"/>
        <v>NT Plant-Twin Row 8R-36</v>
      </c>
      <c r="H237" s="30">
        <v>128000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2427.1772705519534</v>
      </c>
      <c r="W237" s="9">
        <f t="shared" si="50"/>
        <v>16.181181803679689</v>
      </c>
      <c r="X237" s="8">
        <f t="shared" si="51"/>
        <v>7200</v>
      </c>
      <c r="Y237" s="7">
        <f t="shared" si="52"/>
        <v>48</v>
      </c>
      <c r="Z237" s="2">
        <f t="shared" si="53"/>
        <v>57600</v>
      </c>
      <c r="AA237" s="2">
        <f t="shared" si="54"/>
        <v>8800</v>
      </c>
      <c r="AB237" s="2">
        <f t="shared" si="55"/>
        <v>92800</v>
      </c>
      <c r="AC237" s="6">
        <f t="shared" si="56"/>
        <v>8352</v>
      </c>
      <c r="AD237" s="6">
        <f t="shared" si="57"/>
        <v>2227.2000000000003</v>
      </c>
      <c r="AE237" s="6">
        <f t="shared" si="58"/>
        <v>19379.2</v>
      </c>
      <c r="AF237" s="5">
        <f t="shared" si="59"/>
        <v>129.19466666666668</v>
      </c>
    </row>
    <row r="238" spans="1:32" x14ac:dyDescent="0.25">
      <c r="A238" s="207">
        <v>635</v>
      </c>
      <c r="B238" s="1" t="str">
        <f t="shared" si="45"/>
        <v>2.34, NT Plant-Twin Row 12R-36</v>
      </c>
      <c r="C238" s="142">
        <v>2.34</v>
      </c>
      <c r="D238" s="138" t="s">
        <v>424</v>
      </c>
      <c r="E238" s="138" t="s">
        <v>292</v>
      </c>
      <c r="F238" s="138" t="s">
        <v>194</v>
      </c>
      <c r="G238" s="138" t="str">
        <f t="shared" si="46"/>
        <v>NT Plant-Twin Row 12R-36</v>
      </c>
      <c r="H238" s="284">
        <v>160000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3033.9715881899415</v>
      </c>
      <c r="W238" s="9">
        <f t="shared" si="50"/>
        <v>20.226477254599612</v>
      </c>
      <c r="X238" s="8">
        <f t="shared" si="51"/>
        <v>9000</v>
      </c>
      <c r="Y238" s="7">
        <f t="shared" si="52"/>
        <v>60</v>
      </c>
      <c r="Z238" s="2">
        <f t="shared" si="53"/>
        <v>72000</v>
      </c>
      <c r="AA238" s="2">
        <f t="shared" si="54"/>
        <v>11000</v>
      </c>
      <c r="AB238" s="2">
        <f t="shared" si="55"/>
        <v>116000</v>
      </c>
      <c r="AC238" s="6">
        <f t="shared" si="56"/>
        <v>10440</v>
      </c>
      <c r="AD238" s="6">
        <f t="shared" si="57"/>
        <v>2784</v>
      </c>
      <c r="AE238" s="6">
        <f t="shared" si="58"/>
        <v>24224</v>
      </c>
      <c r="AF238" s="5">
        <f t="shared" si="59"/>
        <v>161.49333333333334</v>
      </c>
    </row>
    <row r="239" spans="1:32" x14ac:dyDescent="0.25">
      <c r="A239" s="207">
        <v>694</v>
      </c>
      <c r="B239" s="1" t="str">
        <f t="shared" si="45"/>
        <v>2.35, One Trip Plow 4R-36</v>
      </c>
      <c r="C239" s="142">
        <v>2.35</v>
      </c>
      <c r="D239" s="138" t="s">
        <v>424</v>
      </c>
      <c r="E239" s="138" t="s">
        <v>293</v>
      </c>
      <c r="F239" s="138" t="s">
        <v>73</v>
      </c>
      <c r="G239" s="138" t="str">
        <f t="shared" si="46"/>
        <v>One Trip Plow 4R-36</v>
      </c>
      <c r="H239" s="30">
        <v>25000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474.0580606546784</v>
      </c>
      <c r="W239" s="9">
        <f t="shared" si="50"/>
        <v>3.1603870710311894</v>
      </c>
      <c r="X239" s="8">
        <f t="shared" si="51"/>
        <v>1750</v>
      </c>
      <c r="Y239" s="7">
        <f t="shared" si="52"/>
        <v>11.666666666666666</v>
      </c>
      <c r="Z239" s="2">
        <f t="shared" si="53"/>
        <v>7500</v>
      </c>
      <c r="AA239" s="2">
        <f t="shared" si="54"/>
        <v>1750</v>
      </c>
      <c r="AB239" s="2">
        <f t="shared" si="55"/>
        <v>16250</v>
      </c>
      <c r="AC239" s="6">
        <f t="shared" si="56"/>
        <v>1462.5</v>
      </c>
      <c r="AD239" s="6">
        <f t="shared" si="57"/>
        <v>390</v>
      </c>
      <c r="AE239" s="6">
        <f t="shared" si="58"/>
        <v>3602.5</v>
      </c>
      <c r="AF239" s="5">
        <f t="shared" si="59"/>
        <v>24.016666666666666</v>
      </c>
    </row>
    <row r="240" spans="1:32" x14ac:dyDescent="0.25">
      <c r="A240" s="207">
        <v>695</v>
      </c>
      <c r="B240" s="1" t="str">
        <f t="shared" si="45"/>
        <v>2.36, One Trip Plow 6R-36</v>
      </c>
      <c r="C240" s="142">
        <v>2.36</v>
      </c>
      <c r="D240" s="138" t="s">
        <v>424</v>
      </c>
      <c r="E240" s="138" t="s">
        <v>293</v>
      </c>
      <c r="F240" s="138" t="s">
        <v>200</v>
      </c>
      <c r="G240" s="138" t="str">
        <f t="shared" si="46"/>
        <v>One Trip Plow 6R-36</v>
      </c>
      <c r="H240" s="30">
        <v>30000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568.86967278561417</v>
      </c>
      <c r="W240" s="9">
        <f t="shared" si="50"/>
        <v>3.7924644852374279</v>
      </c>
      <c r="X240" s="8">
        <f t="shared" si="51"/>
        <v>2100</v>
      </c>
      <c r="Y240" s="7">
        <f t="shared" si="52"/>
        <v>14</v>
      </c>
      <c r="Z240" s="2">
        <f t="shared" si="53"/>
        <v>9000</v>
      </c>
      <c r="AA240" s="2">
        <f t="shared" si="54"/>
        <v>2100</v>
      </c>
      <c r="AB240" s="2">
        <f t="shared" si="55"/>
        <v>19500</v>
      </c>
      <c r="AC240" s="6">
        <f t="shared" si="56"/>
        <v>1755</v>
      </c>
      <c r="AD240" s="6">
        <f t="shared" si="57"/>
        <v>468</v>
      </c>
      <c r="AE240" s="6">
        <f t="shared" si="58"/>
        <v>4323</v>
      </c>
      <c r="AF240" s="5">
        <f t="shared" si="59"/>
        <v>28.82</v>
      </c>
    </row>
    <row r="241" spans="1:32" x14ac:dyDescent="0.25">
      <c r="A241" s="207">
        <v>696</v>
      </c>
      <c r="B241" s="1" t="str">
        <f t="shared" si="45"/>
        <v>2.37, One Trip Plow 8R-36</v>
      </c>
      <c r="C241" s="142">
        <v>2.37</v>
      </c>
      <c r="D241" s="138" t="s">
        <v>424</v>
      </c>
      <c r="E241" s="138" t="s">
        <v>293</v>
      </c>
      <c r="F241" s="138" t="s">
        <v>199</v>
      </c>
      <c r="G241" s="138" t="str">
        <f t="shared" si="46"/>
        <v>One Trip Plow 8R-36</v>
      </c>
      <c r="H241" s="30">
        <v>36000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682.64360734273691</v>
      </c>
      <c r="W241" s="9">
        <f t="shared" si="50"/>
        <v>4.5509573822849125</v>
      </c>
      <c r="X241" s="8">
        <f t="shared" si="51"/>
        <v>2520</v>
      </c>
      <c r="Y241" s="7">
        <f t="shared" si="52"/>
        <v>16.8</v>
      </c>
      <c r="Z241" s="2">
        <f t="shared" si="53"/>
        <v>10800</v>
      </c>
      <c r="AA241" s="2">
        <f t="shared" si="54"/>
        <v>2520</v>
      </c>
      <c r="AB241" s="2">
        <f t="shared" si="55"/>
        <v>23400</v>
      </c>
      <c r="AC241" s="6">
        <f t="shared" si="56"/>
        <v>2106</v>
      </c>
      <c r="AD241" s="6">
        <f t="shared" si="57"/>
        <v>561.6</v>
      </c>
      <c r="AE241" s="6">
        <f t="shared" si="58"/>
        <v>5187.6000000000004</v>
      </c>
      <c r="AF241" s="5">
        <f t="shared" si="59"/>
        <v>34.584000000000003</v>
      </c>
    </row>
    <row r="242" spans="1:32" x14ac:dyDescent="0.25">
      <c r="A242" s="207">
        <v>567</v>
      </c>
      <c r="B242" s="1" t="str">
        <f t="shared" si="45"/>
        <v>2.38, Peanut Plant &amp; Pre Fold. 12R-36</v>
      </c>
      <c r="C242" s="142">
        <v>2.38</v>
      </c>
      <c r="D242" s="138" t="s">
        <v>424</v>
      </c>
      <c r="E242" s="138" t="s">
        <v>294</v>
      </c>
      <c r="F242" s="138" t="s">
        <v>194</v>
      </c>
      <c r="G242" s="138" t="str">
        <f t="shared" si="46"/>
        <v>Peanut Plant &amp; Pre Fold. 12R-36</v>
      </c>
      <c r="H242" s="190">
        <v>92700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1757.8072889075474</v>
      </c>
      <c r="W242" s="9">
        <f t="shared" si="50"/>
        <v>11.71871525938365</v>
      </c>
      <c r="X242" s="8">
        <f t="shared" si="51"/>
        <v>5214.375</v>
      </c>
      <c r="Y242" s="7">
        <f t="shared" si="52"/>
        <v>34.762500000000003</v>
      </c>
      <c r="Z242" s="2">
        <f t="shared" si="53"/>
        <v>41715</v>
      </c>
      <c r="AA242" s="2">
        <f t="shared" si="54"/>
        <v>6373.125</v>
      </c>
      <c r="AB242" s="2">
        <f t="shared" si="55"/>
        <v>67207.5</v>
      </c>
      <c r="AC242" s="6">
        <f t="shared" si="56"/>
        <v>6048.6750000000002</v>
      </c>
      <c r="AD242" s="6">
        <f t="shared" si="57"/>
        <v>1612.98</v>
      </c>
      <c r="AE242" s="6">
        <f t="shared" si="58"/>
        <v>14034.779999999999</v>
      </c>
      <c r="AF242" s="5">
        <f t="shared" si="59"/>
        <v>93.56519999999999</v>
      </c>
    </row>
    <row r="243" spans="1:32" x14ac:dyDescent="0.25">
      <c r="A243" s="207">
        <v>568</v>
      </c>
      <c r="B243" s="1" t="str">
        <f t="shared" si="45"/>
        <v>2.39, Peanut Plant &amp; Pre Rigid  8R-30</v>
      </c>
      <c r="C243" s="142">
        <v>2.39</v>
      </c>
      <c r="D243" s="138" t="s">
        <v>424</v>
      </c>
      <c r="E243" s="138" t="s">
        <v>295</v>
      </c>
      <c r="F243" s="138" t="s">
        <v>25</v>
      </c>
      <c r="G243" s="138" t="str">
        <f t="shared" si="46"/>
        <v>Peanut Plant &amp; Pre Rigid  8R-30</v>
      </c>
      <c r="H243" s="190">
        <v>47800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906.39901197174504</v>
      </c>
      <c r="W243" s="9">
        <f t="shared" si="50"/>
        <v>6.0426600798116334</v>
      </c>
      <c r="X243" s="8">
        <f t="shared" si="51"/>
        <v>2688.75</v>
      </c>
      <c r="Y243" s="7">
        <f t="shared" si="52"/>
        <v>17.925000000000001</v>
      </c>
      <c r="Z243" s="2">
        <f t="shared" si="53"/>
        <v>21510</v>
      </c>
      <c r="AA243" s="2">
        <f t="shared" si="54"/>
        <v>3286.25</v>
      </c>
      <c r="AB243" s="2">
        <f t="shared" si="55"/>
        <v>34655</v>
      </c>
      <c r="AC243" s="6">
        <f t="shared" si="56"/>
        <v>3118.95</v>
      </c>
      <c r="AD243" s="6">
        <f t="shared" si="57"/>
        <v>831.72</v>
      </c>
      <c r="AE243" s="6">
        <f t="shared" si="58"/>
        <v>7236.92</v>
      </c>
      <c r="AF243" s="5">
        <f t="shared" si="59"/>
        <v>48.246133333333333</v>
      </c>
    </row>
    <row r="244" spans="1:32" x14ac:dyDescent="0.25">
      <c r="A244" s="207">
        <v>569</v>
      </c>
      <c r="B244" s="1" t="str">
        <f t="shared" si="45"/>
        <v>2.4, Peanut Plant &amp; Pre Rigid  8R-36</v>
      </c>
      <c r="C244" s="142">
        <v>2.4</v>
      </c>
      <c r="D244" s="138" t="s">
        <v>424</v>
      </c>
      <c r="E244" s="138" t="s">
        <v>295</v>
      </c>
      <c r="F244" s="138" t="s">
        <v>193</v>
      </c>
      <c r="G244" s="138" t="str">
        <f t="shared" si="46"/>
        <v>Peanut Plant &amp; Pre Rigid  8R-36</v>
      </c>
      <c r="H244" s="190">
        <v>45700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866.57813487675207</v>
      </c>
      <c r="W244" s="9">
        <f t="shared" si="50"/>
        <v>5.777187565845014</v>
      </c>
      <c r="X244" s="8">
        <f t="shared" si="51"/>
        <v>2570.625</v>
      </c>
      <c r="Y244" s="7">
        <f t="shared" si="52"/>
        <v>17.137499999999999</v>
      </c>
      <c r="Z244" s="2">
        <f t="shared" si="53"/>
        <v>20565</v>
      </c>
      <c r="AA244" s="2">
        <f t="shared" si="54"/>
        <v>3141.875</v>
      </c>
      <c r="AB244" s="2">
        <f t="shared" si="55"/>
        <v>33132.5</v>
      </c>
      <c r="AC244" s="6">
        <f t="shared" si="56"/>
        <v>2981.9249999999997</v>
      </c>
      <c r="AD244" s="6">
        <f t="shared" si="57"/>
        <v>795.18000000000006</v>
      </c>
      <c r="AE244" s="6">
        <f t="shared" si="58"/>
        <v>6918.98</v>
      </c>
      <c r="AF244" s="5">
        <f t="shared" si="59"/>
        <v>46.126533333333327</v>
      </c>
    </row>
    <row r="245" spans="1:32" x14ac:dyDescent="0.25">
      <c r="A245" s="207">
        <v>165</v>
      </c>
      <c r="B245" s="1" t="str">
        <f t="shared" si="45"/>
        <v>2.41, Pipe Spool 160 ac 1/4m roll</v>
      </c>
      <c r="C245" s="142">
        <v>2.41</v>
      </c>
      <c r="D245" s="138" t="s">
        <v>424</v>
      </c>
      <c r="E245" s="138" t="s">
        <v>296</v>
      </c>
      <c r="F245" s="138" t="s">
        <v>64</v>
      </c>
      <c r="G245" s="138" t="str">
        <f t="shared" si="46"/>
        <v>Pipe Spool 160 ac 1/4m roll</v>
      </c>
      <c r="H245" s="211">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x14ac:dyDescent="0.25">
      <c r="A246" s="207">
        <v>144</v>
      </c>
      <c r="B246" s="1" t="str">
        <f t="shared" si="45"/>
        <v>2.42, Pipe Trailer 1m/160a 30'</v>
      </c>
      <c r="C246" s="142">
        <v>2.42</v>
      </c>
      <c r="D246" s="138" t="s">
        <v>424</v>
      </c>
      <c r="E246" s="138" t="s">
        <v>297</v>
      </c>
      <c r="F246" s="138" t="s">
        <v>44</v>
      </c>
      <c r="G246" s="138" t="str">
        <f t="shared" si="46"/>
        <v>Pipe Trailer 1m/160a 30'</v>
      </c>
      <c r="H246" s="211">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x14ac:dyDescent="0.25">
      <c r="A247" s="207">
        <v>332</v>
      </c>
      <c r="B247" s="1" t="str">
        <f t="shared" si="45"/>
        <v>2.43, Plant - Folding 12R-20</v>
      </c>
      <c r="C247" s="142">
        <v>2.4300000000000002</v>
      </c>
      <c r="D247" s="138" t="s">
        <v>424</v>
      </c>
      <c r="E247" s="138" t="s">
        <v>298</v>
      </c>
      <c r="F247" s="138" t="s">
        <v>50</v>
      </c>
      <c r="G247" s="138"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x14ac:dyDescent="0.25">
      <c r="A248" s="207">
        <v>334</v>
      </c>
      <c r="B248" s="1" t="str">
        <f t="shared" si="45"/>
        <v>2.44, Plant - Folding  8R-36</v>
      </c>
      <c r="C248" s="142">
        <v>2.44</v>
      </c>
      <c r="D248" s="138" t="s">
        <v>424</v>
      </c>
      <c r="E248" s="138" t="s">
        <v>298</v>
      </c>
      <c r="F248" s="138" t="s">
        <v>193</v>
      </c>
      <c r="G248" s="138" t="str">
        <f t="shared" si="46"/>
        <v>Plant - Folding  8R-36</v>
      </c>
      <c r="H248" s="30">
        <v>53700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1018.2767142862493</v>
      </c>
      <c r="W248" s="9">
        <f t="shared" si="50"/>
        <v>6.7885114285749957</v>
      </c>
      <c r="X248" s="8">
        <f t="shared" si="51"/>
        <v>3020.625</v>
      </c>
      <c r="Y248" s="7">
        <f t="shared" si="52"/>
        <v>20.137499999999999</v>
      </c>
      <c r="Z248" s="2">
        <f t="shared" si="53"/>
        <v>24165</v>
      </c>
      <c r="AA248" s="2">
        <f t="shared" si="54"/>
        <v>3691.875</v>
      </c>
      <c r="AB248" s="2">
        <f t="shared" si="55"/>
        <v>38932.5</v>
      </c>
      <c r="AC248" s="6">
        <f t="shared" si="56"/>
        <v>3503.9249999999997</v>
      </c>
      <c r="AD248" s="6">
        <f t="shared" si="57"/>
        <v>934.38</v>
      </c>
      <c r="AE248" s="6">
        <f t="shared" si="58"/>
        <v>8130.1799999999994</v>
      </c>
      <c r="AF248" s="5">
        <f t="shared" si="59"/>
        <v>54.201199999999993</v>
      </c>
    </row>
    <row r="249" spans="1:32" x14ac:dyDescent="0.25">
      <c r="A249" s="207">
        <v>353</v>
      </c>
      <c r="B249" s="1" t="str">
        <f t="shared" si="45"/>
        <v>2.45, Plant - Folding 23R-15</v>
      </c>
      <c r="C249" s="142">
        <v>2.4500000000000002</v>
      </c>
      <c r="D249" s="138" t="s">
        <v>424</v>
      </c>
      <c r="E249" s="138" t="s">
        <v>298</v>
      </c>
      <c r="F249" s="138" t="s">
        <v>62</v>
      </c>
      <c r="G249" s="138" t="str">
        <f t="shared" si="46"/>
        <v>Plant - Folding 23R-15</v>
      </c>
      <c r="H249" s="30">
        <v>157000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2977.0846209113802</v>
      </c>
      <c r="W249" s="9">
        <f t="shared" si="50"/>
        <v>19.847230806075867</v>
      </c>
      <c r="X249" s="8">
        <f t="shared" si="51"/>
        <v>8831.25</v>
      </c>
      <c r="Y249" s="7">
        <f t="shared" si="52"/>
        <v>58.875</v>
      </c>
      <c r="Z249" s="2">
        <f t="shared" si="53"/>
        <v>70650</v>
      </c>
      <c r="AA249" s="2">
        <f t="shared" si="54"/>
        <v>10793.75</v>
      </c>
      <c r="AB249" s="2">
        <f t="shared" si="55"/>
        <v>113825</v>
      </c>
      <c r="AC249" s="6">
        <f t="shared" si="56"/>
        <v>10244.25</v>
      </c>
      <c r="AD249" s="6">
        <f t="shared" si="57"/>
        <v>2731.8</v>
      </c>
      <c r="AE249" s="6">
        <f t="shared" si="58"/>
        <v>23769.8</v>
      </c>
      <c r="AF249" s="5">
        <f t="shared" si="59"/>
        <v>158.46533333333332</v>
      </c>
    </row>
    <row r="250" spans="1:32" x14ac:dyDescent="0.25">
      <c r="A250" s="207">
        <v>337</v>
      </c>
      <c r="B250" s="1" t="str">
        <f t="shared" si="45"/>
        <v>2.46, Plant - Folding 12R-30</v>
      </c>
      <c r="C250" s="142">
        <v>2.46</v>
      </c>
      <c r="D250" s="138" t="s">
        <v>424</v>
      </c>
      <c r="E250" s="138" t="s">
        <v>298</v>
      </c>
      <c r="F250" s="138" t="s">
        <v>6</v>
      </c>
      <c r="G250" s="138" t="str">
        <f t="shared" si="46"/>
        <v>Plant - Folding 12R-30</v>
      </c>
      <c r="H250" s="30">
        <v>71700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1359.5985179576176</v>
      </c>
      <c r="W250" s="9">
        <f t="shared" si="50"/>
        <v>9.0639901197174506</v>
      </c>
      <c r="X250" s="8">
        <f t="shared" si="51"/>
        <v>4033.125</v>
      </c>
      <c r="Y250" s="7">
        <f t="shared" si="52"/>
        <v>26.887499999999999</v>
      </c>
      <c r="Z250" s="2">
        <f t="shared" si="53"/>
        <v>32265</v>
      </c>
      <c r="AA250" s="2">
        <f t="shared" si="54"/>
        <v>4929.375</v>
      </c>
      <c r="AB250" s="2">
        <f t="shared" si="55"/>
        <v>51982.5</v>
      </c>
      <c r="AC250" s="6">
        <f t="shared" si="56"/>
        <v>4678.4250000000002</v>
      </c>
      <c r="AD250" s="6">
        <f t="shared" si="57"/>
        <v>1247.58</v>
      </c>
      <c r="AE250" s="6">
        <f t="shared" si="58"/>
        <v>10855.38</v>
      </c>
      <c r="AF250" s="5">
        <f t="shared" si="59"/>
        <v>72.369199999999992</v>
      </c>
    </row>
    <row r="251" spans="1:32" x14ac:dyDescent="0.25">
      <c r="A251" s="207">
        <v>546</v>
      </c>
      <c r="B251" s="1" t="str">
        <f t="shared" si="45"/>
        <v>2.47, Plant - Folding 24R-15</v>
      </c>
      <c r="C251" s="142">
        <v>2.4700000000000002</v>
      </c>
      <c r="D251" s="138" t="s">
        <v>424</v>
      </c>
      <c r="E251" s="138" t="s">
        <v>298</v>
      </c>
      <c r="F251" s="138" t="s">
        <v>61</v>
      </c>
      <c r="G251" s="138" t="str">
        <f t="shared" si="46"/>
        <v>Plant - Folding 24R-15</v>
      </c>
      <c r="H251" s="284">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x14ac:dyDescent="0.25">
      <c r="A252" s="207">
        <v>333</v>
      </c>
      <c r="B252" s="1" t="str">
        <f t="shared" si="45"/>
        <v>2.48, Plant - Folding  8R-36 2x1</v>
      </c>
      <c r="C252" s="142">
        <v>2.48</v>
      </c>
      <c r="D252" s="138" t="s">
        <v>424</v>
      </c>
      <c r="E252" s="138" t="s">
        <v>298</v>
      </c>
      <c r="F252" s="138" t="s">
        <v>197</v>
      </c>
      <c r="G252" s="138" t="str">
        <f t="shared" si="46"/>
        <v>Plant - Folding  8R-36 2x1</v>
      </c>
      <c r="H252" s="30">
        <v>83400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1581.457690344007</v>
      </c>
      <c r="W252" s="9">
        <f t="shared" si="50"/>
        <v>10.543051268960047</v>
      </c>
      <c r="X252" s="8">
        <f t="shared" si="51"/>
        <v>4691.25</v>
      </c>
      <c r="Y252" s="7">
        <f t="shared" si="52"/>
        <v>31.274999999999999</v>
      </c>
      <c r="Z252" s="2">
        <f t="shared" si="53"/>
        <v>37530</v>
      </c>
      <c r="AA252" s="2">
        <f t="shared" si="54"/>
        <v>5733.75</v>
      </c>
      <c r="AB252" s="2">
        <f t="shared" si="55"/>
        <v>60465</v>
      </c>
      <c r="AC252" s="6">
        <f t="shared" si="56"/>
        <v>5441.8499999999995</v>
      </c>
      <c r="AD252" s="6">
        <f t="shared" si="57"/>
        <v>1451.16</v>
      </c>
      <c r="AE252" s="6">
        <f t="shared" si="58"/>
        <v>12626.759999999998</v>
      </c>
      <c r="AF252" s="5">
        <f t="shared" si="59"/>
        <v>84.178399999999996</v>
      </c>
    </row>
    <row r="253" spans="1:32" x14ac:dyDescent="0.25">
      <c r="A253" s="207">
        <v>260</v>
      </c>
      <c r="B253" s="1" t="str">
        <f t="shared" si="45"/>
        <v>2.49, Plant - Folding 12R-36</v>
      </c>
      <c r="C253" s="142">
        <v>2.4900000000000002</v>
      </c>
      <c r="D253" s="138" t="s">
        <v>424</v>
      </c>
      <c r="E253" s="138" t="s">
        <v>298</v>
      </c>
      <c r="F253" s="138" t="s">
        <v>194</v>
      </c>
      <c r="G253" s="138" t="str">
        <f t="shared" si="46"/>
        <v>Plant - Folding 12R-36</v>
      </c>
      <c r="H253" s="30">
        <v>83400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1581.457690344007</v>
      </c>
      <c r="W253" s="9">
        <f t="shared" si="50"/>
        <v>10.543051268960047</v>
      </c>
      <c r="X253" s="8">
        <f t="shared" si="51"/>
        <v>4691.25</v>
      </c>
      <c r="Y253" s="7">
        <f t="shared" si="52"/>
        <v>31.274999999999999</v>
      </c>
      <c r="Z253" s="2">
        <f t="shared" si="53"/>
        <v>37530</v>
      </c>
      <c r="AA253" s="2">
        <f t="shared" si="54"/>
        <v>5733.75</v>
      </c>
      <c r="AB253" s="2">
        <f t="shared" si="55"/>
        <v>60465</v>
      </c>
      <c r="AC253" s="6">
        <f t="shared" si="56"/>
        <v>5441.8499999999995</v>
      </c>
      <c r="AD253" s="6">
        <f t="shared" si="57"/>
        <v>1451.16</v>
      </c>
      <c r="AE253" s="6">
        <f t="shared" si="58"/>
        <v>12626.759999999998</v>
      </c>
      <c r="AF253" s="5">
        <f t="shared" si="59"/>
        <v>84.178399999999996</v>
      </c>
    </row>
    <row r="254" spans="1:32" x14ac:dyDescent="0.25">
      <c r="A254" s="207">
        <v>550</v>
      </c>
      <c r="B254" s="1" t="str">
        <f t="shared" si="45"/>
        <v>2.5, Plant - Folding 31R-15</v>
      </c>
      <c r="C254" s="142">
        <v>2.5</v>
      </c>
      <c r="D254" s="138" t="s">
        <v>424</v>
      </c>
      <c r="E254" s="138" t="s">
        <v>298</v>
      </c>
      <c r="F254" s="138" t="s">
        <v>60</v>
      </c>
      <c r="G254" s="138" t="str">
        <f t="shared" si="46"/>
        <v>Plant - Folding 31R-15</v>
      </c>
      <c r="H254" s="30">
        <v>187000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3545.9542936969942</v>
      </c>
      <c r="W254" s="9">
        <f t="shared" si="50"/>
        <v>23.639695291313295</v>
      </c>
      <c r="X254" s="8">
        <f t="shared" si="51"/>
        <v>10518.75</v>
      </c>
      <c r="Y254" s="7">
        <f t="shared" si="52"/>
        <v>70.125</v>
      </c>
      <c r="Z254" s="2">
        <f t="shared" si="53"/>
        <v>84150</v>
      </c>
      <c r="AA254" s="2">
        <f t="shared" si="54"/>
        <v>12856.25</v>
      </c>
      <c r="AB254" s="2">
        <f t="shared" si="55"/>
        <v>135575</v>
      </c>
      <c r="AC254" s="6">
        <f t="shared" si="56"/>
        <v>12201.75</v>
      </c>
      <c r="AD254" s="6">
        <f t="shared" si="57"/>
        <v>3253.8</v>
      </c>
      <c r="AE254" s="6">
        <f t="shared" si="58"/>
        <v>28311.8</v>
      </c>
      <c r="AF254" s="5">
        <f t="shared" si="59"/>
        <v>188.74533333333332</v>
      </c>
    </row>
    <row r="255" spans="1:32" x14ac:dyDescent="0.25">
      <c r="A255" s="207">
        <v>338</v>
      </c>
      <c r="B255" s="1" t="str">
        <f t="shared" si="45"/>
        <v>2.51, Plant - Folding 16R-30</v>
      </c>
      <c r="C255" s="142">
        <v>2.5099999999999998</v>
      </c>
      <c r="D255" s="138" t="s">
        <v>424</v>
      </c>
      <c r="E255" s="138" t="s">
        <v>298</v>
      </c>
      <c r="F255" s="138" t="s">
        <v>59</v>
      </c>
      <c r="G255" s="138" t="str">
        <f t="shared" si="46"/>
        <v>Plant - Folding 16R-30</v>
      </c>
      <c r="H255" s="30">
        <v>114000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2161.7047565853336</v>
      </c>
      <c r="W255" s="9">
        <f t="shared" si="50"/>
        <v>14.411365043902224</v>
      </c>
      <c r="X255" s="8">
        <f t="shared" si="51"/>
        <v>6412.5</v>
      </c>
      <c r="Y255" s="7">
        <f t="shared" si="52"/>
        <v>42.75</v>
      </c>
      <c r="Z255" s="2">
        <f t="shared" si="53"/>
        <v>51300</v>
      </c>
      <c r="AA255" s="2">
        <f t="shared" si="54"/>
        <v>7837.5</v>
      </c>
      <c r="AB255" s="2">
        <f t="shared" si="55"/>
        <v>82650</v>
      </c>
      <c r="AC255" s="6">
        <f t="shared" si="56"/>
        <v>7438.5</v>
      </c>
      <c r="AD255" s="6">
        <f t="shared" si="57"/>
        <v>1983.6000000000001</v>
      </c>
      <c r="AE255" s="6">
        <f t="shared" si="58"/>
        <v>17259.599999999999</v>
      </c>
      <c r="AF255" s="5">
        <f t="shared" si="59"/>
        <v>115.06399999999999</v>
      </c>
    </row>
    <row r="256" spans="1:32" x14ac:dyDescent="0.25">
      <c r="A256" s="207">
        <v>339</v>
      </c>
      <c r="B256" s="1" t="str">
        <f t="shared" si="45"/>
        <v>2.52, Plant - Folding 24R-20</v>
      </c>
      <c r="C256" s="142">
        <v>2.52</v>
      </c>
      <c r="D256" s="138" t="s">
        <v>424</v>
      </c>
      <c r="E256" s="138" t="s">
        <v>298</v>
      </c>
      <c r="F256" s="138" t="s">
        <v>58</v>
      </c>
      <c r="G256" s="138" t="str">
        <f t="shared" si="46"/>
        <v>Plant - Folding 24R-20</v>
      </c>
      <c r="H256" s="30">
        <v>177000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3356.331069435123</v>
      </c>
      <c r="W256" s="9">
        <f t="shared" si="50"/>
        <v>22.375540462900819</v>
      </c>
      <c r="X256" s="8">
        <f t="shared" si="51"/>
        <v>9956.25</v>
      </c>
      <c r="Y256" s="7">
        <f t="shared" si="52"/>
        <v>66.375</v>
      </c>
      <c r="Z256" s="2">
        <f t="shared" si="53"/>
        <v>79650</v>
      </c>
      <c r="AA256" s="2">
        <f t="shared" si="54"/>
        <v>12168.75</v>
      </c>
      <c r="AB256" s="2">
        <f t="shared" si="55"/>
        <v>128325</v>
      </c>
      <c r="AC256" s="6">
        <f t="shared" si="56"/>
        <v>11549.25</v>
      </c>
      <c r="AD256" s="6">
        <f t="shared" si="57"/>
        <v>3079.8</v>
      </c>
      <c r="AE256" s="6">
        <f t="shared" si="58"/>
        <v>26797.8</v>
      </c>
      <c r="AF256" s="5">
        <f t="shared" si="59"/>
        <v>178.65199999999999</v>
      </c>
    </row>
    <row r="257" spans="1:32" x14ac:dyDescent="0.25">
      <c r="A257" s="207">
        <v>606</v>
      </c>
      <c r="B257" s="1" t="str">
        <f t="shared" si="45"/>
        <v>2.53, Plant - Folding 32R-15</v>
      </c>
      <c r="C257" s="142">
        <v>2.5299999999999998</v>
      </c>
      <c r="D257" s="138" t="s">
        <v>424</v>
      </c>
      <c r="E257" s="138" t="s">
        <v>298</v>
      </c>
      <c r="F257" s="138" t="s">
        <v>57</v>
      </c>
      <c r="G257" s="138" t="str">
        <f t="shared" si="46"/>
        <v>Plant - Folding 32R-15</v>
      </c>
      <c r="H257" s="30">
        <v>180000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3413.2180367136843</v>
      </c>
      <c r="W257" s="9">
        <f t="shared" si="50"/>
        <v>22.754786911424564</v>
      </c>
      <c r="X257" s="8">
        <f t="shared" si="51"/>
        <v>10125</v>
      </c>
      <c r="Y257" s="7">
        <f t="shared" si="52"/>
        <v>67.5</v>
      </c>
      <c r="Z257" s="2">
        <f t="shared" si="53"/>
        <v>81000</v>
      </c>
      <c r="AA257" s="2">
        <f t="shared" si="54"/>
        <v>12375</v>
      </c>
      <c r="AB257" s="2">
        <f t="shared" si="55"/>
        <v>130500</v>
      </c>
      <c r="AC257" s="6">
        <f t="shared" si="56"/>
        <v>11745</v>
      </c>
      <c r="AD257" s="6">
        <f t="shared" si="57"/>
        <v>3132</v>
      </c>
      <c r="AE257" s="6">
        <f t="shared" si="58"/>
        <v>27252</v>
      </c>
      <c r="AF257" s="5">
        <f t="shared" si="59"/>
        <v>181.68</v>
      </c>
    </row>
    <row r="258" spans="1:32" x14ac:dyDescent="0.25">
      <c r="A258" s="207">
        <v>340</v>
      </c>
      <c r="B258" s="1" t="str">
        <f t="shared" si="45"/>
        <v>2.54, Plant - Folding 24R-30</v>
      </c>
      <c r="C258" s="142">
        <v>2.54</v>
      </c>
      <c r="D258" s="138" t="s">
        <v>424</v>
      </c>
      <c r="E258" s="138" t="s">
        <v>298</v>
      </c>
      <c r="F258" s="138" t="s">
        <v>56</v>
      </c>
      <c r="G258" s="138" t="str">
        <f t="shared" si="46"/>
        <v>Plant - Folding 24R-30</v>
      </c>
      <c r="H258" s="30">
        <v>184000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3489.0673264184329</v>
      </c>
      <c r="W258" s="9">
        <f t="shared" si="50"/>
        <v>23.260448842789554</v>
      </c>
      <c r="X258" s="8">
        <f t="shared" si="51"/>
        <v>10350</v>
      </c>
      <c r="Y258" s="7">
        <f t="shared" si="52"/>
        <v>69</v>
      </c>
      <c r="Z258" s="2">
        <f t="shared" si="53"/>
        <v>82800</v>
      </c>
      <c r="AA258" s="2">
        <f t="shared" si="54"/>
        <v>12650</v>
      </c>
      <c r="AB258" s="2">
        <f t="shared" si="55"/>
        <v>133400</v>
      </c>
      <c r="AC258" s="6">
        <f t="shared" si="56"/>
        <v>12006</v>
      </c>
      <c r="AD258" s="6">
        <f t="shared" si="57"/>
        <v>3201.6</v>
      </c>
      <c r="AE258" s="6">
        <f t="shared" si="58"/>
        <v>27857.599999999999</v>
      </c>
      <c r="AF258" s="5">
        <f t="shared" si="59"/>
        <v>185.71733333333333</v>
      </c>
    </row>
    <row r="259" spans="1:32" x14ac:dyDescent="0.25">
      <c r="A259" s="207">
        <v>647</v>
      </c>
      <c r="B259" s="1" t="str">
        <f t="shared" si="45"/>
        <v>2.55, Plant - Folding 36R-20</v>
      </c>
      <c r="C259" s="142">
        <v>2.5499999999999998</v>
      </c>
      <c r="D259" s="138" t="s">
        <v>424</v>
      </c>
      <c r="E259" s="138" t="s">
        <v>298</v>
      </c>
      <c r="F259" s="138" t="s">
        <v>55</v>
      </c>
      <c r="G259" s="138" t="str">
        <f t="shared" si="46"/>
        <v>Plant - Folding 36R-20</v>
      </c>
      <c r="H259" s="284">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x14ac:dyDescent="0.25">
      <c r="A260" s="207">
        <v>330</v>
      </c>
      <c r="B260" s="1" t="str">
        <f t="shared" si="45"/>
        <v>2.56, Plant - Rigid  4R-30</v>
      </c>
      <c r="C260" s="142">
        <v>2.56</v>
      </c>
      <c r="D260" s="138" t="s">
        <v>424</v>
      </c>
      <c r="E260" s="138" t="s">
        <v>299</v>
      </c>
      <c r="F260" s="138" t="s">
        <v>48</v>
      </c>
      <c r="G260" s="138" t="str">
        <f t="shared" si="46"/>
        <v>Plant - Rigid  4R-30</v>
      </c>
      <c r="H260" s="30">
        <v>24200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458.88820271372867</v>
      </c>
      <c r="W260" s="9">
        <f t="shared" si="50"/>
        <v>3.0592546847581912</v>
      </c>
      <c r="X260" s="8">
        <f t="shared" si="51"/>
        <v>1361.25</v>
      </c>
      <c r="Y260" s="7">
        <f t="shared" si="52"/>
        <v>9.0749999999999993</v>
      </c>
      <c r="Z260" s="2">
        <f t="shared" si="53"/>
        <v>10890</v>
      </c>
      <c r="AA260" s="2">
        <f t="shared" si="54"/>
        <v>1663.75</v>
      </c>
      <c r="AB260" s="2">
        <f t="shared" si="55"/>
        <v>17545</v>
      </c>
      <c r="AC260" s="6">
        <f t="shared" si="56"/>
        <v>1579.05</v>
      </c>
      <c r="AD260" s="6">
        <f t="shared" si="57"/>
        <v>421.08</v>
      </c>
      <c r="AE260" s="6">
        <f t="shared" si="58"/>
        <v>3663.88</v>
      </c>
      <c r="AF260" s="5">
        <f t="shared" si="59"/>
        <v>24.425866666666668</v>
      </c>
    </row>
    <row r="261" spans="1:32" x14ac:dyDescent="0.25">
      <c r="A261" s="207">
        <v>145</v>
      </c>
      <c r="B261" s="1" t="str">
        <f t="shared" ref="B261:B324" si="60">CONCATENATE(C261,D261,E261,F261)</f>
        <v>2.57, Plant - Rigid  4R-36</v>
      </c>
      <c r="C261" s="142">
        <v>2.57</v>
      </c>
      <c r="D261" s="138" t="s">
        <v>424</v>
      </c>
      <c r="E261" s="138" t="s">
        <v>299</v>
      </c>
      <c r="F261" s="138" t="s">
        <v>195</v>
      </c>
      <c r="G261" s="138" t="str">
        <f t="shared" ref="G261:G324" si="61">CONCATENATE(E261,F261)</f>
        <v>Plant - Rigid  4R-36</v>
      </c>
      <c r="H261" s="30">
        <v>25300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479.7467573825345</v>
      </c>
      <c r="W261" s="9">
        <f t="shared" ref="W261:W324" si="65">V261/P261</f>
        <v>3.1983117158835634</v>
      </c>
      <c r="X261" s="8">
        <f t="shared" ref="X261:X324" si="66">(H261*N261/100)/O261</f>
        <v>1423.125</v>
      </c>
      <c r="Y261" s="7">
        <f t="shared" ref="Y261:Y324" si="67">X261/P261</f>
        <v>9.4875000000000007</v>
      </c>
      <c r="Z261" s="2">
        <f t="shared" ref="Z261:Z324" si="68">H261*M261/100</f>
        <v>11385</v>
      </c>
      <c r="AA261" s="2">
        <f t="shared" ref="AA261:AA324" si="69">(H261-Z261)/O261</f>
        <v>1739.375</v>
      </c>
      <c r="AB261" s="2">
        <f t="shared" ref="AB261:AB324" si="70">(Z261+H261)/2</f>
        <v>18342.5</v>
      </c>
      <c r="AC261" s="6">
        <f t="shared" ref="AC261:AC324" si="71">AB261*intir</f>
        <v>1650.825</v>
      </c>
      <c r="AD261" s="6">
        <f t="shared" ref="AD261:AD324" si="72">AB261*itr</f>
        <v>440.22</v>
      </c>
      <c r="AE261" s="6">
        <f t="shared" ref="AE261:AE324" si="73">AA261+AC261+AD261</f>
        <v>3830.42</v>
      </c>
      <c r="AF261" s="5">
        <f t="shared" ref="AF261:AF324" si="74">AE261/P261</f>
        <v>25.536133333333336</v>
      </c>
    </row>
    <row r="262" spans="1:32" x14ac:dyDescent="0.25">
      <c r="A262" s="207">
        <v>529</v>
      </c>
      <c r="B262" s="1" t="str">
        <f t="shared" si="60"/>
        <v>2.58, Plant - Rigid 11R-15</v>
      </c>
      <c r="C262" s="142">
        <v>2.58</v>
      </c>
      <c r="D262" s="138" t="s">
        <v>424</v>
      </c>
      <c r="E262" s="138" t="s">
        <v>299</v>
      </c>
      <c r="F262" s="138" t="s">
        <v>54</v>
      </c>
      <c r="G262" s="138" t="str">
        <f t="shared" si="61"/>
        <v>Plant - Rigid 11R-15</v>
      </c>
      <c r="H262" s="30">
        <v>47300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896.91785075865153</v>
      </c>
      <c r="W262" s="9">
        <f t="shared" si="65"/>
        <v>5.9794523383910105</v>
      </c>
      <c r="X262" s="8">
        <f t="shared" si="66"/>
        <v>2660.625</v>
      </c>
      <c r="Y262" s="7">
        <f t="shared" si="67"/>
        <v>17.737500000000001</v>
      </c>
      <c r="Z262" s="2">
        <f t="shared" si="68"/>
        <v>21285</v>
      </c>
      <c r="AA262" s="2">
        <f t="shared" si="69"/>
        <v>3251.875</v>
      </c>
      <c r="AB262" s="2">
        <f t="shared" si="70"/>
        <v>34292.5</v>
      </c>
      <c r="AC262" s="6">
        <f t="shared" si="71"/>
        <v>3086.3249999999998</v>
      </c>
      <c r="AD262" s="6">
        <f t="shared" si="72"/>
        <v>823.02</v>
      </c>
      <c r="AE262" s="6">
        <f t="shared" si="73"/>
        <v>7161.2199999999993</v>
      </c>
      <c r="AF262" s="5">
        <f t="shared" si="74"/>
        <v>47.741466666666661</v>
      </c>
    </row>
    <row r="263" spans="1:32" x14ac:dyDescent="0.25">
      <c r="A263" s="207">
        <v>146</v>
      </c>
      <c r="B263" s="1" t="str">
        <f t="shared" si="60"/>
        <v>2.59, Plant - Rigid  6R-30</v>
      </c>
      <c r="C263" s="142">
        <v>2.59</v>
      </c>
      <c r="D263" s="138" t="s">
        <v>424</v>
      </c>
      <c r="E263" s="138" t="s">
        <v>299</v>
      </c>
      <c r="F263" s="138" t="s">
        <v>53</v>
      </c>
      <c r="G263" s="138" t="str">
        <f t="shared" si="61"/>
        <v>Plant - Rigid  6R-30</v>
      </c>
      <c r="H263" s="30">
        <v>32000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606.79431763798834</v>
      </c>
      <c r="W263" s="9">
        <f t="shared" si="65"/>
        <v>4.0452954509199222</v>
      </c>
      <c r="X263" s="8">
        <f t="shared" si="66"/>
        <v>1800</v>
      </c>
      <c r="Y263" s="7">
        <f t="shared" si="67"/>
        <v>12</v>
      </c>
      <c r="Z263" s="2">
        <f t="shared" si="68"/>
        <v>14400</v>
      </c>
      <c r="AA263" s="2">
        <f t="shared" si="69"/>
        <v>2200</v>
      </c>
      <c r="AB263" s="2">
        <f t="shared" si="70"/>
        <v>23200</v>
      </c>
      <c r="AC263" s="6">
        <f t="shared" si="71"/>
        <v>2088</v>
      </c>
      <c r="AD263" s="6">
        <f t="shared" si="72"/>
        <v>556.80000000000007</v>
      </c>
      <c r="AE263" s="6">
        <f t="shared" si="73"/>
        <v>4844.8</v>
      </c>
      <c r="AF263" s="5">
        <f t="shared" si="74"/>
        <v>32.298666666666669</v>
      </c>
    </row>
    <row r="264" spans="1:32" x14ac:dyDescent="0.25">
      <c r="A264" s="207">
        <v>147</v>
      </c>
      <c r="B264" s="1" t="str">
        <f t="shared" si="60"/>
        <v>2.6, Plant - Rigid  6R-36</v>
      </c>
      <c r="C264" s="142">
        <v>2.6</v>
      </c>
      <c r="D264" s="138" t="s">
        <v>424</v>
      </c>
      <c r="E264" s="138" t="s">
        <v>299</v>
      </c>
      <c r="F264" s="138" t="s">
        <v>196</v>
      </c>
      <c r="G264" s="138" t="str">
        <f t="shared" si="61"/>
        <v>Plant - Rigid  6R-36</v>
      </c>
      <c r="H264" s="30">
        <v>31100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589.72822745441988</v>
      </c>
      <c r="W264" s="9">
        <f t="shared" si="65"/>
        <v>3.9315215163627992</v>
      </c>
      <c r="X264" s="8">
        <f t="shared" si="66"/>
        <v>1749.375</v>
      </c>
      <c r="Y264" s="7">
        <f t="shared" si="67"/>
        <v>11.6625</v>
      </c>
      <c r="Z264" s="2">
        <f t="shared" si="68"/>
        <v>13995</v>
      </c>
      <c r="AA264" s="2">
        <f t="shared" si="69"/>
        <v>2138.125</v>
      </c>
      <c r="AB264" s="2">
        <f t="shared" si="70"/>
        <v>22547.5</v>
      </c>
      <c r="AC264" s="6">
        <f t="shared" si="71"/>
        <v>2029.2749999999999</v>
      </c>
      <c r="AD264" s="6">
        <f t="shared" si="72"/>
        <v>541.14</v>
      </c>
      <c r="AE264" s="6">
        <f t="shared" si="73"/>
        <v>4708.54</v>
      </c>
      <c r="AF264" s="5">
        <f t="shared" si="74"/>
        <v>31.390266666666665</v>
      </c>
    </row>
    <row r="265" spans="1:32" x14ac:dyDescent="0.25">
      <c r="A265" s="207">
        <v>534</v>
      </c>
      <c r="B265" s="1" t="str">
        <f t="shared" si="60"/>
        <v>2.61, Plant - Rigid 11R-20</v>
      </c>
      <c r="C265" s="142">
        <v>2.61</v>
      </c>
      <c r="D265" s="138" t="s">
        <v>424</v>
      </c>
      <c r="E265" s="138" t="s">
        <v>299</v>
      </c>
      <c r="F265" s="138" t="s">
        <v>52</v>
      </c>
      <c r="G265" s="138" t="str">
        <f t="shared" si="61"/>
        <v>Plant - Rigid 11R-20</v>
      </c>
      <c r="H265" s="30">
        <v>46600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883.64422506032054</v>
      </c>
      <c r="W265" s="9">
        <f t="shared" si="65"/>
        <v>5.8909615004021365</v>
      </c>
      <c r="X265" s="8">
        <f t="shared" si="66"/>
        <v>2621.25</v>
      </c>
      <c r="Y265" s="7">
        <f t="shared" si="67"/>
        <v>17.475000000000001</v>
      </c>
      <c r="Z265" s="2">
        <f t="shared" si="68"/>
        <v>20970</v>
      </c>
      <c r="AA265" s="2">
        <f t="shared" si="69"/>
        <v>3203.75</v>
      </c>
      <c r="AB265" s="2">
        <f t="shared" si="70"/>
        <v>33785</v>
      </c>
      <c r="AC265" s="6">
        <f t="shared" si="71"/>
        <v>3040.65</v>
      </c>
      <c r="AD265" s="6">
        <f t="shared" si="72"/>
        <v>810.84</v>
      </c>
      <c r="AE265" s="6">
        <f t="shared" si="73"/>
        <v>7055.24</v>
      </c>
      <c r="AF265" s="5">
        <f t="shared" si="74"/>
        <v>47.034933333333335</v>
      </c>
    </row>
    <row r="266" spans="1:32" x14ac:dyDescent="0.25">
      <c r="A266" s="207">
        <v>149</v>
      </c>
      <c r="B266" s="1" t="str">
        <f t="shared" si="60"/>
        <v>2.62, Plant - Rigid  8R-30</v>
      </c>
      <c r="C266" s="142">
        <v>2.62</v>
      </c>
      <c r="D266" s="138" t="s">
        <v>424</v>
      </c>
      <c r="E266" s="138" t="s">
        <v>299</v>
      </c>
      <c r="F266" s="138" t="s">
        <v>25</v>
      </c>
      <c r="G266" s="138" t="str">
        <f t="shared" si="61"/>
        <v>Plant - Rigid  8R-30</v>
      </c>
      <c r="H266" s="30">
        <v>40500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767.974058260579</v>
      </c>
      <c r="W266" s="9">
        <f t="shared" si="65"/>
        <v>5.1198270550705267</v>
      </c>
      <c r="X266" s="8">
        <f t="shared" si="66"/>
        <v>2278.125</v>
      </c>
      <c r="Y266" s="7">
        <f t="shared" si="67"/>
        <v>15.1875</v>
      </c>
      <c r="Z266" s="2">
        <f t="shared" si="68"/>
        <v>18225</v>
      </c>
      <c r="AA266" s="2">
        <f t="shared" si="69"/>
        <v>2784.375</v>
      </c>
      <c r="AB266" s="2">
        <f t="shared" si="70"/>
        <v>29362.5</v>
      </c>
      <c r="AC266" s="6">
        <f t="shared" si="71"/>
        <v>2642.625</v>
      </c>
      <c r="AD266" s="6">
        <f t="shared" si="72"/>
        <v>704.7</v>
      </c>
      <c r="AE266" s="6">
        <f t="shared" si="73"/>
        <v>6131.7</v>
      </c>
      <c r="AF266" s="5">
        <f t="shared" si="74"/>
        <v>40.878</v>
      </c>
    </row>
    <row r="267" spans="1:32" x14ac:dyDescent="0.25">
      <c r="A267" s="207">
        <v>153</v>
      </c>
      <c r="B267" s="1" t="str">
        <f t="shared" si="60"/>
        <v>2.63, Plant - Rigid 12R-20</v>
      </c>
      <c r="C267" s="142">
        <v>2.63</v>
      </c>
      <c r="D267" s="138" t="s">
        <v>424</v>
      </c>
      <c r="E267" s="138" t="s">
        <v>299</v>
      </c>
      <c r="F267" s="138" t="s">
        <v>50</v>
      </c>
      <c r="G267" s="138" t="str">
        <f t="shared" si="61"/>
        <v>Plant - Rigid 12R-20</v>
      </c>
      <c r="H267" s="30">
        <v>48300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915.88017318483867</v>
      </c>
      <c r="W267" s="9">
        <f t="shared" si="65"/>
        <v>6.1058678212322581</v>
      </c>
      <c r="X267" s="8">
        <f t="shared" si="66"/>
        <v>2716.875</v>
      </c>
      <c r="Y267" s="7">
        <f t="shared" si="67"/>
        <v>18.112500000000001</v>
      </c>
      <c r="Z267" s="2">
        <f t="shared" si="68"/>
        <v>21735</v>
      </c>
      <c r="AA267" s="2">
        <f t="shared" si="69"/>
        <v>3320.625</v>
      </c>
      <c r="AB267" s="2">
        <f t="shared" si="70"/>
        <v>35017.5</v>
      </c>
      <c r="AC267" s="6">
        <f t="shared" si="71"/>
        <v>3151.5749999999998</v>
      </c>
      <c r="AD267" s="6">
        <f t="shared" si="72"/>
        <v>840.42000000000007</v>
      </c>
      <c r="AE267" s="6">
        <f t="shared" si="73"/>
        <v>7312.62</v>
      </c>
      <c r="AF267" s="5">
        <f t="shared" si="74"/>
        <v>48.750799999999998</v>
      </c>
    </row>
    <row r="268" spans="1:32" x14ac:dyDescent="0.25">
      <c r="A268" s="207">
        <v>507</v>
      </c>
      <c r="B268" s="1" t="str">
        <f t="shared" si="60"/>
        <v>2.64, Plant - Rigid 15R-15</v>
      </c>
      <c r="C268" s="142">
        <v>2.64</v>
      </c>
      <c r="D268" s="138" t="s">
        <v>424</v>
      </c>
      <c r="E268" s="138" t="s">
        <v>299</v>
      </c>
      <c r="F268" s="138" t="s">
        <v>51</v>
      </c>
      <c r="G268" s="138" t="str">
        <f t="shared" si="61"/>
        <v>Plant - Rigid 15R-15</v>
      </c>
      <c r="H268" s="30">
        <v>60200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1141.5318100564657</v>
      </c>
      <c r="W268" s="9">
        <f t="shared" si="65"/>
        <v>7.610212067043105</v>
      </c>
      <c r="X268" s="8">
        <f t="shared" si="66"/>
        <v>3386.25</v>
      </c>
      <c r="Y268" s="7">
        <f t="shared" si="67"/>
        <v>22.574999999999999</v>
      </c>
      <c r="Z268" s="2">
        <f t="shared" si="68"/>
        <v>27090</v>
      </c>
      <c r="AA268" s="2">
        <f t="shared" si="69"/>
        <v>4138.75</v>
      </c>
      <c r="AB268" s="2">
        <f t="shared" si="70"/>
        <v>43645</v>
      </c>
      <c r="AC268" s="6">
        <f t="shared" si="71"/>
        <v>3928.0499999999997</v>
      </c>
      <c r="AD268" s="6">
        <f t="shared" si="72"/>
        <v>1047.48</v>
      </c>
      <c r="AE268" s="6">
        <f t="shared" si="73"/>
        <v>9114.2799999999988</v>
      </c>
      <c r="AF268" s="5">
        <f t="shared" si="74"/>
        <v>60.761866666666656</v>
      </c>
    </row>
    <row r="269" spans="1:32" x14ac:dyDescent="0.25">
      <c r="A269" s="207">
        <v>649</v>
      </c>
      <c r="B269" s="1" t="str">
        <f t="shared" si="60"/>
        <v>2.65, Plant - Rigid 13R-18/20</v>
      </c>
      <c r="C269" s="142">
        <v>2.65</v>
      </c>
      <c r="D269" s="138" t="s">
        <v>424</v>
      </c>
      <c r="E269" s="138" t="s">
        <v>299</v>
      </c>
      <c r="F269" s="138" t="s">
        <v>49</v>
      </c>
      <c r="G269" s="138" t="str">
        <f t="shared" si="61"/>
        <v>Plant - Rigid 13R-18/20</v>
      </c>
      <c r="H269" s="284">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x14ac:dyDescent="0.25">
      <c r="A270" s="207">
        <v>150</v>
      </c>
      <c r="B270" s="1" t="str">
        <f t="shared" si="60"/>
        <v>2.66, Plant - Rigid  8R-36</v>
      </c>
      <c r="C270" s="142">
        <v>2.66</v>
      </c>
      <c r="D270" s="138" t="s">
        <v>424</v>
      </c>
      <c r="E270" s="138" t="s">
        <v>299</v>
      </c>
      <c r="F270" s="138" t="s">
        <v>193</v>
      </c>
      <c r="G270" s="138" t="str">
        <f t="shared" si="61"/>
        <v>Plant - Rigid  8R-36</v>
      </c>
      <c r="H270" s="30">
        <v>38400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728.15318116558603</v>
      </c>
      <c r="W270" s="9">
        <f t="shared" si="65"/>
        <v>4.8543545411039073</v>
      </c>
      <c r="X270" s="8">
        <f t="shared" si="66"/>
        <v>2160</v>
      </c>
      <c r="Y270" s="7">
        <f t="shared" si="67"/>
        <v>14.4</v>
      </c>
      <c r="Z270" s="2">
        <f t="shared" si="68"/>
        <v>17280</v>
      </c>
      <c r="AA270" s="2">
        <f t="shared" si="69"/>
        <v>2640</v>
      </c>
      <c r="AB270" s="2">
        <f t="shared" si="70"/>
        <v>27840</v>
      </c>
      <c r="AC270" s="6">
        <f t="shared" si="71"/>
        <v>2505.6</v>
      </c>
      <c r="AD270" s="6">
        <f t="shared" si="72"/>
        <v>668.16</v>
      </c>
      <c r="AE270" s="6">
        <f t="shared" si="73"/>
        <v>5813.76</v>
      </c>
      <c r="AF270" s="5">
        <f t="shared" si="74"/>
        <v>38.758400000000002</v>
      </c>
    </row>
    <row r="271" spans="1:32" x14ac:dyDescent="0.25">
      <c r="A271" s="207">
        <v>151</v>
      </c>
      <c r="B271" s="1" t="str">
        <f t="shared" si="60"/>
        <v>2.67, Plant - Rigid 10R-30</v>
      </c>
      <c r="C271" s="142">
        <v>2.67</v>
      </c>
      <c r="D271" s="138" t="s">
        <v>424</v>
      </c>
      <c r="E271" s="138" t="s">
        <v>299</v>
      </c>
      <c r="F271" s="138" t="s">
        <v>24</v>
      </c>
      <c r="G271" s="138" t="str">
        <f t="shared" si="61"/>
        <v>Plant - Rigid 10R-30</v>
      </c>
      <c r="H271" s="284">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x14ac:dyDescent="0.25">
      <c r="A272" s="207">
        <v>336</v>
      </c>
      <c r="B272" s="1" t="str">
        <f t="shared" si="60"/>
        <v>2.68, Plant - Rigid 12R-30</v>
      </c>
      <c r="C272" s="142">
        <v>2.68</v>
      </c>
      <c r="D272" s="138" t="s">
        <v>424</v>
      </c>
      <c r="E272" s="138" t="s">
        <v>299</v>
      </c>
      <c r="F272" s="138" t="s">
        <v>6</v>
      </c>
      <c r="G272" s="138" t="str">
        <f t="shared" si="61"/>
        <v>Plant - Rigid 12R-30</v>
      </c>
      <c r="H272" s="30">
        <v>63400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1202.2112418202644</v>
      </c>
      <c r="W272" s="9">
        <f t="shared" si="65"/>
        <v>8.0147416121350954</v>
      </c>
      <c r="X272" s="8">
        <f t="shared" si="66"/>
        <v>3566.25</v>
      </c>
      <c r="Y272" s="7">
        <f t="shared" si="67"/>
        <v>23.774999999999999</v>
      </c>
      <c r="Z272" s="2">
        <f t="shared" si="68"/>
        <v>28530</v>
      </c>
      <c r="AA272" s="2">
        <f t="shared" si="69"/>
        <v>4358.75</v>
      </c>
      <c r="AB272" s="2">
        <f t="shared" si="70"/>
        <v>45965</v>
      </c>
      <c r="AC272" s="6">
        <f t="shared" si="71"/>
        <v>4136.8499999999995</v>
      </c>
      <c r="AD272" s="6">
        <f t="shared" si="72"/>
        <v>1103.1600000000001</v>
      </c>
      <c r="AE272" s="6">
        <f t="shared" si="73"/>
        <v>9598.7599999999984</v>
      </c>
      <c r="AF272" s="5">
        <f t="shared" si="74"/>
        <v>63.991733333333322</v>
      </c>
    </row>
    <row r="273" spans="1:32" x14ac:dyDescent="0.25">
      <c r="A273" s="207">
        <v>650</v>
      </c>
      <c r="B273" s="1" t="str">
        <f t="shared" si="60"/>
        <v>2.69, Plant - Twin Row 8R-36</v>
      </c>
      <c r="C273" s="142">
        <v>2.69</v>
      </c>
      <c r="D273" s="138" t="s">
        <v>424</v>
      </c>
      <c r="E273" s="138" t="s">
        <v>300</v>
      </c>
      <c r="F273" s="138" t="s">
        <v>199</v>
      </c>
      <c r="G273" s="138" t="str">
        <f t="shared" si="61"/>
        <v>Plant - Twin Row 8R-36</v>
      </c>
      <c r="H273" s="30">
        <v>121000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2294.4410135686435</v>
      </c>
      <c r="W273" s="9">
        <f t="shared" si="65"/>
        <v>15.296273423790957</v>
      </c>
      <c r="X273" s="8">
        <f t="shared" si="66"/>
        <v>6806.25</v>
      </c>
      <c r="Y273" s="7">
        <f t="shared" si="67"/>
        <v>45.375</v>
      </c>
      <c r="Z273" s="2">
        <f t="shared" si="68"/>
        <v>54450</v>
      </c>
      <c r="AA273" s="2">
        <f t="shared" si="69"/>
        <v>8318.75</v>
      </c>
      <c r="AB273" s="2">
        <f t="shared" si="70"/>
        <v>87725</v>
      </c>
      <c r="AC273" s="6">
        <f t="shared" si="71"/>
        <v>7895.25</v>
      </c>
      <c r="AD273" s="6">
        <f t="shared" si="72"/>
        <v>2105.4</v>
      </c>
      <c r="AE273" s="6">
        <f t="shared" si="73"/>
        <v>18319.400000000001</v>
      </c>
      <c r="AF273" s="5">
        <f t="shared" si="74"/>
        <v>122.12933333333335</v>
      </c>
    </row>
    <row r="274" spans="1:32" x14ac:dyDescent="0.25">
      <c r="A274" s="207">
        <v>605</v>
      </c>
      <c r="B274" s="1" t="str">
        <f t="shared" si="60"/>
        <v>2.7, Plant - Twin Row 12R-36</v>
      </c>
      <c r="C274" s="142">
        <v>2.7</v>
      </c>
      <c r="D274" s="138" t="s">
        <v>424</v>
      </c>
      <c r="E274" s="138" t="s">
        <v>300</v>
      </c>
      <c r="F274" s="138" t="s">
        <v>194</v>
      </c>
      <c r="G274" s="138" t="str">
        <f t="shared" si="61"/>
        <v>Plant - Twin Row 12R-36</v>
      </c>
      <c r="H274" s="30">
        <v>150000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2844.3483639280703</v>
      </c>
      <c r="W274" s="9">
        <f t="shared" si="65"/>
        <v>18.962322426187136</v>
      </c>
      <c r="X274" s="8">
        <f t="shared" si="66"/>
        <v>8437.5</v>
      </c>
      <c r="Y274" s="7">
        <f t="shared" si="67"/>
        <v>56.25</v>
      </c>
      <c r="Z274" s="2">
        <f t="shared" si="68"/>
        <v>67500</v>
      </c>
      <c r="AA274" s="2">
        <f t="shared" si="69"/>
        <v>10312.5</v>
      </c>
      <c r="AB274" s="2">
        <f t="shared" si="70"/>
        <v>108750</v>
      </c>
      <c r="AC274" s="6">
        <f t="shared" si="71"/>
        <v>9787.5</v>
      </c>
      <c r="AD274" s="6">
        <f t="shared" si="72"/>
        <v>2610</v>
      </c>
      <c r="AE274" s="6">
        <f t="shared" si="73"/>
        <v>22710</v>
      </c>
      <c r="AF274" s="5">
        <f t="shared" si="74"/>
        <v>151.4</v>
      </c>
    </row>
    <row r="275" spans="1:32" x14ac:dyDescent="0.25">
      <c r="A275" s="207">
        <v>346</v>
      </c>
      <c r="B275" s="1" t="str">
        <f t="shared" si="60"/>
        <v>2.71, Plant &amp; Pre-Folding 12R-20</v>
      </c>
      <c r="C275" s="142">
        <v>2.71</v>
      </c>
      <c r="D275" s="138" t="s">
        <v>424</v>
      </c>
      <c r="E275" s="138" t="s">
        <v>301</v>
      </c>
      <c r="F275" s="138" t="s">
        <v>50</v>
      </c>
      <c r="G275" s="138"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x14ac:dyDescent="0.25">
      <c r="A276" s="207">
        <v>343</v>
      </c>
      <c r="B276" s="1" t="str">
        <f t="shared" si="60"/>
        <v>2.72, Plant &amp; Pre-Folding  8R-36</v>
      </c>
      <c r="C276" s="142">
        <v>2.72</v>
      </c>
      <c r="D276" s="138" t="s">
        <v>424</v>
      </c>
      <c r="E276" s="138" t="s">
        <v>301</v>
      </c>
      <c r="F276" s="138" t="s">
        <v>193</v>
      </c>
      <c r="G276" s="138" t="str">
        <f t="shared" si="61"/>
        <v>Plant &amp; Pre-Folding  8R-36</v>
      </c>
      <c r="H276" s="30">
        <v>61000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1156.7016679974151</v>
      </c>
      <c r="W276" s="9">
        <f t="shared" si="65"/>
        <v>7.7113444533161006</v>
      </c>
      <c r="X276" s="8">
        <f t="shared" si="66"/>
        <v>3431.25</v>
      </c>
      <c r="Y276" s="7">
        <f t="shared" si="67"/>
        <v>22.875</v>
      </c>
      <c r="Z276" s="2">
        <f t="shared" si="68"/>
        <v>27450</v>
      </c>
      <c r="AA276" s="2">
        <f t="shared" si="69"/>
        <v>4193.75</v>
      </c>
      <c r="AB276" s="2">
        <f t="shared" si="70"/>
        <v>44225</v>
      </c>
      <c r="AC276" s="6">
        <f t="shared" si="71"/>
        <v>3980.25</v>
      </c>
      <c r="AD276" s="6">
        <f t="shared" si="72"/>
        <v>1061.4000000000001</v>
      </c>
      <c r="AE276" s="6">
        <f t="shared" si="73"/>
        <v>9235.4</v>
      </c>
      <c r="AF276" s="5">
        <f t="shared" si="74"/>
        <v>61.569333333333333</v>
      </c>
    </row>
    <row r="277" spans="1:32" x14ac:dyDescent="0.25">
      <c r="A277" s="207">
        <v>350</v>
      </c>
      <c r="B277" s="1" t="str">
        <f t="shared" si="60"/>
        <v>2.73, Plant &amp; Pre-Folding 23R-15</v>
      </c>
      <c r="C277" s="142">
        <v>2.73</v>
      </c>
      <c r="D277" s="138" t="s">
        <v>424</v>
      </c>
      <c r="E277" s="138" t="s">
        <v>301</v>
      </c>
      <c r="F277" s="138" t="s">
        <v>62</v>
      </c>
      <c r="G277" s="138" t="str">
        <f t="shared" si="61"/>
        <v>Plant &amp; Pre-Folding 23R-15</v>
      </c>
      <c r="H277" s="30">
        <v>166000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3147.7455227470646</v>
      </c>
      <c r="W277" s="9">
        <f t="shared" si="65"/>
        <v>20.984970151647097</v>
      </c>
      <c r="X277" s="8">
        <f t="shared" si="66"/>
        <v>9337.5</v>
      </c>
      <c r="Y277" s="7">
        <f t="shared" si="67"/>
        <v>62.25</v>
      </c>
      <c r="Z277" s="2">
        <f t="shared" si="68"/>
        <v>74700</v>
      </c>
      <c r="AA277" s="2">
        <f t="shared" si="69"/>
        <v>11412.5</v>
      </c>
      <c r="AB277" s="2">
        <f t="shared" si="70"/>
        <v>120350</v>
      </c>
      <c r="AC277" s="6">
        <f t="shared" si="71"/>
        <v>10831.5</v>
      </c>
      <c r="AD277" s="6">
        <f t="shared" si="72"/>
        <v>2888.4</v>
      </c>
      <c r="AE277" s="6">
        <f t="shared" si="73"/>
        <v>25132.400000000001</v>
      </c>
      <c r="AF277" s="5">
        <f t="shared" si="74"/>
        <v>167.54933333333335</v>
      </c>
    </row>
    <row r="278" spans="1:32" x14ac:dyDescent="0.25">
      <c r="A278" s="207">
        <v>348</v>
      </c>
      <c r="B278" s="1" t="str">
        <f t="shared" si="60"/>
        <v>2.74, Plant &amp; Pre-Folding 12R-30</v>
      </c>
      <c r="C278" s="142">
        <v>2.74</v>
      </c>
      <c r="D278" s="138" t="s">
        <v>424</v>
      </c>
      <c r="E278" s="138" t="s">
        <v>301</v>
      </c>
      <c r="F278" s="138" t="s">
        <v>6</v>
      </c>
      <c r="G278" s="138" t="str">
        <f t="shared" si="61"/>
        <v>Plant &amp; Pre-Folding 12R-30</v>
      </c>
      <c r="H278" s="30">
        <v>81000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1535.948116521158</v>
      </c>
      <c r="W278" s="9">
        <f t="shared" si="65"/>
        <v>10.239654110141053</v>
      </c>
      <c r="X278" s="8">
        <f t="shared" si="66"/>
        <v>4556.25</v>
      </c>
      <c r="Y278" s="7">
        <f t="shared" si="67"/>
        <v>30.375</v>
      </c>
      <c r="Z278" s="2">
        <f t="shared" si="68"/>
        <v>36450</v>
      </c>
      <c r="AA278" s="2">
        <f t="shared" si="69"/>
        <v>5568.75</v>
      </c>
      <c r="AB278" s="2">
        <f t="shared" si="70"/>
        <v>58725</v>
      </c>
      <c r="AC278" s="6">
        <f t="shared" si="71"/>
        <v>5285.25</v>
      </c>
      <c r="AD278" s="6">
        <f t="shared" si="72"/>
        <v>1409.4</v>
      </c>
      <c r="AE278" s="6">
        <f t="shared" si="73"/>
        <v>12263.4</v>
      </c>
      <c r="AF278" s="5">
        <f t="shared" si="74"/>
        <v>81.756</v>
      </c>
    </row>
    <row r="279" spans="1:32" x14ac:dyDescent="0.25">
      <c r="A279" s="207">
        <v>547</v>
      </c>
      <c r="B279" s="1" t="str">
        <f t="shared" si="60"/>
        <v>2.75, Plant &amp; Pre-Folding 24R-15</v>
      </c>
      <c r="C279" s="142">
        <v>2.75</v>
      </c>
      <c r="D279" s="138" t="s">
        <v>424</v>
      </c>
      <c r="E279" s="138" t="s">
        <v>301</v>
      </c>
      <c r="F279" s="138" t="s">
        <v>61</v>
      </c>
      <c r="G279" s="138" t="str">
        <f t="shared" si="61"/>
        <v>Plant &amp; Pre-Folding 24R-15</v>
      </c>
      <c r="H279" s="284">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x14ac:dyDescent="0.25">
      <c r="A280" s="207">
        <v>344</v>
      </c>
      <c r="B280" s="1" t="str">
        <f t="shared" si="60"/>
        <v>2.76, Plant &amp; Pre-Folding  8R-36 2x1</v>
      </c>
      <c r="C280" s="142">
        <v>2.76</v>
      </c>
      <c r="D280" s="138" t="s">
        <v>424</v>
      </c>
      <c r="E280" s="138" t="s">
        <v>301</v>
      </c>
      <c r="F280" s="138" t="s">
        <v>197</v>
      </c>
      <c r="G280" s="138" t="str">
        <f t="shared" si="61"/>
        <v>Plant &amp; Pre-Folding  8R-36 2x1</v>
      </c>
      <c r="H280" s="30">
        <v>92700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1757.8072889075474</v>
      </c>
      <c r="W280" s="9">
        <f t="shared" si="65"/>
        <v>11.71871525938365</v>
      </c>
      <c r="X280" s="8">
        <f t="shared" si="66"/>
        <v>5214.375</v>
      </c>
      <c r="Y280" s="7">
        <f t="shared" si="67"/>
        <v>34.762500000000003</v>
      </c>
      <c r="Z280" s="2">
        <f t="shared" si="68"/>
        <v>41715</v>
      </c>
      <c r="AA280" s="2">
        <f t="shared" si="69"/>
        <v>6373.125</v>
      </c>
      <c r="AB280" s="2">
        <f t="shared" si="70"/>
        <v>67207.5</v>
      </c>
      <c r="AC280" s="6">
        <f t="shared" si="71"/>
        <v>6048.6750000000002</v>
      </c>
      <c r="AD280" s="6">
        <f t="shared" si="72"/>
        <v>1612.98</v>
      </c>
      <c r="AE280" s="6">
        <f t="shared" si="73"/>
        <v>14034.779999999999</v>
      </c>
      <c r="AF280" s="5">
        <f t="shared" si="74"/>
        <v>93.56519999999999</v>
      </c>
    </row>
    <row r="281" spans="1:32" x14ac:dyDescent="0.25">
      <c r="A281" s="207">
        <v>262</v>
      </c>
      <c r="B281" s="1" t="str">
        <f t="shared" si="60"/>
        <v>2.77, Plant &amp; Pre-Folding 12R-36</v>
      </c>
      <c r="C281" s="142">
        <v>2.77</v>
      </c>
      <c r="D281" s="138" t="s">
        <v>424</v>
      </c>
      <c r="E281" s="138" t="s">
        <v>301</v>
      </c>
      <c r="F281" s="138" t="s">
        <v>194</v>
      </c>
      <c r="G281" s="138" t="str">
        <f t="shared" si="61"/>
        <v>Plant &amp; Pre-Folding 12R-36</v>
      </c>
      <c r="H281" s="30">
        <v>92700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1757.8072889075474</v>
      </c>
      <c r="W281" s="9">
        <f t="shared" si="65"/>
        <v>11.71871525938365</v>
      </c>
      <c r="X281" s="8">
        <f t="shared" si="66"/>
        <v>5214.375</v>
      </c>
      <c r="Y281" s="7">
        <f t="shared" si="67"/>
        <v>34.762500000000003</v>
      </c>
      <c r="Z281" s="2">
        <f t="shared" si="68"/>
        <v>41715</v>
      </c>
      <c r="AA281" s="2">
        <f t="shared" si="69"/>
        <v>6373.125</v>
      </c>
      <c r="AB281" s="2">
        <f t="shared" si="70"/>
        <v>67207.5</v>
      </c>
      <c r="AC281" s="6">
        <f t="shared" si="71"/>
        <v>6048.6750000000002</v>
      </c>
      <c r="AD281" s="6">
        <f t="shared" si="72"/>
        <v>1612.98</v>
      </c>
      <c r="AE281" s="6">
        <f t="shared" si="73"/>
        <v>14034.779999999999</v>
      </c>
      <c r="AF281" s="5">
        <f t="shared" si="74"/>
        <v>93.56519999999999</v>
      </c>
    </row>
    <row r="282" spans="1:32" x14ac:dyDescent="0.25">
      <c r="A282" s="207">
        <v>551</v>
      </c>
      <c r="B282" s="1" t="str">
        <f t="shared" si="60"/>
        <v>2.78, Plant &amp; Pre-Folding 31R-15</v>
      </c>
      <c r="C282" s="142">
        <v>2.78</v>
      </c>
      <c r="D282" s="138" t="s">
        <v>424</v>
      </c>
      <c r="E282" s="138" t="s">
        <v>301</v>
      </c>
      <c r="F282" s="138" t="s">
        <v>60</v>
      </c>
      <c r="G282" s="138" t="str">
        <f t="shared" si="61"/>
        <v>Plant &amp; Pre-Folding 31R-15</v>
      </c>
      <c r="H282" s="30">
        <v>196000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3716.6151955326786</v>
      </c>
      <c r="W282" s="9">
        <f t="shared" si="65"/>
        <v>24.777434636884525</v>
      </c>
      <c r="X282" s="8">
        <f t="shared" si="66"/>
        <v>11025</v>
      </c>
      <c r="Y282" s="7">
        <f t="shared" si="67"/>
        <v>73.5</v>
      </c>
      <c r="Z282" s="2">
        <f t="shared" si="68"/>
        <v>88200</v>
      </c>
      <c r="AA282" s="2">
        <f t="shared" si="69"/>
        <v>13475</v>
      </c>
      <c r="AB282" s="2">
        <f t="shared" si="70"/>
        <v>142100</v>
      </c>
      <c r="AC282" s="6">
        <f t="shared" si="71"/>
        <v>12789</v>
      </c>
      <c r="AD282" s="6">
        <f t="shared" si="72"/>
        <v>3410.4</v>
      </c>
      <c r="AE282" s="6">
        <f t="shared" si="73"/>
        <v>29674.400000000001</v>
      </c>
      <c r="AF282" s="5">
        <f t="shared" si="74"/>
        <v>197.82933333333335</v>
      </c>
    </row>
    <row r="283" spans="1:32" x14ac:dyDescent="0.25">
      <c r="A283" s="207">
        <v>349</v>
      </c>
      <c r="B283" s="1" t="str">
        <f t="shared" si="60"/>
        <v>2.79, Plant &amp; Pre-Folding 16R-30</v>
      </c>
      <c r="C283" s="142">
        <v>2.79</v>
      </c>
      <c r="D283" s="138" t="s">
        <v>424</v>
      </c>
      <c r="E283" s="138" t="s">
        <v>301</v>
      </c>
      <c r="F283" s="138" t="s">
        <v>59</v>
      </c>
      <c r="G283" s="138" t="str">
        <f t="shared" si="61"/>
        <v>Plant &amp; Pre-Folding 16R-30</v>
      </c>
      <c r="H283" s="30">
        <v>124000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2351.3279808472048</v>
      </c>
      <c r="W283" s="9">
        <f t="shared" si="65"/>
        <v>15.675519872314698</v>
      </c>
      <c r="X283" s="8">
        <f t="shared" si="66"/>
        <v>6975</v>
      </c>
      <c r="Y283" s="7">
        <f t="shared" si="67"/>
        <v>46.5</v>
      </c>
      <c r="Z283" s="2">
        <f t="shared" si="68"/>
        <v>55800</v>
      </c>
      <c r="AA283" s="2">
        <f t="shared" si="69"/>
        <v>8525</v>
      </c>
      <c r="AB283" s="2">
        <f t="shared" si="70"/>
        <v>89900</v>
      </c>
      <c r="AC283" s="6">
        <f t="shared" si="71"/>
        <v>8091</v>
      </c>
      <c r="AD283" s="6">
        <f t="shared" si="72"/>
        <v>2157.6</v>
      </c>
      <c r="AE283" s="6">
        <f t="shared" si="73"/>
        <v>18773.599999999999</v>
      </c>
      <c r="AF283" s="5">
        <f t="shared" si="74"/>
        <v>125.15733333333333</v>
      </c>
    </row>
    <row r="284" spans="1:32" x14ac:dyDescent="0.25">
      <c r="A284" s="207">
        <v>351</v>
      </c>
      <c r="B284" s="1" t="str">
        <f t="shared" si="60"/>
        <v>2.8, Plant &amp; Pre-Folding 24R-20</v>
      </c>
      <c r="C284" s="142">
        <v>2.8</v>
      </c>
      <c r="D284" s="138" t="s">
        <v>424</v>
      </c>
      <c r="E284" s="138" t="s">
        <v>301</v>
      </c>
      <c r="F284" s="138" t="s">
        <v>58</v>
      </c>
      <c r="G284" s="138" t="str">
        <f t="shared" si="61"/>
        <v>Plant &amp; Pre-Folding 24R-20</v>
      </c>
      <c r="H284" s="30">
        <v>187000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3545.9542936969942</v>
      </c>
      <c r="W284" s="9">
        <f t="shared" si="65"/>
        <v>23.639695291313295</v>
      </c>
      <c r="X284" s="8">
        <f t="shared" si="66"/>
        <v>10518.75</v>
      </c>
      <c r="Y284" s="7">
        <f t="shared" si="67"/>
        <v>70.125</v>
      </c>
      <c r="Z284" s="2">
        <f t="shared" si="68"/>
        <v>84150</v>
      </c>
      <c r="AA284" s="2">
        <f t="shared" si="69"/>
        <v>12856.25</v>
      </c>
      <c r="AB284" s="2">
        <f t="shared" si="70"/>
        <v>135575</v>
      </c>
      <c r="AC284" s="6">
        <f t="shared" si="71"/>
        <v>12201.75</v>
      </c>
      <c r="AD284" s="6">
        <f t="shared" si="72"/>
        <v>3253.8</v>
      </c>
      <c r="AE284" s="6">
        <f t="shared" si="73"/>
        <v>28311.8</v>
      </c>
      <c r="AF284" s="5">
        <f t="shared" si="74"/>
        <v>188.74533333333332</v>
      </c>
    </row>
    <row r="285" spans="1:32" x14ac:dyDescent="0.25">
      <c r="A285" s="207">
        <v>603</v>
      </c>
      <c r="B285" s="1" t="str">
        <f t="shared" si="60"/>
        <v>2.81, Plant &amp; Pre-Folding 32R-15</v>
      </c>
      <c r="C285" s="142">
        <v>2.81</v>
      </c>
      <c r="D285" s="138" t="s">
        <v>424</v>
      </c>
      <c r="E285" s="138" t="s">
        <v>301</v>
      </c>
      <c r="F285" s="138" t="s">
        <v>57</v>
      </c>
      <c r="G285" s="138" t="str">
        <f t="shared" si="61"/>
        <v>Plant &amp; Pre-Folding 32R-15</v>
      </c>
      <c r="H285" s="30">
        <v>189000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3583.8789385493687</v>
      </c>
      <c r="W285" s="9">
        <f t="shared" si="65"/>
        <v>23.89252625699579</v>
      </c>
      <c r="X285" s="8">
        <f t="shared" si="66"/>
        <v>10631.25</v>
      </c>
      <c r="Y285" s="7">
        <f t="shared" si="67"/>
        <v>70.875</v>
      </c>
      <c r="Z285" s="2">
        <f t="shared" si="68"/>
        <v>85050</v>
      </c>
      <c r="AA285" s="2">
        <f t="shared" si="69"/>
        <v>12993.75</v>
      </c>
      <c r="AB285" s="2">
        <f t="shared" si="70"/>
        <v>137025</v>
      </c>
      <c r="AC285" s="6">
        <f t="shared" si="71"/>
        <v>12332.25</v>
      </c>
      <c r="AD285" s="6">
        <f t="shared" si="72"/>
        <v>3288.6</v>
      </c>
      <c r="AE285" s="6">
        <f t="shared" si="73"/>
        <v>28614.6</v>
      </c>
      <c r="AF285" s="5">
        <f t="shared" si="74"/>
        <v>190.76399999999998</v>
      </c>
    </row>
    <row r="286" spans="1:32" x14ac:dyDescent="0.25">
      <c r="A286" s="207">
        <v>352</v>
      </c>
      <c r="B286" s="1" t="str">
        <f t="shared" si="60"/>
        <v>2.82, Plant &amp; Pre-Folding 24R-30</v>
      </c>
      <c r="C286" s="142">
        <v>2.82</v>
      </c>
      <c r="D286" s="138" t="s">
        <v>424</v>
      </c>
      <c r="E286" s="138" t="s">
        <v>301</v>
      </c>
      <c r="F286" s="138" t="s">
        <v>56</v>
      </c>
      <c r="G286" s="138" t="str">
        <f t="shared" si="61"/>
        <v>Plant &amp; Pre-Folding 24R-30</v>
      </c>
      <c r="H286" s="30">
        <v>187000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3545.9542936969942</v>
      </c>
      <c r="W286" s="9">
        <f t="shared" si="65"/>
        <v>23.639695291313295</v>
      </c>
      <c r="X286" s="8">
        <f t="shared" si="66"/>
        <v>10518.75</v>
      </c>
      <c r="Y286" s="7">
        <f t="shared" si="67"/>
        <v>70.125</v>
      </c>
      <c r="Z286" s="2">
        <f t="shared" si="68"/>
        <v>84150</v>
      </c>
      <c r="AA286" s="2">
        <f t="shared" si="69"/>
        <v>12856.25</v>
      </c>
      <c r="AB286" s="2">
        <f t="shared" si="70"/>
        <v>135575</v>
      </c>
      <c r="AC286" s="6">
        <f t="shared" si="71"/>
        <v>12201.75</v>
      </c>
      <c r="AD286" s="6">
        <f t="shared" si="72"/>
        <v>3253.8</v>
      </c>
      <c r="AE286" s="6">
        <f t="shared" si="73"/>
        <v>28311.8</v>
      </c>
      <c r="AF286" s="5">
        <f t="shared" si="74"/>
        <v>188.74533333333332</v>
      </c>
    </row>
    <row r="287" spans="1:32" x14ac:dyDescent="0.25">
      <c r="A287" s="207">
        <v>642</v>
      </c>
      <c r="B287" s="1" t="str">
        <f t="shared" si="60"/>
        <v>2.83, Plant &amp; Pre-Folding 36R-20</v>
      </c>
      <c r="C287" s="142">
        <v>2.83</v>
      </c>
      <c r="D287" s="138" t="s">
        <v>424</v>
      </c>
      <c r="E287" s="138" t="s">
        <v>301</v>
      </c>
      <c r="F287" s="138" t="s">
        <v>55</v>
      </c>
      <c r="G287" s="138" t="str">
        <f t="shared" si="61"/>
        <v>Plant &amp; Pre-Folding 36R-20</v>
      </c>
      <c r="H287" s="284">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x14ac:dyDescent="0.25">
      <c r="A288" s="207">
        <v>341</v>
      </c>
      <c r="B288" s="1" t="str">
        <f t="shared" si="60"/>
        <v>2.84, Plant &amp; Pre-Rigid  4R-30</v>
      </c>
      <c r="C288" s="142">
        <v>2.84</v>
      </c>
      <c r="D288" s="138" t="s">
        <v>424</v>
      </c>
      <c r="E288" s="138" t="s">
        <v>302</v>
      </c>
      <c r="F288" s="138" t="s">
        <v>48</v>
      </c>
      <c r="G288" s="138" t="str">
        <f t="shared" si="61"/>
        <v>Plant &amp; Pre-Rigid  4R-30</v>
      </c>
      <c r="H288" s="30">
        <v>31600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599.20938866751351</v>
      </c>
      <c r="W288" s="9">
        <f t="shared" si="65"/>
        <v>3.9947292577834235</v>
      </c>
      <c r="X288" s="8">
        <f t="shared" si="66"/>
        <v>1777.5</v>
      </c>
      <c r="Y288" s="7">
        <f t="shared" si="67"/>
        <v>11.85</v>
      </c>
      <c r="Z288" s="2">
        <f t="shared" si="68"/>
        <v>14220</v>
      </c>
      <c r="AA288" s="2">
        <f t="shared" si="69"/>
        <v>2172.5</v>
      </c>
      <c r="AB288" s="2">
        <f t="shared" si="70"/>
        <v>22910</v>
      </c>
      <c r="AC288" s="6">
        <f t="shared" si="71"/>
        <v>2061.9</v>
      </c>
      <c r="AD288" s="6">
        <f t="shared" si="72"/>
        <v>549.84</v>
      </c>
      <c r="AE288" s="6">
        <f t="shared" si="73"/>
        <v>4784.24</v>
      </c>
      <c r="AF288" s="5">
        <f t="shared" si="74"/>
        <v>31.894933333333331</v>
      </c>
    </row>
    <row r="289" spans="1:32" x14ac:dyDescent="0.25">
      <c r="A289" s="207">
        <v>155</v>
      </c>
      <c r="B289" s="1" t="str">
        <f t="shared" si="60"/>
        <v>2.85, Plant &amp; Pre-Rigid  4R-36</v>
      </c>
      <c r="C289" s="142">
        <v>2.85</v>
      </c>
      <c r="D289" s="138" t="s">
        <v>424</v>
      </c>
      <c r="E289" s="138" t="s">
        <v>302</v>
      </c>
      <c r="F289" s="138" t="s">
        <v>195</v>
      </c>
      <c r="G289" s="138" t="str">
        <f t="shared" si="61"/>
        <v>Plant &amp; Pre-Rigid  4R-36</v>
      </c>
      <c r="H289" s="30">
        <v>32600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618.17171109370065</v>
      </c>
      <c r="W289" s="9">
        <f t="shared" si="65"/>
        <v>4.1211447406246711</v>
      </c>
      <c r="X289" s="8">
        <f t="shared" si="66"/>
        <v>1833.75</v>
      </c>
      <c r="Y289" s="7">
        <f t="shared" si="67"/>
        <v>12.225</v>
      </c>
      <c r="Z289" s="2">
        <f t="shared" si="68"/>
        <v>14670</v>
      </c>
      <c r="AA289" s="2">
        <f t="shared" si="69"/>
        <v>2241.25</v>
      </c>
      <c r="AB289" s="2">
        <f t="shared" si="70"/>
        <v>23635</v>
      </c>
      <c r="AC289" s="6">
        <f t="shared" si="71"/>
        <v>2127.15</v>
      </c>
      <c r="AD289" s="6">
        <f t="shared" si="72"/>
        <v>567.24</v>
      </c>
      <c r="AE289" s="6">
        <f t="shared" si="73"/>
        <v>4935.6399999999994</v>
      </c>
      <c r="AF289" s="5">
        <f t="shared" si="74"/>
        <v>32.904266666666665</v>
      </c>
    </row>
    <row r="290" spans="1:32" x14ac:dyDescent="0.25">
      <c r="A290" s="207">
        <v>531</v>
      </c>
      <c r="B290" s="1" t="str">
        <f t="shared" si="60"/>
        <v>2.86, Plant &amp; Pre-Rigid 11R-15</v>
      </c>
      <c r="C290" s="142">
        <v>2.86</v>
      </c>
      <c r="D290" s="138" t="s">
        <v>424</v>
      </c>
      <c r="E290" s="138" t="s">
        <v>302</v>
      </c>
      <c r="F290" s="138" t="s">
        <v>54</v>
      </c>
      <c r="G290" s="138" t="str">
        <f t="shared" si="61"/>
        <v>Plant &amp; Pre-Rigid 11R-15</v>
      </c>
      <c r="H290" s="30">
        <v>54700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1037.2390367124365</v>
      </c>
      <c r="W290" s="9">
        <f t="shared" si="65"/>
        <v>6.9149269114162433</v>
      </c>
      <c r="X290" s="8">
        <f t="shared" si="66"/>
        <v>3076.875</v>
      </c>
      <c r="Y290" s="7">
        <f t="shared" si="67"/>
        <v>20.512499999999999</v>
      </c>
      <c r="Z290" s="2">
        <f t="shared" si="68"/>
        <v>24615</v>
      </c>
      <c r="AA290" s="2">
        <f t="shared" si="69"/>
        <v>3760.625</v>
      </c>
      <c r="AB290" s="2">
        <f t="shared" si="70"/>
        <v>39657.5</v>
      </c>
      <c r="AC290" s="6">
        <f t="shared" si="71"/>
        <v>3569.1749999999997</v>
      </c>
      <c r="AD290" s="6">
        <f t="shared" si="72"/>
        <v>951.78</v>
      </c>
      <c r="AE290" s="6">
        <f t="shared" si="73"/>
        <v>8281.58</v>
      </c>
      <c r="AF290" s="5">
        <f t="shared" si="74"/>
        <v>55.210533333333331</v>
      </c>
    </row>
    <row r="291" spans="1:32" x14ac:dyDescent="0.25">
      <c r="A291" s="207">
        <v>156</v>
      </c>
      <c r="B291" s="1" t="str">
        <f t="shared" si="60"/>
        <v>2.87, Plant &amp; Pre-Rigid  6R-30</v>
      </c>
      <c r="C291" s="142">
        <v>2.87</v>
      </c>
      <c r="D291" s="138" t="s">
        <v>424</v>
      </c>
      <c r="E291" s="138" t="s">
        <v>302</v>
      </c>
      <c r="F291" s="138" t="s">
        <v>53</v>
      </c>
      <c r="G291" s="138" t="str">
        <f t="shared" si="61"/>
        <v>Plant &amp; Pre-Rigid  6R-30</v>
      </c>
      <c r="H291" s="30">
        <v>39300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745.21927134915438</v>
      </c>
      <c r="W291" s="9">
        <f t="shared" si="65"/>
        <v>4.9681284756610289</v>
      </c>
      <c r="X291" s="8">
        <f t="shared" si="66"/>
        <v>2210.625</v>
      </c>
      <c r="Y291" s="7">
        <f t="shared" si="67"/>
        <v>14.737500000000001</v>
      </c>
      <c r="Z291" s="2">
        <f t="shared" si="68"/>
        <v>17685</v>
      </c>
      <c r="AA291" s="2">
        <f t="shared" si="69"/>
        <v>2701.875</v>
      </c>
      <c r="AB291" s="2">
        <f t="shared" si="70"/>
        <v>28492.5</v>
      </c>
      <c r="AC291" s="6">
        <f t="shared" si="71"/>
        <v>2564.3249999999998</v>
      </c>
      <c r="AD291" s="6">
        <f t="shared" si="72"/>
        <v>683.82</v>
      </c>
      <c r="AE291" s="6">
        <f t="shared" si="73"/>
        <v>5950.0199999999995</v>
      </c>
      <c r="AF291" s="5">
        <f t="shared" si="74"/>
        <v>39.666799999999995</v>
      </c>
    </row>
    <row r="292" spans="1:32" x14ac:dyDescent="0.25">
      <c r="A292" s="207">
        <v>157</v>
      </c>
      <c r="B292" s="1" t="str">
        <f t="shared" si="60"/>
        <v>2.88, Plant &amp; Pre-Rigid  6R-36</v>
      </c>
      <c r="C292" s="142">
        <v>2.88</v>
      </c>
      <c r="D292" s="138" t="s">
        <v>424</v>
      </c>
      <c r="E292" s="138" t="s">
        <v>302</v>
      </c>
      <c r="F292" s="138" t="s">
        <v>196</v>
      </c>
      <c r="G292" s="138" t="str">
        <f t="shared" si="61"/>
        <v>Plant &amp; Pre-Rigid  6R-36</v>
      </c>
      <c r="H292" s="30">
        <v>38500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730.04941340820471</v>
      </c>
      <c r="W292" s="9">
        <f t="shared" si="65"/>
        <v>4.8669960893880315</v>
      </c>
      <c r="X292" s="8">
        <f t="shared" si="66"/>
        <v>2165.625</v>
      </c>
      <c r="Y292" s="7">
        <f t="shared" si="67"/>
        <v>14.4375</v>
      </c>
      <c r="Z292" s="2">
        <f t="shared" si="68"/>
        <v>17325</v>
      </c>
      <c r="AA292" s="2">
        <f t="shared" si="69"/>
        <v>2646.875</v>
      </c>
      <c r="AB292" s="2">
        <f t="shared" si="70"/>
        <v>27912.5</v>
      </c>
      <c r="AC292" s="6">
        <f t="shared" si="71"/>
        <v>2512.125</v>
      </c>
      <c r="AD292" s="6">
        <f t="shared" si="72"/>
        <v>669.9</v>
      </c>
      <c r="AE292" s="6">
        <f t="shared" si="73"/>
        <v>5828.9</v>
      </c>
      <c r="AF292" s="5">
        <f t="shared" si="74"/>
        <v>38.859333333333332</v>
      </c>
    </row>
    <row r="293" spans="1:32" x14ac:dyDescent="0.25">
      <c r="A293" s="207">
        <v>535</v>
      </c>
      <c r="B293" s="1" t="str">
        <f t="shared" si="60"/>
        <v>2.89, Plant &amp; Pre-Rigid 11R-20</v>
      </c>
      <c r="C293" s="142">
        <v>2.89</v>
      </c>
      <c r="D293" s="138" t="s">
        <v>424</v>
      </c>
      <c r="E293" s="138" t="s">
        <v>302</v>
      </c>
      <c r="F293" s="138" t="s">
        <v>52</v>
      </c>
      <c r="G293" s="138" t="str">
        <f t="shared" si="61"/>
        <v>Plant &amp; Pre-Rigid 11R-20</v>
      </c>
      <c r="H293" s="30">
        <v>54000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1023.9654110141054</v>
      </c>
      <c r="W293" s="9">
        <f t="shared" si="65"/>
        <v>6.8264360734273692</v>
      </c>
      <c r="X293" s="8">
        <f t="shared" si="66"/>
        <v>3037.5</v>
      </c>
      <c r="Y293" s="7">
        <f t="shared" si="67"/>
        <v>20.25</v>
      </c>
      <c r="Z293" s="2">
        <f t="shared" si="68"/>
        <v>24300</v>
      </c>
      <c r="AA293" s="2">
        <f t="shared" si="69"/>
        <v>3712.5</v>
      </c>
      <c r="AB293" s="2">
        <f t="shared" si="70"/>
        <v>39150</v>
      </c>
      <c r="AC293" s="6">
        <f t="shared" si="71"/>
        <v>3523.5</v>
      </c>
      <c r="AD293" s="6">
        <f t="shared" si="72"/>
        <v>939.6</v>
      </c>
      <c r="AE293" s="6">
        <f t="shared" si="73"/>
        <v>8175.6</v>
      </c>
      <c r="AF293" s="5">
        <f t="shared" si="74"/>
        <v>54.504000000000005</v>
      </c>
    </row>
    <row r="294" spans="1:32" x14ac:dyDescent="0.25">
      <c r="A294" s="207">
        <v>621</v>
      </c>
      <c r="B294" s="1" t="str">
        <f t="shared" si="60"/>
        <v>2.9, Plant &amp; Pre-Rigid 15R-15</v>
      </c>
      <c r="C294" s="142">
        <v>2.9</v>
      </c>
      <c r="D294" s="138" t="s">
        <v>424</v>
      </c>
      <c r="E294" s="138" t="s">
        <v>302</v>
      </c>
      <c r="F294" s="138" t="s">
        <v>51</v>
      </c>
      <c r="G294" s="138" t="str">
        <f t="shared" si="61"/>
        <v>Plant &amp; Pre-Rigid 15R-15</v>
      </c>
      <c r="H294" s="30">
        <v>69500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1317.8814086200059</v>
      </c>
      <c r="W294" s="9">
        <f t="shared" si="65"/>
        <v>8.785876057466707</v>
      </c>
      <c r="X294" s="8">
        <f t="shared" si="66"/>
        <v>3909.375</v>
      </c>
      <c r="Y294" s="7">
        <f t="shared" si="67"/>
        <v>26.0625</v>
      </c>
      <c r="Z294" s="2">
        <f t="shared" si="68"/>
        <v>31275</v>
      </c>
      <c r="AA294" s="2">
        <f t="shared" si="69"/>
        <v>4778.125</v>
      </c>
      <c r="AB294" s="2">
        <f t="shared" si="70"/>
        <v>50387.5</v>
      </c>
      <c r="AC294" s="6">
        <f t="shared" si="71"/>
        <v>4534.875</v>
      </c>
      <c r="AD294" s="6">
        <f t="shared" si="72"/>
        <v>1209.3</v>
      </c>
      <c r="AE294" s="6">
        <f t="shared" si="73"/>
        <v>10522.3</v>
      </c>
      <c r="AF294" s="5">
        <f t="shared" si="74"/>
        <v>70.148666666666657</v>
      </c>
    </row>
    <row r="295" spans="1:32" x14ac:dyDescent="0.25">
      <c r="A295" s="207">
        <v>159</v>
      </c>
      <c r="B295" s="1" t="str">
        <f t="shared" si="60"/>
        <v>2.91, Plant &amp; Pre-Rigid  8R-30</v>
      </c>
      <c r="C295" s="142">
        <v>2.91</v>
      </c>
      <c r="D295" s="138" t="s">
        <v>424</v>
      </c>
      <c r="E295" s="138" t="s">
        <v>302</v>
      </c>
      <c r="F295" s="138" t="s">
        <v>25</v>
      </c>
      <c r="G295" s="138" t="str">
        <f t="shared" si="61"/>
        <v>Plant &amp; Pre-Rigid  8R-30</v>
      </c>
      <c r="H295" s="30">
        <v>47800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906.39901197174504</v>
      </c>
      <c r="W295" s="9">
        <f t="shared" si="65"/>
        <v>6.0426600798116334</v>
      </c>
      <c r="X295" s="8">
        <f t="shared" si="66"/>
        <v>2688.75</v>
      </c>
      <c r="Y295" s="7">
        <f t="shared" si="67"/>
        <v>17.925000000000001</v>
      </c>
      <c r="Z295" s="2">
        <f t="shared" si="68"/>
        <v>21510</v>
      </c>
      <c r="AA295" s="2">
        <f t="shared" si="69"/>
        <v>3286.25</v>
      </c>
      <c r="AB295" s="2">
        <f t="shared" si="70"/>
        <v>34655</v>
      </c>
      <c r="AC295" s="6">
        <f t="shared" si="71"/>
        <v>3118.95</v>
      </c>
      <c r="AD295" s="6">
        <f t="shared" si="72"/>
        <v>831.72</v>
      </c>
      <c r="AE295" s="6">
        <f t="shared" si="73"/>
        <v>7236.92</v>
      </c>
      <c r="AF295" s="5">
        <f t="shared" si="74"/>
        <v>48.246133333333333</v>
      </c>
    </row>
    <row r="296" spans="1:32" x14ac:dyDescent="0.25">
      <c r="A296" s="207">
        <v>163</v>
      </c>
      <c r="B296" s="1" t="str">
        <f t="shared" si="60"/>
        <v>2.92, Plant &amp; Pre-Rigid 12R-20</v>
      </c>
      <c r="C296" s="142">
        <v>2.92</v>
      </c>
      <c r="D296" s="138" t="s">
        <v>424</v>
      </c>
      <c r="E296" s="138" t="s">
        <v>302</v>
      </c>
      <c r="F296" s="138" t="s">
        <v>50</v>
      </c>
      <c r="G296" s="138" t="str">
        <f t="shared" si="61"/>
        <v>Plant &amp; Pre-Rigid 12R-20</v>
      </c>
      <c r="H296" s="30">
        <v>55700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1056.2013591386235</v>
      </c>
      <c r="W296" s="9">
        <f t="shared" si="65"/>
        <v>7.04134239425749</v>
      </c>
      <c r="X296" s="8">
        <f t="shared" si="66"/>
        <v>3133.125</v>
      </c>
      <c r="Y296" s="7">
        <f t="shared" si="67"/>
        <v>20.887499999999999</v>
      </c>
      <c r="Z296" s="2">
        <f t="shared" si="68"/>
        <v>25065</v>
      </c>
      <c r="AA296" s="2">
        <f t="shared" si="69"/>
        <v>3829.375</v>
      </c>
      <c r="AB296" s="2">
        <f t="shared" si="70"/>
        <v>40382.5</v>
      </c>
      <c r="AC296" s="6">
        <f t="shared" si="71"/>
        <v>3634.4249999999997</v>
      </c>
      <c r="AD296" s="6">
        <f t="shared" si="72"/>
        <v>969.18000000000006</v>
      </c>
      <c r="AE296" s="6">
        <f t="shared" si="73"/>
        <v>8432.98</v>
      </c>
      <c r="AF296" s="5">
        <f t="shared" si="74"/>
        <v>56.219866666666661</v>
      </c>
    </row>
    <row r="297" spans="1:32" x14ac:dyDescent="0.25">
      <c r="A297" s="207">
        <v>644</v>
      </c>
      <c r="B297" s="1" t="str">
        <f t="shared" si="60"/>
        <v>2.93, Plant &amp; Pre-Rigid 13R-18/20</v>
      </c>
      <c r="C297" s="142">
        <v>2.93</v>
      </c>
      <c r="D297" s="138" t="s">
        <v>424</v>
      </c>
      <c r="E297" s="138" t="s">
        <v>302</v>
      </c>
      <c r="F297" s="138" t="s">
        <v>49</v>
      </c>
      <c r="G297" s="138" t="str">
        <f t="shared" si="61"/>
        <v>Plant &amp; Pre-Rigid 13R-18/20</v>
      </c>
      <c r="H297" s="284">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x14ac:dyDescent="0.25">
      <c r="A298" s="207">
        <v>160</v>
      </c>
      <c r="B298" s="1" t="str">
        <f t="shared" si="60"/>
        <v>2.94, Plant &amp; Pre-Rigid  8R-36</v>
      </c>
      <c r="C298" s="142">
        <v>2.94</v>
      </c>
      <c r="D298" s="138" t="s">
        <v>424</v>
      </c>
      <c r="E298" s="138" t="s">
        <v>302</v>
      </c>
      <c r="F298" s="138" t="s">
        <v>193</v>
      </c>
      <c r="G298" s="138" t="str">
        <f t="shared" si="61"/>
        <v>Plant &amp; Pre-Rigid  8R-36</v>
      </c>
      <c r="H298" s="30">
        <v>45700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866.57813487675207</v>
      </c>
      <c r="W298" s="9">
        <f t="shared" si="65"/>
        <v>5.777187565845014</v>
      </c>
      <c r="X298" s="8">
        <f t="shared" si="66"/>
        <v>2570.625</v>
      </c>
      <c r="Y298" s="7">
        <f t="shared" si="67"/>
        <v>17.137499999999999</v>
      </c>
      <c r="Z298" s="2">
        <f t="shared" si="68"/>
        <v>20565</v>
      </c>
      <c r="AA298" s="2">
        <f t="shared" si="69"/>
        <v>3141.875</v>
      </c>
      <c r="AB298" s="2">
        <f t="shared" si="70"/>
        <v>33132.5</v>
      </c>
      <c r="AC298" s="6">
        <f t="shared" si="71"/>
        <v>2981.9249999999997</v>
      </c>
      <c r="AD298" s="6">
        <f t="shared" si="72"/>
        <v>795.18000000000006</v>
      </c>
      <c r="AE298" s="6">
        <f t="shared" si="73"/>
        <v>6918.98</v>
      </c>
      <c r="AF298" s="5">
        <f t="shared" si="74"/>
        <v>46.126533333333327</v>
      </c>
    </row>
    <row r="299" spans="1:32" x14ac:dyDescent="0.25">
      <c r="A299" s="207">
        <v>161</v>
      </c>
      <c r="B299" s="1" t="str">
        <f t="shared" si="60"/>
        <v>2.95, Plant &amp; Pre-Rigid 10R-30</v>
      </c>
      <c r="C299" s="142">
        <v>2.95</v>
      </c>
      <c r="D299" s="138" t="s">
        <v>424</v>
      </c>
      <c r="E299" s="138" t="s">
        <v>302</v>
      </c>
      <c r="F299" s="138" t="s">
        <v>24</v>
      </c>
      <c r="G299" s="138" t="str">
        <f t="shared" si="61"/>
        <v>Plant &amp; Pre-Rigid 10R-30</v>
      </c>
      <c r="H299" s="284">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x14ac:dyDescent="0.25">
      <c r="A300" s="207">
        <v>347</v>
      </c>
      <c r="B300" s="1" t="str">
        <f t="shared" si="60"/>
        <v>2.96, Plant &amp; Pre-Rigid 12R-30</v>
      </c>
      <c r="C300" s="142">
        <v>2.96</v>
      </c>
      <c r="D300" s="138" t="s">
        <v>424</v>
      </c>
      <c r="E300" s="138" t="s">
        <v>302</v>
      </c>
      <c r="F300" s="138" t="s">
        <v>6</v>
      </c>
      <c r="G300" s="138" t="str">
        <f t="shared" si="61"/>
        <v>Plant &amp; Pre-Rigid 12R-30</v>
      </c>
      <c r="H300" s="30">
        <v>72700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1378.5608403838048</v>
      </c>
      <c r="W300" s="9">
        <f t="shared" si="65"/>
        <v>9.1904056025586982</v>
      </c>
      <c r="X300" s="8">
        <f t="shared" si="66"/>
        <v>4089.375</v>
      </c>
      <c r="Y300" s="7">
        <f t="shared" si="67"/>
        <v>27.262499999999999</v>
      </c>
      <c r="Z300" s="2">
        <f t="shared" si="68"/>
        <v>32715</v>
      </c>
      <c r="AA300" s="2">
        <f t="shared" si="69"/>
        <v>4998.125</v>
      </c>
      <c r="AB300" s="2">
        <f t="shared" si="70"/>
        <v>52707.5</v>
      </c>
      <c r="AC300" s="6">
        <f t="shared" si="71"/>
        <v>4743.6750000000002</v>
      </c>
      <c r="AD300" s="6">
        <f t="shared" si="72"/>
        <v>1264.98</v>
      </c>
      <c r="AE300" s="6">
        <f t="shared" si="73"/>
        <v>11006.779999999999</v>
      </c>
      <c r="AF300" s="5">
        <f t="shared" si="74"/>
        <v>73.378533333333323</v>
      </c>
    </row>
    <row r="301" spans="1:32" x14ac:dyDescent="0.25">
      <c r="A301" s="207">
        <v>645</v>
      </c>
      <c r="B301" s="1" t="str">
        <f t="shared" si="60"/>
        <v>2.97, Plant &amp; Pre-Twin Row 8R-36</v>
      </c>
      <c r="C301" s="142">
        <v>2.97</v>
      </c>
      <c r="D301" s="138" t="s">
        <v>424</v>
      </c>
      <c r="E301" s="138" t="s">
        <v>303</v>
      </c>
      <c r="F301" s="138" t="s">
        <v>199</v>
      </c>
      <c r="G301" s="138" t="str">
        <f t="shared" si="61"/>
        <v>Plant &amp; Pre-Twin Row 8R-36</v>
      </c>
      <c r="H301" s="30">
        <v>129000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2446.1395929781406</v>
      </c>
      <c r="W301" s="9">
        <f t="shared" si="65"/>
        <v>16.307597286520938</v>
      </c>
      <c r="X301" s="8">
        <f t="shared" si="66"/>
        <v>7256.25</v>
      </c>
      <c r="Y301" s="7">
        <f t="shared" si="67"/>
        <v>48.375</v>
      </c>
      <c r="Z301" s="2">
        <f t="shared" si="68"/>
        <v>58050</v>
      </c>
      <c r="AA301" s="2">
        <f t="shared" si="69"/>
        <v>8868.75</v>
      </c>
      <c r="AB301" s="2">
        <f t="shared" si="70"/>
        <v>93525</v>
      </c>
      <c r="AC301" s="6">
        <f t="shared" si="71"/>
        <v>8417.25</v>
      </c>
      <c r="AD301" s="6">
        <f t="shared" si="72"/>
        <v>2244.6</v>
      </c>
      <c r="AE301" s="6">
        <f t="shared" si="73"/>
        <v>19530.599999999999</v>
      </c>
      <c r="AF301" s="5">
        <f t="shared" si="74"/>
        <v>130.20399999999998</v>
      </c>
    </row>
    <row r="302" spans="1:32" x14ac:dyDescent="0.25">
      <c r="A302" s="207">
        <v>604</v>
      </c>
      <c r="B302" s="1" t="str">
        <f t="shared" si="60"/>
        <v>2.98, Plant &amp; Pre-Twin Row 12R-36</v>
      </c>
      <c r="C302" s="142">
        <v>2.98</v>
      </c>
      <c r="D302" s="138" t="s">
        <v>424</v>
      </c>
      <c r="E302" s="138" t="s">
        <v>303</v>
      </c>
      <c r="F302" s="138" t="s">
        <v>194</v>
      </c>
      <c r="G302" s="138" t="str">
        <f t="shared" si="61"/>
        <v>Plant &amp; Pre-Twin Row 12R-36</v>
      </c>
      <c r="H302" s="30">
        <v>160000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3033.9715881899415</v>
      </c>
      <c r="W302" s="9">
        <f t="shared" si="65"/>
        <v>20.226477254599612</v>
      </c>
      <c r="X302" s="8">
        <f t="shared" si="66"/>
        <v>9000</v>
      </c>
      <c r="Y302" s="7">
        <f t="shared" si="67"/>
        <v>60</v>
      </c>
      <c r="Z302" s="2">
        <f t="shared" si="68"/>
        <v>72000</v>
      </c>
      <c r="AA302" s="2">
        <f t="shared" si="69"/>
        <v>11000</v>
      </c>
      <c r="AB302" s="2">
        <f t="shared" si="70"/>
        <v>116000</v>
      </c>
      <c r="AC302" s="6">
        <f t="shared" si="71"/>
        <v>10440</v>
      </c>
      <c r="AD302" s="6">
        <f t="shared" si="72"/>
        <v>2784</v>
      </c>
      <c r="AE302" s="6">
        <f t="shared" si="73"/>
        <v>24224</v>
      </c>
      <c r="AF302" s="5">
        <f t="shared" si="74"/>
        <v>161.49333333333334</v>
      </c>
    </row>
    <row r="303" spans="1:32" x14ac:dyDescent="0.25">
      <c r="A303" s="207"/>
      <c r="B303" s="1" t="str">
        <f t="shared" si="60"/>
        <v>2.99, Plow 4 Bottom Switch</v>
      </c>
      <c r="C303" s="142">
        <v>2.99</v>
      </c>
      <c r="D303" s="138" t="s">
        <v>424</v>
      </c>
      <c r="E303" s="138" t="s">
        <v>410</v>
      </c>
      <c r="F303" s="138" t="s">
        <v>411</v>
      </c>
      <c r="G303" s="138" t="str">
        <f t="shared" si="61"/>
        <v>Plow 4 Bottom Switch</v>
      </c>
      <c r="H303" s="30">
        <v>16000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303.39715881899417</v>
      </c>
      <c r="W303" s="9">
        <f t="shared" si="65"/>
        <v>2.0226477254599611</v>
      </c>
      <c r="X303" s="8">
        <f t="shared" si="66"/>
        <v>800</v>
      </c>
      <c r="Y303" s="7">
        <f t="shared" si="67"/>
        <v>5.333333333333333</v>
      </c>
      <c r="Z303" s="2">
        <f t="shared" si="68"/>
        <v>4800</v>
      </c>
      <c r="AA303" s="2">
        <f t="shared" si="69"/>
        <v>1400</v>
      </c>
      <c r="AB303" s="2">
        <f t="shared" si="70"/>
        <v>10400</v>
      </c>
      <c r="AC303" s="6">
        <f t="shared" si="71"/>
        <v>936</v>
      </c>
      <c r="AD303" s="6">
        <f t="shared" si="72"/>
        <v>249.6</v>
      </c>
      <c r="AE303" s="6">
        <f t="shared" si="73"/>
        <v>2585.6</v>
      </c>
      <c r="AF303" s="5">
        <f t="shared" si="74"/>
        <v>17.237333333333332</v>
      </c>
    </row>
    <row r="304" spans="1:32" x14ac:dyDescent="0.25">
      <c r="A304" s="207"/>
      <c r="B304" s="1" t="str">
        <f t="shared" si="60"/>
        <v>3, Plow 5 Bottom Switch</v>
      </c>
      <c r="C304" s="142">
        <v>3</v>
      </c>
      <c r="D304" s="138" t="s">
        <v>424</v>
      </c>
      <c r="E304" s="138" t="s">
        <v>410</v>
      </c>
      <c r="F304" s="138" t="s">
        <v>412</v>
      </c>
      <c r="G304" s="138" t="str">
        <f t="shared" si="61"/>
        <v>Plow 5 Bottom Switch</v>
      </c>
      <c r="H304" s="30">
        <v>18000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341.32180367136846</v>
      </c>
      <c r="W304" s="9">
        <f t="shared" si="65"/>
        <v>2.2754786911424563</v>
      </c>
      <c r="X304" s="8">
        <f t="shared" si="66"/>
        <v>900</v>
      </c>
      <c r="Y304" s="7">
        <f t="shared" si="67"/>
        <v>6</v>
      </c>
      <c r="Z304" s="2">
        <f t="shared" si="68"/>
        <v>5400</v>
      </c>
      <c r="AA304" s="2">
        <f t="shared" si="69"/>
        <v>1575</v>
      </c>
      <c r="AB304" s="2">
        <f t="shared" si="70"/>
        <v>11700</v>
      </c>
      <c r="AC304" s="6">
        <f t="shared" si="71"/>
        <v>1053</v>
      </c>
      <c r="AD304" s="6">
        <f t="shared" si="72"/>
        <v>280.8</v>
      </c>
      <c r="AE304" s="6">
        <f t="shared" si="73"/>
        <v>2908.8</v>
      </c>
      <c r="AF304" s="5">
        <f t="shared" si="74"/>
        <v>19.391999999999999</v>
      </c>
    </row>
    <row r="305" spans="1:32" x14ac:dyDescent="0.25">
      <c r="A305" s="207">
        <v>29</v>
      </c>
      <c r="B305" s="1" t="str">
        <f t="shared" si="60"/>
        <v>3.01, Roller/Cultipacker 12'</v>
      </c>
      <c r="C305" s="142">
        <v>3.01</v>
      </c>
      <c r="D305" s="138" t="s">
        <v>424</v>
      </c>
      <c r="E305" s="138" t="s">
        <v>304</v>
      </c>
      <c r="F305" s="138" t="s">
        <v>11</v>
      </c>
      <c r="G305" s="138" t="str">
        <f t="shared" si="61"/>
        <v>Roller/Cultipacker 12'</v>
      </c>
      <c r="H305" s="30">
        <v>6720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336.28135898085367</v>
      </c>
      <c r="W305" s="9">
        <f t="shared" si="65"/>
        <v>1.1209378632695122</v>
      </c>
      <c r="X305" s="8">
        <f t="shared" si="66"/>
        <v>476</v>
      </c>
      <c r="Y305" s="7">
        <f t="shared" si="67"/>
        <v>1.5866666666666667</v>
      </c>
      <c r="Z305" s="2">
        <f t="shared" si="68"/>
        <v>1680</v>
      </c>
      <c r="AA305" s="2">
        <f t="shared" si="69"/>
        <v>420</v>
      </c>
      <c r="AB305" s="2">
        <f t="shared" si="70"/>
        <v>4200</v>
      </c>
      <c r="AC305" s="6">
        <f t="shared" si="71"/>
        <v>378</v>
      </c>
      <c r="AD305" s="6">
        <f t="shared" si="72"/>
        <v>100.8</v>
      </c>
      <c r="AE305" s="6">
        <f t="shared" si="73"/>
        <v>898.8</v>
      </c>
      <c r="AF305" s="5">
        <f t="shared" si="74"/>
        <v>2.996</v>
      </c>
    </row>
    <row r="306" spans="1:32" x14ac:dyDescent="0.25">
      <c r="A306" s="207">
        <v>30</v>
      </c>
      <c r="B306" s="1" t="str">
        <f t="shared" si="60"/>
        <v>3.02, Roller/Cultipacker 20'</v>
      </c>
      <c r="C306" s="142">
        <v>3.02</v>
      </c>
      <c r="D306" s="138" t="s">
        <v>424</v>
      </c>
      <c r="E306" s="138" t="s">
        <v>304</v>
      </c>
      <c r="F306" s="138" t="s">
        <v>8</v>
      </c>
      <c r="G306" s="138" t="str">
        <f t="shared" si="61"/>
        <v>Roller/Cultipacker 20'</v>
      </c>
      <c r="H306" s="30">
        <v>10900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545.45637096596795</v>
      </c>
      <c r="W306" s="9">
        <f t="shared" si="65"/>
        <v>1.8181879032198931</v>
      </c>
      <c r="X306" s="8">
        <f t="shared" si="66"/>
        <v>772.08333333333337</v>
      </c>
      <c r="Y306" s="7">
        <f t="shared" si="67"/>
        <v>2.5736111111111111</v>
      </c>
      <c r="Z306" s="2">
        <f t="shared" si="68"/>
        <v>2725</v>
      </c>
      <c r="AA306" s="2">
        <f t="shared" si="69"/>
        <v>681.25</v>
      </c>
      <c r="AB306" s="2">
        <f t="shared" si="70"/>
        <v>6812.5</v>
      </c>
      <c r="AC306" s="6">
        <f t="shared" si="71"/>
        <v>613.125</v>
      </c>
      <c r="AD306" s="6">
        <f t="shared" si="72"/>
        <v>163.5</v>
      </c>
      <c r="AE306" s="6">
        <f t="shared" si="73"/>
        <v>1457.875</v>
      </c>
      <c r="AF306" s="5">
        <f t="shared" si="74"/>
        <v>4.8595833333333331</v>
      </c>
    </row>
    <row r="307" spans="1:32" x14ac:dyDescent="0.25">
      <c r="A307" s="207">
        <v>172</v>
      </c>
      <c r="B307" s="1" t="str">
        <f t="shared" si="60"/>
        <v>3.03, Roller/Cultipacker 30'</v>
      </c>
      <c r="C307" s="142">
        <v>3.03</v>
      </c>
      <c r="D307" s="138" t="s">
        <v>424</v>
      </c>
      <c r="E307" s="138" t="s">
        <v>304</v>
      </c>
      <c r="F307" s="138" t="s">
        <v>44</v>
      </c>
      <c r="G307" s="138" t="str">
        <f t="shared" si="61"/>
        <v>Roller/Cultipacker 30'</v>
      </c>
      <c r="H307" s="30">
        <v>14300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715.59872521223326</v>
      </c>
      <c r="W307" s="9">
        <f t="shared" si="65"/>
        <v>2.3853290840407775</v>
      </c>
      <c r="X307" s="8">
        <f t="shared" si="66"/>
        <v>1012.9166666666666</v>
      </c>
      <c r="Y307" s="7">
        <f t="shared" si="67"/>
        <v>3.3763888888888887</v>
      </c>
      <c r="Z307" s="2">
        <f t="shared" si="68"/>
        <v>3575</v>
      </c>
      <c r="AA307" s="2">
        <f t="shared" si="69"/>
        <v>893.75</v>
      </c>
      <c r="AB307" s="2">
        <f t="shared" si="70"/>
        <v>8937.5</v>
      </c>
      <c r="AC307" s="6">
        <f t="shared" si="71"/>
        <v>804.375</v>
      </c>
      <c r="AD307" s="6">
        <f t="shared" si="72"/>
        <v>214.5</v>
      </c>
      <c r="AE307" s="6">
        <f t="shared" si="73"/>
        <v>1912.625</v>
      </c>
      <c r="AF307" s="5">
        <f t="shared" si="74"/>
        <v>6.3754166666666663</v>
      </c>
    </row>
    <row r="308" spans="1:32" x14ac:dyDescent="0.25">
      <c r="A308" s="207">
        <v>717</v>
      </c>
      <c r="B308" s="1" t="str">
        <f t="shared" si="60"/>
        <v>3.04, Roller/Cultipacker 38'</v>
      </c>
      <c r="C308" s="142">
        <v>3.04</v>
      </c>
      <c r="D308" s="138" t="s">
        <v>424</v>
      </c>
      <c r="E308" s="138" t="s">
        <v>304</v>
      </c>
      <c r="F308" s="138" t="s">
        <v>41</v>
      </c>
      <c r="G308" s="138" t="str">
        <f t="shared" si="61"/>
        <v>Roller/Cultipacker 38'</v>
      </c>
      <c r="H308" s="30">
        <v>19600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980.82063036082309</v>
      </c>
      <c r="W308" s="9">
        <f t="shared" si="65"/>
        <v>3.2694021012027434</v>
      </c>
      <c r="X308" s="8">
        <f t="shared" si="66"/>
        <v>1388.3333333333333</v>
      </c>
      <c r="Y308" s="7">
        <f t="shared" si="67"/>
        <v>4.6277777777777773</v>
      </c>
      <c r="Z308" s="2">
        <f t="shared" si="68"/>
        <v>4900</v>
      </c>
      <c r="AA308" s="2">
        <f t="shared" si="69"/>
        <v>1225</v>
      </c>
      <c r="AB308" s="2">
        <f t="shared" si="70"/>
        <v>12250</v>
      </c>
      <c r="AC308" s="6">
        <f t="shared" si="71"/>
        <v>1102.5</v>
      </c>
      <c r="AD308" s="6">
        <f t="shared" si="72"/>
        <v>294</v>
      </c>
      <c r="AE308" s="6">
        <f t="shared" si="73"/>
        <v>2621.5</v>
      </c>
      <c r="AF308" s="5">
        <f t="shared" si="74"/>
        <v>8.7383333333333333</v>
      </c>
    </row>
    <row r="309" spans="1:32" x14ac:dyDescent="0.25">
      <c r="A309" s="207">
        <v>718</v>
      </c>
      <c r="B309" s="1" t="str">
        <f t="shared" si="60"/>
        <v>3.05, Roller/Stubble 20'</v>
      </c>
      <c r="C309" s="142">
        <v>3.05</v>
      </c>
      <c r="D309" s="138" t="s">
        <v>424</v>
      </c>
      <c r="E309" s="138" t="s">
        <v>305</v>
      </c>
      <c r="F309" s="138" t="s">
        <v>8</v>
      </c>
      <c r="G309" s="138" t="str">
        <f t="shared" si="61"/>
        <v>Roller/Stubble 20'</v>
      </c>
      <c r="H309" s="30">
        <v>12700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635.53173497869659</v>
      </c>
      <c r="W309" s="9">
        <f t="shared" si="65"/>
        <v>2.1184391165956553</v>
      </c>
      <c r="X309" s="8">
        <f t="shared" si="66"/>
        <v>899.58333333333337</v>
      </c>
      <c r="Y309" s="7">
        <f t="shared" si="67"/>
        <v>2.9986111111111113</v>
      </c>
      <c r="Z309" s="2">
        <f t="shared" si="68"/>
        <v>3175</v>
      </c>
      <c r="AA309" s="2">
        <f t="shared" si="69"/>
        <v>793.75</v>
      </c>
      <c r="AB309" s="2">
        <f t="shared" si="70"/>
        <v>7937.5</v>
      </c>
      <c r="AC309" s="6">
        <f t="shared" si="71"/>
        <v>714.375</v>
      </c>
      <c r="AD309" s="6">
        <f t="shared" si="72"/>
        <v>190.5</v>
      </c>
      <c r="AE309" s="6">
        <f t="shared" si="73"/>
        <v>1698.625</v>
      </c>
      <c r="AF309" s="5">
        <f t="shared" si="74"/>
        <v>5.6620833333333334</v>
      </c>
    </row>
    <row r="310" spans="1:32" x14ac:dyDescent="0.25">
      <c r="A310" s="207">
        <v>719</v>
      </c>
      <c r="B310" s="1" t="str">
        <f t="shared" si="60"/>
        <v>3.06, Roller/Stubble 32'</v>
      </c>
      <c r="C310" s="142">
        <v>3.06</v>
      </c>
      <c r="D310" s="138" t="s">
        <v>424</v>
      </c>
      <c r="E310" s="138" t="s">
        <v>305</v>
      </c>
      <c r="F310" s="138" t="s">
        <v>43</v>
      </c>
      <c r="G310" s="138" t="str">
        <f t="shared" si="61"/>
        <v>Roller/Stubble 32'</v>
      </c>
      <c r="H310" s="30">
        <v>22200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1110.9294894903201</v>
      </c>
      <c r="W310" s="9">
        <f t="shared" si="65"/>
        <v>3.7030982983010667</v>
      </c>
      <c r="X310" s="8">
        <f t="shared" si="66"/>
        <v>1572.5</v>
      </c>
      <c r="Y310" s="7">
        <f t="shared" si="67"/>
        <v>5.2416666666666663</v>
      </c>
      <c r="Z310" s="2">
        <f t="shared" si="68"/>
        <v>5550</v>
      </c>
      <c r="AA310" s="2">
        <f t="shared" si="69"/>
        <v>1387.5</v>
      </c>
      <c r="AB310" s="2">
        <f t="shared" si="70"/>
        <v>13875</v>
      </c>
      <c r="AC310" s="6">
        <f t="shared" si="71"/>
        <v>1248.75</v>
      </c>
      <c r="AD310" s="6">
        <f t="shared" si="72"/>
        <v>333</v>
      </c>
      <c r="AE310" s="6">
        <f t="shared" si="73"/>
        <v>2969.25</v>
      </c>
      <c r="AF310" s="5">
        <f t="shared" si="74"/>
        <v>9.8975000000000009</v>
      </c>
    </row>
    <row r="311" spans="1:32" x14ac:dyDescent="0.25">
      <c r="A311" s="207">
        <v>485</v>
      </c>
      <c r="B311" s="1" t="str">
        <f t="shared" si="60"/>
        <v>3.07, Rotary Cutter  7'</v>
      </c>
      <c r="C311" s="142">
        <v>3.07</v>
      </c>
      <c r="D311" s="138" t="s">
        <v>424</v>
      </c>
      <c r="E311" s="138" t="s">
        <v>306</v>
      </c>
      <c r="F311" s="138" t="s">
        <v>42</v>
      </c>
      <c r="G311" s="138" t="str">
        <f t="shared" si="61"/>
        <v>Rotary Cutter  7'</v>
      </c>
      <c r="H311" s="30">
        <v>4500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114.45023735932988</v>
      </c>
      <c r="W311" s="9">
        <f t="shared" si="65"/>
        <v>0.6186499316720534</v>
      </c>
      <c r="X311" s="8">
        <f t="shared" si="66"/>
        <v>675</v>
      </c>
      <c r="Y311" s="7">
        <f t="shared" si="67"/>
        <v>3.6486486486486487</v>
      </c>
      <c r="Z311" s="2">
        <f t="shared" si="68"/>
        <v>1350</v>
      </c>
      <c r="AA311" s="2">
        <f t="shared" si="69"/>
        <v>315</v>
      </c>
      <c r="AB311" s="2">
        <f t="shared" si="70"/>
        <v>2925</v>
      </c>
      <c r="AC311" s="6">
        <f t="shared" si="71"/>
        <v>263.25</v>
      </c>
      <c r="AD311" s="6">
        <f t="shared" si="72"/>
        <v>70.2</v>
      </c>
      <c r="AE311" s="6">
        <f t="shared" si="73"/>
        <v>648.45000000000005</v>
      </c>
      <c r="AF311" s="5">
        <f t="shared" si="74"/>
        <v>3.5051351351351352</v>
      </c>
    </row>
    <row r="312" spans="1:32" x14ac:dyDescent="0.25">
      <c r="A312" s="207">
        <v>199</v>
      </c>
      <c r="B312" s="1" t="str">
        <f t="shared" si="60"/>
        <v>3.08, Rotary Cutter 12'</v>
      </c>
      <c r="C312" s="142">
        <v>3.08</v>
      </c>
      <c r="D312" s="138" t="s">
        <v>424</v>
      </c>
      <c r="E312" s="138" t="s">
        <v>306</v>
      </c>
      <c r="F312" s="138" t="s">
        <v>11</v>
      </c>
      <c r="G312" s="138" t="str">
        <f t="shared" si="61"/>
        <v>Rotary Cutter 12'</v>
      </c>
      <c r="H312" s="30">
        <v>13100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333.17735764604924</v>
      </c>
      <c r="W312" s="9">
        <f t="shared" si="65"/>
        <v>1.8009586899786445</v>
      </c>
      <c r="X312" s="8">
        <f t="shared" si="66"/>
        <v>1965</v>
      </c>
      <c r="Y312" s="7">
        <f t="shared" si="67"/>
        <v>10.621621621621621</v>
      </c>
      <c r="Z312" s="2">
        <f t="shared" si="68"/>
        <v>3930</v>
      </c>
      <c r="AA312" s="2">
        <f t="shared" si="69"/>
        <v>917</v>
      </c>
      <c r="AB312" s="2">
        <f t="shared" si="70"/>
        <v>8515</v>
      </c>
      <c r="AC312" s="6">
        <f t="shared" si="71"/>
        <v>766.35</v>
      </c>
      <c r="AD312" s="6">
        <f t="shared" si="72"/>
        <v>204.36</v>
      </c>
      <c r="AE312" s="6">
        <f t="shared" si="73"/>
        <v>1887.71</v>
      </c>
      <c r="AF312" s="5">
        <f t="shared" si="74"/>
        <v>10.203837837837838</v>
      </c>
    </row>
    <row r="313" spans="1:32" x14ac:dyDescent="0.25">
      <c r="A313" s="207">
        <v>484</v>
      </c>
      <c r="B313" s="1" t="str">
        <f t="shared" si="60"/>
        <v>3.09, Rotary Cutter-Flex 15'</v>
      </c>
      <c r="C313" s="142">
        <v>3.09</v>
      </c>
      <c r="D313" s="138" t="s">
        <v>424</v>
      </c>
      <c r="E313" s="138" t="s">
        <v>307</v>
      </c>
      <c r="F313" s="138" t="s">
        <v>10</v>
      </c>
      <c r="G313" s="138"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x14ac:dyDescent="0.25">
      <c r="A314" s="207">
        <v>562</v>
      </c>
      <c r="B314" s="1" t="str">
        <f t="shared" si="60"/>
        <v>3.1, Rotary Cutter-Flex 20'</v>
      </c>
      <c r="C314" s="142">
        <v>3.1</v>
      </c>
      <c r="D314" s="138" t="s">
        <v>424</v>
      </c>
      <c r="E314" s="138" t="s">
        <v>307</v>
      </c>
      <c r="F314" s="138" t="s">
        <v>8</v>
      </c>
      <c r="G314" s="138" t="str">
        <f t="shared" si="61"/>
        <v>Rotary Cutter-Flex 20'</v>
      </c>
      <c r="H314" s="30">
        <v>30000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763.00158239553252</v>
      </c>
      <c r="W314" s="9">
        <f t="shared" si="65"/>
        <v>4.1243328778136892</v>
      </c>
      <c r="X314" s="8">
        <f t="shared" si="66"/>
        <v>4500</v>
      </c>
      <c r="Y314" s="7">
        <f t="shared" si="67"/>
        <v>24.324324324324323</v>
      </c>
      <c r="Z314" s="2">
        <f t="shared" si="68"/>
        <v>9000</v>
      </c>
      <c r="AA314" s="2">
        <f t="shared" si="69"/>
        <v>2100</v>
      </c>
      <c r="AB314" s="2">
        <f t="shared" si="70"/>
        <v>19500</v>
      </c>
      <c r="AC314" s="6">
        <f t="shared" si="71"/>
        <v>1755</v>
      </c>
      <c r="AD314" s="6">
        <f t="shared" si="72"/>
        <v>468</v>
      </c>
      <c r="AE314" s="6">
        <f t="shared" si="73"/>
        <v>4323</v>
      </c>
      <c r="AF314" s="5">
        <f t="shared" si="74"/>
        <v>23.367567567567569</v>
      </c>
    </row>
    <row r="315" spans="1:32" x14ac:dyDescent="0.25">
      <c r="A315" s="207">
        <v>626</v>
      </c>
      <c r="B315" s="1" t="str">
        <f t="shared" si="60"/>
        <v>3.11, Row Cond &amp; Inc-Fold. 26'</v>
      </c>
      <c r="C315" s="142">
        <v>3.11</v>
      </c>
      <c r="D315" s="138" t="s">
        <v>424</v>
      </c>
      <c r="E315" s="138" t="s">
        <v>308</v>
      </c>
      <c r="F315" s="138" t="s">
        <v>38</v>
      </c>
      <c r="G315" s="138"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x14ac:dyDescent="0.25">
      <c r="A316" s="207">
        <v>176</v>
      </c>
      <c r="B316" s="1" t="str">
        <f t="shared" si="60"/>
        <v>3.12, Row Cond &amp; Inc-Fold. 38'</v>
      </c>
      <c r="C316" s="142">
        <v>3.12</v>
      </c>
      <c r="D316" s="138" t="s">
        <v>424</v>
      </c>
      <c r="E316" s="138" t="s">
        <v>308</v>
      </c>
      <c r="F316" s="138" t="s">
        <v>41</v>
      </c>
      <c r="G316" s="138" t="str">
        <f t="shared" si="61"/>
        <v>Row Cond &amp; Inc-Fold. 38'</v>
      </c>
      <c r="H316" s="30">
        <v>38000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408.45795698788839</v>
      </c>
      <c r="W316" s="9">
        <f t="shared" si="65"/>
        <v>4.0845795698788843</v>
      </c>
      <c r="X316" s="8">
        <f t="shared" si="66"/>
        <v>950</v>
      </c>
      <c r="Y316" s="7">
        <f t="shared" si="67"/>
        <v>9.5</v>
      </c>
      <c r="Z316" s="2">
        <f t="shared" si="68"/>
        <v>11400</v>
      </c>
      <c r="AA316" s="2">
        <f t="shared" si="69"/>
        <v>2660</v>
      </c>
      <c r="AB316" s="2">
        <f t="shared" si="70"/>
        <v>24700</v>
      </c>
      <c r="AC316" s="6">
        <f t="shared" si="71"/>
        <v>2223</v>
      </c>
      <c r="AD316" s="6">
        <f t="shared" si="72"/>
        <v>592.80000000000007</v>
      </c>
      <c r="AE316" s="6">
        <f t="shared" si="73"/>
        <v>5475.8</v>
      </c>
      <c r="AF316" s="5">
        <f t="shared" si="74"/>
        <v>54.758000000000003</v>
      </c>
    </row>
    <row r="317" spans="1:32" x14ac:dyDescent="0.25">
      <c r="A317" s="207">
        <v>173</v>
      </c>
      <c r="B317" s="1" t="str">
        <f t="shared" si="60"/>
        <v>3.13, Row Cond &amp; Inc-Rigid 13'</v>
      </c>
      <c r="C317" s="142">
        <v>3.13</v>
      </c>
      <c r="D317" s="138" t="s">
        <v>424</v>
      </c>
      <c r="E317" s="138" t="s">
        <v>309</v>
      </c>
      <c r="F317" s="138" t="s">
        <v>40</v>
      </c>
      <c r="G317" s="138" t="str">
        <f t="shared" si="61"/>
        <v>Row Cond &amp; Inc-Rigid 13'</v>
      </c>
      <c r="H317" s="30">
        <v>16000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171.9822976791109</v>
      </c>
      <c r="W317" s="9">
        <f t="shared" si="65"/>
        <v>1.7198229767911091</v>
      </c>
      <c r="X317" s="8">
        <f t="shared" si="66"/>
        <v>400</v>
      </c>
      <c r="Y317" s="7">
        <f t="shared" si="67"/>
        <v>4</v>
      </c>
      <c r="Z317" s="2">
        <f t="shared" si="68"/>
        <v>4800</v>
      </c>
      <c r="AA317" s="2">
        <f t="shared" si="69"/>
        <v>1120</v>
      </c>
      <c r="AB317" s="2">
        <f t="shared" si="70"/>
        <v>10400</v>
      </c>
      <c r="AC317" s="6">
        <f t="shared" si="71"/>
        <v>936</v>
      </c>
      <c r="AD317" s="6">
        <f t="shared" si="72"/>
        <v>249.6</v>
      </c>
      <c r="AE317" s="6">
        <f t="shared" si="73"/>
        <v>2305.6</v>
      </c>
      <c r="AF317" s="5">
        <f t="shared" si="74"/>
        <v>23.055999999999997</v>
      </c>
    </row>
    <row r="318" spans="1:32" x14ac:dyDescent="0.25">
      <c r="A318" s="207">
        <v>174</v>
      </c>
      <c r="B318" s="1" t="str">
        <f t="shared" si="60"/>
        <v>3.14, Row Cond &amp; Inc-Rigid 21'</v>
      </c>
      <c r="C318" s="142">
        <v>3.14</v>
      </c>
      <c r="D318" s="138" t="s">
        <v>424</v>
      </c>
      <c r="E318" s="138" t="s">
        <v>309</v>
      </c>
      <c r="F318" s="138" t="s">
        <v>39</v>
      </c>
      <c r="G318" s="138" t="str">
        <f t="shared" si="61"/>
        <v>Row Cond &amp; Inc-Rigid 21'</v>
      </c>
      <c r="H318" s="30">
        <v>21600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232.17610186679974</v>
      </c>
      <c r="W318" s="9">
        <f t="shared" si="65"/>
        <v>2.3217610186679973</v>
      </c>
      <c r="X318" s="8">
        <f t="shared" si="66"/>
        <v>540</v>
      </c>
      <c r="Y318" s="7">
        <f t="shared" si="67"/>
        <v>5.4</v>
      </c>
      <c r="Z318" s="2">
        <f t="shared" si="68"/>
        <v>6480</v>
      </c>
      <c r="AA318" s="2">
        <f t="shared" si="69"/>
        <v>1512</v>
      </c>
      <c r="AB318" s="2">
        <f t="shared" si="70"/>
        <v>14040</v>
      </c>
      <c r="AC318" s="6">
        <f t="shared" si="71"/>
        <v>1263.5999999999999</v>
      </c>
      <c r="AD318" s="6">
        <f t="shared" si="72"/>
        <v>336.96</v>
      </c>
      <c r="AE318" s="6">
        <f t="shared" si="73"/>
        <v>3112.56</v>
      </c>
      <c r="AF318" s="5">
        <f t="shared" si="74"/>
        <v>31.125599999999999</v>
      </c>
    </row>
    <row r="319" spans="1:32" x14ac:dyDescent="0.25">
      <c r="A319" s="207">
        <v>175</v>
      </c>
      <c r="B319" s="1" t="str">
        <f t="shared" si="60"/>
        <v>3.15, Row Cond &amp; Inc-Rigid 26'</v>
      </c>
      <c r="C319" s="142">
        <v>3.15</v>
      </c>
      <c r="D319" s="138" t="s">
        <v>424</v>
      </c>
      <c r="E319" s="138" t="s">
        <v>309</v>
      </c>
      <c r="F319" s="138" t="s">
        <v>38</v>
      </c>
      <c r="G319" s="138" t="str">
        <f t="shared" si="61"/>
        <v>Row Cond &amp; Inc-Rigid 26'</v>
      </c>
      <c r="H319" s="30">
        <v>24700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265.49767204212748</v>
      </c>
      <c r="W319" s="9">
        <f t="shared" si="65"/>
        <v>2.6549767204212746</v>
      </c>
      <c r="X319" s="8">
        <f t="shared" si="66"/>
        <v>617.5</v>
      </c>
      <c r="Y319" s="7">
        <f t="shared" si="67"/>
        <v>6.1749999999999998</v>
      </c>
      <c r="Z319" s="2">
        <f t="shared" si="68"/>
        <v>7410</v>
      </c>
      <c r="AA319" s="2">
        <f t="shared" si="69"/>
        <v>1729</v>
      </c>
      <c r="AB319" s="2">
        <f t="shared" si="70"/>
        <v>16055</v>
      </c>
      <c r="AC319" s="6">
        <f t="shared" si="71"/>
        <v>1444.95</v>
      </c>
      <c r="AD319" s="6">
        <f t="shared" si="72"/>
        <v>385.32</v>
      </c>
      <c r="AE319" s="6">
        <f t="shared" si="73"/>
        <v>3559.27</v>
      </c>
      <c r="AF319" s="5">
        <f t="shared" si="74"/>
        <v>35.592700000000001</v>
      </c>
    </row>
    <row r="320" spans="1:32" x14ac:dyDescent="0.25">
      <c r="A320" s="207">
        <v>654</v>
      </c>
      <c r="B320" s="1" t="str">
        <f t="shared" si="60"/>
        <v>3.16, Row Cond Folding 26'</v>
      </c>
      <c r="C320" s="142">
        <v>3.16</v>
      </c>
      <c r="D320" s="138" t="s">
        <v>424</v>
      </c>
      <c r="E320" s="138" t="s">
        <v>310</v>
      </c>
      <c r="F320" s="138" t="s">
        <v>38</v>
      </c>
      <c r="G320" s="138"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x14ac:dyDescent="0.25">
      <c r="A321" s="207">
        <v>180</v>
      </c>
      <c r="B321" s="1" t="str">
        <f t="shared" si="60"/>
        <v>3.17, Row Cond Folding 38'</v>
      </c>
      <c r="C321" s="142">
        <v>3.17</v>
      </c>
      <c r="D321" s="138" t="s">
        <v>424</v>
      </c>
      <c r="E321" s="138" t="s">
        <v>310</v>
      </c>
      <c r="F321" s="138" t="s">
        <v>41</v>
      </c>
      <c r="G321" s="138" t="str">
        <f t="shared" si="61"/>
        <v>Row Cond Folding 38'</v>
      </c>
      <c r="H321" s="30">
        <v>27800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298.81924221745527</v>
      </c>
      <c r="W321" s="9">
        <f t="shared" si="65"/>
        <v>2.9881924221745528</v>
      </c>
      <c r="X321" s="8">
        <f t="shared" si="66"/>
        <v>695</v>
      </c>
      <c r="Y321" s="7">
        <f t="shared" si="67"/>
        <v>6.95</v>
      </c>
      <c r="Z321" s="2">
        <f t="shared" si="68"/>
        <v>8340</v>
      </c>
      <c r="AA321" s="2">
        <f t="shared" si="69"/>
        <v>1946</v>
      </c>
      <c r="AB321" s="2">
        <f t="shared" si="70"/>
        <v>18070</v>
      </c>
      <c r="AC321" s="6">
        <f t="shared" si="71"/>
        <v>1626.3</v>
      </c>
      <c r="AD321" s="6">
        <f t="shared" si="72"/>
        <v>433.68</v>
      </c>
      <c r="AE321" s="6">
        <f t="shared" si="73"/>
        <v>4005.98</v>
      </c>
      <c r="AF321" s="5">
        <f t="shared" si="74"/>
        <v>40.059800000000003</v>
      </c>
    </row>
    <row r="322" spans="1:32" x14ac:dyDescent="0.25">
      <c r="A322" s="207">
        <v>177</v>
      </c>
      <c r="B322" s="1" t="str">
        <f t="shared" si="60"/>
        <v>3.18, Row Cond Rigid 13'</v>
      </c>
      <c r="C322" s="142">
        <v>3.18</v>
      </c>
      <c r="D322" s="138" t="s">
        <v>424</v>
      </c>
      <c r="E322" s="138" t="s">
        <v>311</v>
      </c>
      <c r="F322" s="138" t="s">
        <v>40</v>
      </c>
      <c r="G322" s="138" t="str">
        <f t="shared" si="61"/>
        <v>Row Cond Rigid 13'</v>
      </c>
      <c r="H322" s="30">
        <v>8670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93.192907554868228</v>
      </c>
      <c r="W322" s="9">
        <f t="shared" si="65"/>
        <v>0.93192907554868232</v>
      </c>
      <c r="X322" s="8">
        <f t="shared" si="66"/>
        <v>216.75</v>
      </c>
      <c r="Y322" s="7">
        <f t="shared" si="67"/>
        <v>2.1675</v>
      </c>
      <c r="Z322" s="2">
        <f t="shared" si="68"/>
        <v>2601</v>
      </c>
      <c r="AA322" s="2">
        <f t="shared" si="69"/>
        <v>606.9</v>
      </c>
      <c r="AB322" s="2">
        <f t="shared" si="70"/>
        <v>5635.5</v>
      </c>
      <c r="AC322" s="6">
        <f t="shared" si="71"/>
        <v>507.19499999999999</v>
      </c>
      <c r="AD322" s="6">
        <f t="shared" si="72"/>
        <v>135.25200000000001</v>
      </c>
      <c r="AE322" s="6">
        <f t="shared" si="73"/>
        <v>1249.347</v>
      </c>
      <c r="AF322" s="5">
        <f t="shared" si="74"/>
        <v>12.49347</v>
      </c>
    </row>
    <row r="323" spans="1:32" x14ac:dyDescent="0.25">
      <c r="A323" s="207">
        <v>178</v>
      </c>
      <c r="B323" s="1" t="str">
        <f t="shared" si="60"/>
        <v>3.19, Row Cond Rigid 21'</v>
      </c>
      <c r="C323" s="142">
        <v>3.19</v>
      </c>
      <c r="D323" s="138" t="s">
        <v>424</v>
      </c>
      <c r="E323" s="138" t="s">
        <v>311</v>
      </c>
      <c r="F323" s="138" t="s">
        <v>39</v>
      </c>
      <c r="G323" s="138" t="str">
        <f t="shared" si="61"/>
        <v>Row Cond Rigid 21'</v>
      </c>
      <c r="H323" s="30">
        <v>14200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152.63428919021095</v>
      </c>
      <c r="W323" s="9">
        <f t="shared" si="65"/>
        <v>1.5263428919021096</v>
      </c>
      <c r="X323" s="8">
        <f t="shared" si="66"/>
        <v>355</v>
      </c>
      <c r="Y323" s="7">
        <f t="shared" si="67"/>
        <v>3.55</v>
      </c>
      <c r="Z323" s="2">
        <f t="shared" si="68"/>
        <v>4260</v>
      </c>
      <c r="AA323" s="2">
        <f t="shared" si="69"/>
        <v>994</v>
      </c>
      <c r="AB323" s="2">
        <f t="shared" si="70"/>
        <v>9230</v>
      </c>
      <c r="AC323" s="6">
        <f t="shared" si="71"/>
        <v>830.69999999999993</v>
      </c>
      <c r="AD323" s="6">
        <f t="shared" si="72"/>
        <v>221.52</v>
      </c>
      <c r="AE323" s="6">
        <f t="shared" si="73"/>
        <v>2046.2199999999998</v>
      </c>
      <c r="AF323" s="5">
        <f t="shared" si="74"/>
        <v>20.462199999999999</v>
      </c>
    </row>
    <row r="324" spans="1:32" x14ac:dyDescent="0.25">
      <c r="A324" s="207">
        <v>179</v>
      </c>
      <c r="B324" s="1" t="str">
        <f t="shared" si="60"/>
        <v>3.2, Row Cond Rigid 26'</v>
      </c>
      <c r="C324" s="142">
        <v>3.2</v>
      </c>
      <c r="D324" s="138" t="s">
        <v>424</v>
      </c>
      <c r="E324" s="138" t="s">
        <v>311</v>
      </c>
      <c r="F324" s="138" t="s">
        <v>38</v>
      </c>
      <c r="G324" s="138" t="str">
        <f t="shared" si="61"/>
        <v>Row Cond Rigid 26'</v>
      </c>
      <c r="H324" s="30">
        <v>17300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185.95585936553869</v>
      </c>
      <c r="W324" s="9">
        <f t="shared" si="65"/>
        <v>1.8595585936553869</v>
      </c>
      <c r="X324" s="8">
        <f t="shared" si="66"/>
        <v>432.5</v>
      </c>
      <c r="Y324" s="7">
        <f t="shared" si="67"/>
        <v>4.3250000000000002</v>
      </c>
      <c r="Z324" s="2">
        <f t="shared" si="68"/>
        <v>5190</v>
      </c>
      <c r="AA324" s="2">
        <f t="shared" si="69"/>
        <v>1211</v>
      </c>
      <c r="AB324" s="2">
        <f t="shared" si="70"/>
        <v>11245</v>
      </c>
      <c r="AC324" s="6">
        <f t="shared" si="71"/>
        <v>1012.05</v>
      </c>
      <c r="AD324" s="6">
        <f t="shared" si="72"/>
        <v>269.88</v>
      </c>
      <c r="AE324" s="6">
        <f t="shared" si="73"/>
        <v>2492.9300000000003</v>
      </c>
      <c r="AF324" s="5">
        <f t="shared" si="74"/>
        <v>24.929300000000001</v>
      </c>
    </row>
    <row r="325" spans="1:32" x14ac:dyDescent="0.25">
      <c r="A325" s="207">
        <v>615</v>
      </c>
      <c r="B325" s="1" t="str">
        <f t="shared" ref="B325:B383" si="75">CONCATENATE(C325,D325,E325,F325)</f>
        <v>3.21, Row Cond./Roll-Fold. 26'</v>
      </c>
      <c r="C325" s="142">
        <v>3.21</v>
      </c>
      <c r="D325" s="138" t="s">
        <v>424</v>
      </c>
      <c r="E325" s="138" t="s">
        <v>458</v>
      </c>
      <c r="F325" s="138" t="s">
        <v>38</v>
      </c>
      <c r="G325" s="138" t="str">
        <f t="shared" ref="G325:G383" si="76">CONCATENATE(E325,F325)</f>
        <v>Row Cond./Roll-Fold. 26'</v>
      </c>
      <c r="H325" s="30">
        <v>26500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550.01890080877706</v>
      </c>
      <c r="W325" s="9">
        <f t="shared" ref="W325:W383" si="80">V325/P325</f>
        <v>3.4376181300548567</v>
      </c>
      <c r="X325" s="8">
        <f t="shared" ref="X325:X383" si="81">(H325*N325/100)/O325</f>
        <v>1060</v>
      </c>
      <c r="Y325" s="7">
        <f t="shared" ref="Y325:Y383" si="82">X325/P325</f>
        <v>6.625</v>
      </c>
      <c r="Z325" s="2">
        <f t="shared" ref="Z325:Z383" si="83">H325*M325/100</f>
        <v>7950</v>
      </c>
      <c r="AA325" s="2">
        <f t="shared" ref="AA325:AA383" si="84">(H325-Z325)/O325</f>
        <v>1855</v>
      </c>
      <c r="AB325" s="2">
        <f t="shared" ref="AB325:AB383" si="85">(Z325+H325)/2</f>
        <v>17225</v>
      </c>
      <c r="AC325" s="6">
        <f t="shared" ref="AC325:AC383" si="86">AB325*intir</f>
        <v>1550.25</v>
      </c>
      <c r="AD325" s="6">
        <f t="shared" ref="AD325:AD383" si="87">AB325*itr</f>
        <v>413.40000000000003</v>
      </c>
      <c r="AE325" s="6">
        <f t="shared" ref="AE325:AE383" si="88">AA325+AC325+AD325</f>
        <v>3818.65</v>
      </c>
      <c r="AF325" s="5">
        <f t="shared" ref="AF325:AF383" si="89">AE325/P325</f>
        <v>23.866562500000001</v>
      </c>
    </row>
    <row r="326" spans="1:32" x14ac:dyDescent="0.25">
      <c r="A326" s="207">
        <v>617</v>
      </c>
      <c r="B326" s="1" t="str">
        <f t="shared" si="75"/>
        <v>3.22, Row Cond./Roll-Fold. 30'</v>
      </c>
      <c r="C326" s="142">
        <v>3.22</v>
      </c>
      <c r="D326" s="138" t="s">
        <v>424</v>
      </c>
      <c r="E326" s="138" t="s">
        <v>458</v>
      </c>
      <c r="F326" s="138" t="s">
        <v>44</v>
      </c>
      <c r="G326" s="138" t="str">
        <f t="shared" si="76"/>
        <v>Row Cond./Roll-Fold. 30'</v>
      </c>
      <c r="H326" s="30">
        <v>46200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958.90087612699995</v>
      </c>
      <c r="W326" s="9">
        <f t="shared" si="80"/>
        <v>5.99313047579375</v>
      </c>
      <c r="X326" s="8">
        <f t="shared" si="81"/>
        <v>1848</v>
      </c>
      <c r="Y326" s="7">
        <f t="shared" si="82"/>
        <v>11.55</v>
      </c>
      <c r="Z326" s="2">
        <f t="shared" si="83"/>
        <v>13860</v>
      </c>
      <c r="AA326" s="2">
        <f t="shared" si="84"/>
        <v>3234</v>
      </c>
      <c r="AB326" s="2">
        <f t="shared" si="85"/>
        <v>30030</v>
      </c>
      <c r="AC326" s="6">
        <f t="shared" si="86"/>
        <v>2702.7</v>
      </c>
      <c r="AD326" s="6">
        <f t="shared" si="87"/>
        <v>720.72</v>
      </c>
      <c r="AE326" s="6">
        <f t="shared" si="88"/>
        <v>6657.42</v>
      </c>
      <c r="AF326" s="5">
        <f t="shared" si="89"/>
        <v>41.608874999999998</v>
      </c>
    </row>
    <row r="327" spans="1:32" x14ac:dyDescent="0.25">
      <c r="A327" s="207">
        <v>619</v>
      </c>
      <c r="B327" s="1" t="str">
        <f t="shared" si="75"/>
        <v>3.23, Row Cond./Roll-Fold. 40'</v>
      </c>
      <c r="C327" s="142">
        <v>3.23</v>
      </c>
      <c r="D327" s="138" t="s">
        <v>424</v>
      </c>
      <c r="E327" s="138" t="s">
        <v>458</v>
      </c>
      <c r="F327" s="138" t="s">
        <v>16</v>
      </c>
      <c r="G327" s="138" t="str">
        <f t="shared" si="76"/>
        <v>Row Cond./Roll-Fold. 40'</v>
      </c>
      <c r="H327" s="30">
        <v>34000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705.68462745277054</v>
      </c>
      <c r="W327" s="9">
        <f t="shared" si="80"/>
        <v>4.4105289215798162</v>
      </c>
      <c r="X327" s="8">
        <f t="shared" si="81"/>
        <v>1360</v>
      </c>
      <c r="Y327" s="7">
        <f t="shared" si="82"/>
        <v>8.5</v>
      </c>
      <c r="Z327" s="2">
        <f t="shared" si="83"/>
        <v>10200</v>
      </c>
      <c r="AA327" s="2">
        <f t="shared" si="84"/>
        <v>2380</v>
      </c>
      <c r="AB327" s="2">
        <f t="shared" si="85"/>
        <v>22100</v>
      </c>
      <c r="AC327" s="6">
        <f t="shared" si="86"/>
        <v>1989</v>
      </c>
      <c r="AD327" s="6">
        <f t="shared" si="87"/>
        <v>530.4</v>
      </c>
      <c r="AE327" s="6">
        <f t="shared" si="88"/>
        <v>4899.3999999999996</v>
      </c>
      <c r="AF327" s="5">
        <f t="shared" si="89"/>
        <v>30.621249999999996</v>
      </c>
    </row>
    <row r="328" spans="1:32" x14ac:dyDescent="0.25">
      <c r="A328" s="207">
        <v>612</v>
      </c>
      <c r="B328" s="1" t="str">
        <f t="shared" si="75"/>
        <v>3.24, Row Cond./Roll-Rigid 21'</v>
      </c>
      <c r="C328" s="142">
        <v>3.24</v>
      </c>
      <c r="D328" s="138" t="s">
        <v>424</v>
      </c>
      <c r="E328" s="138" t="s">
        <v>459</v>
      </c>
      <c r="F328" s="138" t="s">
        <v>39</v>
      </c>
      <c r="G328" s="138" t="str">
        <f t="shared" si="76"/>
        <v>Row Cond./Roll-Rigid 21'</v>
      </c>
      <c r="H328" s="30">
        <v>25800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535.49009965533776</v>
      </c>
      <c r="W328" s="9">
        <f t="shared" si="80"/>
        <v>3.3468131228458611</v>
      </c>
      <c r="X328" s="8">
        <f t="shared" si="81"/>
        <v>1032</v>
      </c>
      <c r="Y328" s="7">
        <f t="shared" si="82"/>
        <v>6.45</v>
      </c>
      <c r="Z328" s="2">
        <f t="shared" si="83"/>
        <v>7740</v>
      </c>
      <c r="AA328" s="2">
        <f t="shared" si="84"/>
        <v>1806</v>
      </c>
      <c r="AB328" s="2">
        <f t="shared" si="85"/>
        <v>16770</v>
      </c>
      <c r="AC328" s="6">
        <f t="shared" si="86"/>
        <v>1509.3</v>
      </c>
      <c r="AD328" s="6">
        <f t="shared" si="87"/>
        <v>402.48</v>
      </c>
      <c r="AE328" s="6">
        <f t="shared" si="88"/>
        <v>3717.78</v>
      </c>
      <c r="AF328" s="5">
        <f t="shared" si="89"/>
        <v>23.236125000000001</v>
      </c>
    </row>
    <row r="329" spans="1:32" x14ac:dyDescent="0.25">
      <c r="A329" s="207">
        <v>614</v>
      </c>
      <c r="B329" s="1" t="str">
        <f t="shared" si="75"/>
        <v>3.25, Row Cond./Roll-Rigid 26'</v>
      </c>
      <c r="C329" s="142">
        <v>3.25</v>
      </c>
      <c r="D329" s="138" t="s">
        <v>424</v>
      </c>
      <c r="E329" s="138" t="s">
        <v>459</v>
      </c>
      <c r="F329" s="138" t="s">
        <v>38</v>
      </c>
      <c r="G329" s="138" t="str">
        <f t="shared" si="76"/>
        <v>Row Cond./Roll-Rigid 26'</v>
      </c>
      <c r="H329" s="30">
        <v>28400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589.45421822525543</v>
      </c>
      <c r="W329" s="9">
        <f t="shared" si="80"/>
        <v>3.6840888639078466</v>
      </c>
      <c r="X329" s="8">
        <f t="shared" si="81"/>
        <v>1136</v>
      </c>
      <c r="Y329" s="7">
        <f t="shared" si="82"/>
        <v>7.1</v>
      </c>
      <c r="Z329" s="2">
        <f t="shared" si="83"/>
        <v>8520</v>
      </c>
      <c r="AA329" s="2">
        <f t="shared" si="84"/>
        <v>1988</v>
      </c>
      <c r="AB329" s="2">
        <f t="shared" si="85"/>
        <v>18460</v>
      </c>
      <c r="AC329" s="6">
        <f t="shared" si="86"/>
        <v>1661.3999999999999</v>
      </c>
      <c r="AD329" s="6">
        <f t="shared" si="87"/>
        <v>443.04</v>
      </c>
      <c r="AE329" s="6">
        <f t="shared" si="88"/>
        <v>4092.4399999999996</v>
      </c>
      <c r="AF329" s="5">
        <f t="shared" si="89"/>
        <v>25.577749999999998</v>
      </c>
    </row>
    <row r="330" spans="1:32" x14ac:dyDescent="0.25">
      <c r="A330" s="207">
        <v>187</v>
      </c>
      <c r="B330" s="1" t="str">
        <f t="shared" si="75"/>
        <v>3.26, Spin Spreader 5 ton</v>
      </c>
      <c r="C330" s="142">
        <v>3.26</v>
      </c>
      <c r="D330" s="138" t="s">
        <v>424</v>
      </c>
      <c r="E330" s="138" t="s">
        <v>312</v>
      </c>
      <c r="F330" s="138" t="s">
        <v>37</v>
      </c>
      <c r="G330" s="138" t="str">
        <f t="shared" si="76"/>
        <v>Spin Spreader 5 ton</v>
      </c>
      <c r="H330" s="30">
        <v>11600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124.68716581735541</v>
      </c>
      <c r="W330" s="9">
        <f t="shared" si="80"/>
        <v>1.2468716581735542</v>
      </c>
      <c r="X330" s="8">
        <f t="shared" si="81"/>
        <v>652.5</v>
      </c>
      <c r="Y330" s="7">
        <f t="shared" si="82"/>
        <v>6.5250000000000004</v>
      </c>
      <c r="Z330" s="2">
        <f t="shared" si="83"/>
        <v>4640</v>
      </c>
      <c r="AA330" s="2">
        <f t="shared" si="84"/>
        <v>870</v>
      </c>
      <c r="AB330" s="2">
        <f t="shared" si="85"/>
        <v>8120</v>
      </c>
      <c r="AC330" s="6">
        <f t="shared" si="86"/>
        <v>730.8</v>
      </c>
      <c r="AD330" s="6">
        <f t="shared" si="87"/>
        <v>194.88</v>
      </c>
      <c r="AE330" s="6">
        <f t="shared" si="88"/>
        <v>1795.6799999999998</v>
      </c>
      <c r="AF330" s="5">
        <f t="shared" si="89"/>
        <v>17.956799999999998</v>
      </c>
    </row>
    <row r="331" spans="1:32" x14ac:dyDescent="0.25">
      <c r="A331" s="207">
        <v>735</v>
      </c>
      <c r="B331" s="1" t="str">
        <f t="shared" si="75"/>
        <v>3.27, Spray (ATV Ropewick) 75"</v>
      </c>
      <c r="C331" s="142">
        <v>3.27</v>
      </c>
      <c r="D331" s="138" t="s">
        <v>424</v>
      </c>
      <c r="E331" s="138" t="s">
        <v>313</v>
      </c>
      <c r="F331" s="138" t="s">
        <v>36</v>
      </c>
      <c r="G331" s="138"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x14ac:dyDescent="0.25">
      <c r="A332" s="207">
        <v>734</v>
      </c>
      <c r="B332" s="1" t="str">
        <f t="shared" si="75"/>
        <v>3.28, Spray (ATV) 12'/17'</v>
      </c>
      <c r="C332" s="142">
        <v>3.28</v>
      </c>
      <c r="D332" s="138" t="s">
        <v>424</v>
      </c>
      <c r="E332" s="138" t="s">
        <v>314</v>
      </c>
      <c r="F332" s="138" t="s">
        <v>35</v>
      </c>
      <c r="G332" s="138" t="str">
        <f t="shared" si="76"/>
        <v>Spray (ATV) 12'/17'</v>
      </c>
      <c r="H332" s="284">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x14ac:dyDescent="0.25">
      <c r="A333" s="207">
        <v>733</v>
      </c>
      <c r="B333" s="1" t="str">
        <f t="shared" si="75"/>
        <v>3.29, Spray (ATV) 20'</v>
      </c>
      <c r="C333" s="142">
        <v>3.29</v>
      </c>
      <c r="D333" s="138" t="s">
        <v>424</v>
      </c>
      <c r="E333" s="138" t="s">
        <v>314</v>
      </c>
      <c r="F333" s="138" t="s">
        <v>8</v>
      </c>
      <c r="G333" s="138"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x14ac:dyDescent="0.25">
      <c r="A334" s="207">
        <v>188</v>
      </c>
      <c r="B334" s="1" t="str">
        <f t="shared" si="75"/>
        <v>3.3, Spray (Band) 27' Fold</v>
      </c>
      <c r="C334" s="142">
        <v>3.3</v>
      </c>
      <c r="D334" s="138" t="s">
        <v>424</v>
      </c>
      <c r="E334" s="138" t="s">
        <v>315</v>
      </c>
      <c r="F334" s="138" t="s">
        <v>29</v>
      </c>
      <c r="G334" s="138"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x14ac:dyDescent="0.25">
      <c r="A335" s="207">
        <v>189</v>
      </c>
      <c r="B335" s="1" t="str">
        <f t="shared" si="75"/>
        <v>3.31, Spray (Band) 40' Fold</v>
      </c>
      <c r="C335" s="142">
        <v>3.31</v>
      </c>
      <c r="D335" s="138" t="s">
        <v>424</v>
      </c>
      <c r="E335" s="138" t="s">
        <v>315</v>
      </c>
      <c r="F335" s="138" t="s">
        <v>26</v>
      </c>
      <c r="G335" s="138" t="str">
        <f t="shared" si="76"/>
        <v>Spray (Band) 40' Fold</v>
      </c>
      <c r="H335" s="30">
        <v>9300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263.80845267431442</v>
      </c>
      <c r="W335" s="9">
        <f t="shared" si="80"/>
        <v>1.3190422633715722</v>
      </c>
      <c r="X335" s="8">
        <f t="shared" si="81"/>
        <v>871.875</v>
      </c>
      <c r="Y335" s="7">
        <f t="shared" si="82"/>
        <v>4.359375</v>
      </c>
      <c r="Z335" s="2">
        <f t="shared" si="83"/>
        <v>3720</v>
      </c>
      <c r="AA335" s="2">
        <f t="shared" si="84"/>
        <v>697.5</v>
      </c>
      <c r="AB335" s="2">
        <f t="shared" si="85"/>
        <v>6510</v>
      </c>
      <c r="AC335" s="6">
        <f t="shared" si="86"/>
        <v>585.9</v>
      </c>
      <c r="AD335" s="6">
        <f t="shared" si="87"/>
        <v>156.24</v>
      </c>
      <c r="AE335" s="6">
        <f t="shared" si="88"/>
        <v>1439.64</v>
      </c>
      <c r="AF335" s="5">
        <f t="shared" si="89"/>
        <v>7.1982000000000008</v>
      </c>
    </row>
    <row r="336" spans="1:32" x14ac:dyDescent="0.25">
      <c r="A336" s="207">
        <v>354</v>
      </c>
      <c r="B336" s="1" t="str">
        <f t="shared" si="75"/>
        <v>3.32, Spray (Band) 50' Fold</v>
      </c>
      <c r="C336" s="142">
        <v>3.32</v>
      </c>
      <c r="D336" s="138" t="s">
        <v>424</v>
      </c>
      <c r="E336" s="138" t="s">
        <v>315</v>
      </c>
      <c r="F336" s="138" t="s">
        <v>34</v>
      </c>
      <c r="G336" s="138" t="str">
        <f t="shared" si="76"/>
        <v>Spray (Band) 50' Fold</v>
      </c>
      <c r="H336" s="30">
        <v>10100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286.50165290436297</v>
      </c>
      <c r="W336" s="9">
        <f t="shared" si="80"/>
        <v>1.4325082645218148</v>
      </c>
      <c r="X336" s="8">
        <f t="shared" si="81"/>
        <v>946.875</v>
      </c>
      <c r="Y336" s="7">
        <f t="shared" si="82"/>
        <v>4.734375</v>
      </c>
      <c r="Z336" s="2">
        <f t="shared" si="83"/>
        <v>4040</v>
      </c>
      <c r="AA336" s="2">
        <f t="shared" si="84"/>
        <v>757.5</v>
      </c>
      <c r="AB336" s="2">
        <f t="shared" si="85"/>
        <v>7070</v>
      </c>
      <c r="AC336" s="6">
        <f t="shared" si="86"/>
        <v>636.29999999999995</v>
      </c>
      <c r="AD336" s="6">
        <f t="shared" si="87"/>
        <v>169.68</v>
      </c>
      <c r="AE336" s="6">
        <f t="shared" si="88"/>
        <v>1563.48</v>
      </c>
      <c r="AF336" s="5">
        <f t="shared" si="89"/>
        <v>7.8174000000000001</v>
      </c>
    </row>
    <row r="337" spans="1:32" x14ac:dyDescent="0.25">
      <c r="A337" s="207">
        <v>355</v>
      </c>
      <c r="B337" s="1" t="str">
        <f t="shared" si="75"/>
        <v>3.33, Spray (Band) 53' Fold</v>
      </c>
      <c r="C337" s="142">
        <v>3.33</v>
      </c>
      <c r="D337" s="138" t="s">
        <v>424</v>
      </c>
      <c r="E337" s="138" t="s">
        <v>315</v>
      </c>
      <c r="F337" s="138" t="s">
        <v>33</v>
      </c>
      <c r="G337" s="138" t="str">
        <f t="shared" si="76"/>
        <v>Spray (Band) 53' Fold</v>
      </c>
      <c r="H337" s="284">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x14ac:dyDescent="0.25">
      <c r="A338" s="207">
        <v>190</v>
      </c>
      <c r="B338" s="1" t="str">
        <f t="shared" si="75"/>
        <v>3.34, Spray (Band) 60' Fold</v>
      </c>
      <c r="C338" s="142">
        <v>3.34</v>
      </c>
      <c r="D338" s="138" t="s">
        <v>424</v>
      </c>
      <c r="E338" s="138" t="s">
        <v>315</v>
      </c>
      <c r="F338" s="138" t="s">
        <v>32</v>
      </c>
      <c r="G338" s="138" t="str">
        <f t="shared" si="76"/>
        <v>Spray (Band) 60' Fold</v>
      </c>
      <c r="H338" s="30">
        <v>13200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374.43780379580113</v>
      </c>
      <c r="W338" s="9">
        <f t="shared" si="80"/>
        <v>1.8721890189790056</v>
      </c>
      <c r="X338" s="8">
        <f t="shared" si="81"/>
        <v>1237.5</v>
      </c>
      <c r="Y338" s="7">
        <f t="shared" si="82"/>
        <v>6.1875</v>
      </c>
      <c r="Z338" s="2">
        <f t="shared" si="83"/>
        <v>5280</v>
      </c>
      <c r="AA338" s="2">
        <f t="shared" si="84"/>
        <v>990</v>
      </c>
      <c r="AB338" s="2">
        <f t="shared" si="85"/>
        <v>9240</v>
      </c>
      <c r="AC338" s="6">
        <f t="shared" si="86"/>
        <v>831.6</v>
      </c>
      <c r="AD338" s="6">
        <f t="shared" si="87"/>
        <v>221.76</v>
      </c>
      <c r="AE338" s="6">
        <f t="shared" si="88"/>
        <v>2043.36</v>
      </c>
      <c r="AF338" s="5">
        <f t="shared" si="89"/>
        <v>10.216799999999999</v>
      </c>
    </row>
    <row r="339" spans="1:32" x14ac:dyDescent="0.25">
      <c r="A339" s="207">
        <v>449</v>
      </c>
      <c r="B339" s="1" t="str">
        <f t="shared" si="75"/>
        <v>3.35, Spray (Bcast/HB) 13' Rigid</v>
      </c>
      <c r="C339" s="142">
        <v>3.35</v>
      </c>
      <c r="D339" s="138" t="s">
        <v>424</v>
      </c>
      <c r="E339" s="138" t="s">
        <v>316</v>
      </c>
      <c r="F339" s="138" t="s">
        <v>31</v>
      </c>
      <c r="G339" s="138" t="str">
        <f t="shared" si="76"/>
        <v>Spray (Bcast/HB) 13' Rigid</v>
      </c>
      <c r="H339" s="30">
        <v>7860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222.96069226022706</v>
      </c>
      <c r="W339" s="9">
        <f t="shared" si="80"/>
        <v>1.1148034613011353</v>
      </c>
      <c r="X339" s="8">
        <f t="shared" si="81"/>
        <v>736.875</v>
      </c>
      <c r="Y339" s="7">
        <f t="shared" si="82"/>
        <v>3.6843750000000002</v>
      </c>
      <c r="Z339" s="2">
        <f t="shared" si="83"/>
        <v>3144</v>
      </c>
      <c r="AA339" s="2">
        <f t="shared" si="84"/>
        <v>589.5</v>
      </c>
      <c r="AB339" s="2">
        <f t="shared" si="85"/>
        <v>5502</v>
      </c>
      <c r="AC339" s="6">
        <f t="shared" si="86"/>
        <v>495.18</v>
      </c>
      <c r="AD339" s="6">
        <f t="shared" si="87"/>
        <v>132.048</v>
      </c>
      <c r="AE339" s="6">
        <f t="shared" si="88"/>
        <v>1216.7280000000001</v>
      </c>
      <c r="AF339" s="5">
        <f t="shared" si="89"/>
        <v>6.0836399999999999</v>
      </c>
    </row>
    <row r="340" spans="1:32" x14ac:dyDescent="0.25">
      <c r="A340" s="207">
        <v>448</v>
      </c>
      <c r="B340" s="1" t="str">
        <f t="shared" si="75"/>
        <v>3.36, Spray (Bcast/HB) 20' Rigid</v>
      </c>
      <c r="C340" s="142">
        <v>3.36</v>
      </c>
      <c r="D340" s="138" t="s">
        <v>424</v>
      </c>
      <c r="E340" s="138" t="s">
        <v>316</v>
      </c>
      <c r="F340" s="138" t="s">
        <v>30</v>
      </c>
      <c r="G340" s="138" t="str">
        <f t="shared" si="76"/>
        <v>Spray (Bcast/HB) 20' Rigid</v>
      </c>
      <c r="H340" s="30">
        <v>9400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266.64510270307051</v>
      </c>
      <c r="W340" s="9">
        <f t="shared" si="80"/>
        <v>1.3332255135153526</v>
      </c>
      <c r="X340" s="8">
        <f t="shared" si="81"/>
        <v>881.25</v>
      </c>
      <c r="Y340" s="7">
        <f t="shared" si="82"/>
        <v>4.40625</v>
      </c>
      <c r="Z340" s="2">
        <f t="shared" si="83"/>
        <v>3760</v>
      </c>
      <c r="AA340" s="2">
        <f t="shared" si="84"/>
        <v>705</v>
      </c>
      <c r="AB340" s="2">
        <f t="shared" si="85"/>
        <v>6580</v>
      </c>
      <c r="AC340" s="6">
        <f t="shared" si="86"/>
        <v>592.19999999999993</v>
      </c>
      <c r="AD340" s="6">
        <f t="shared" si="87"/>
        <v>157.92000000000002</v>
      </c>
      <c r="AE340" s="6">
        <f t="shared" si="88"/>
        <v>1455.12</v>
      </c>
      <c r="AF340" s="5">
        <f t="shared" si="89"/>
        <v>7.2755999999999998</v>
      </c>
    </row>
    <row r="341" spans="1:32" x14ac:dyDescent="0.25">
      <c r="A341" s="207">
        <v>292</v>
      </c>
      <c r="B341" s="1" t="str">
        <f t="shared" si="75"/>
        <v>3.37, Spray (Bcast/HB) 27' Fold</v>
      </c>
      <c r="C341" s="142">
        <v>3.37</v>
      </c>
      <c r="D341" s="138" t="s">
        <v>424</v>
      </c>
      <c r="E341" s="138" t="s">
        <v>316</v>
      </c>
      <c r="F341" s="138" t="s">
        <v>29</v>
      </c>
      <c r="G341" s="138" t="str">
        <f t="shared" si="76"/>
        <v>Spray (Bcast/HB) 27' Fold</v>
      </c>
      <c r="H341" s="30">
        <v>16200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459.53730465848315</v>
      </c>
      <c r="W341" s="9">
        <f t="shared" si="80"/>
        <v>2.2976865232924157</v>
      </c>
      <c r="X341" s="8">
        <f t="shared" si="81"/>
        <v>1518.75</v>
      </c>
      <c r="Y341" s="7">
        <f t="shared" si="82"/>
        <v>7.59375</v>
      </c>
      <c r="Z341" s="2">
        <f t="shared" si="83"/>
        <v>6480</v>
      </c>
      <c r="AA341" s="2">
        <f t="shared" si="84"/>
        <v>1215</v>
      </c>
      <c r="AB341" s="2">
        <f t="shared" si="85"/>
        <v>11340</v>
      </c>
      <c r="AC341" s="6">
        <f t="shared" si="86"/>
        <v>1020.5999999999999</v>
      </c>
      <c r="AD341" s="6">
        <f t="shared" si="87"/>
        <v>272.16000000000003</v>
      </c>
      <c r="AE341" s="6">
        <f t="shared" si="88"/>
        <v>2507.7599999999998</v>
      </c>
      <c r="AF341" s="5">
        <f t="shared" si="89"/>
        <v>12.538799999999998</v>
      </c>
    </row>
    <row r="342" spans="1:32" x14ac:dyDescent="0.25">
      <c r="A342" s="207">
        <v>447</v>
      </c>
      <c r="B342" s="1" t="str">
        <f t="shared" si="75"/>
        <v>3.38, Spray (Bcast/HB) 27' Rigid</v>
      </c>
      <c r="C342" s="142">
        <v>3.38</v>
      </c>
      <c r="D342" s="138" t="s">
        <v>424</v>
      </c>
      <c r="E342" s="138" t="s">
        <v>316</v>
      </c>
      <c r="F342" s="138" t="s">
        <v>28</v>
      </c>
      <c r="G342" s="138" t="str">
        <f t="shared" si="76"/>
        <v>Spray (Bcast/HB) 27' Rigid</v>
      </c>
      <c r="H342" s="30">
        <v>10900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309.19485313441152</v>
      </c>
      <c r="W342" s="9">
        <f t="shared" si="80"/>
        <v>1.5459742656720576</v>
      </c>
      <c r="X342" s="8">
        <f t="shared" si="81"/>
        <v>1021.875</v>
      </c>
      <c r="Y342" s="7">
        <f t="shared" si="82"/>
        <v>5.109375</v>
      </c>
      <c r="Z342" s="2">
        <f t="shared" si="83"/>
        <v>4360</v>
      </c>
      <c r="AA342" s="2">
        <f t="shared" si="84"/>
        <v>817.5</v>
      </c>
      <c r="AB342" s="2">
        <f t="shared" si="85"/>
        <v>7630</v>
      </c>
      <c r="AC342" s="6">
        <f t="shared" si="86"/>
        <v>686.69999999999993</v>
      </c>
      <c r="AD342" s="6">
        <f t="shared" si="87"/>
        <v>183.12</v>
      </c>
      <c r="AE342" s="6">
        <f t="shared" si="88"/>
        <v>1687.3199999999997</v>
      </c>
      <c r="AF342" s="5">
        <f t="shared" si="89"/>
        <v>8.4365999999999985</v>
      </c>
    </row>
    <row r="343" spans="1:32" x14ac:dyDescent="0.25">
      <c r="A343" s="207">
        <v>299</v>
      </c>
      <c r="B343" s="1" t="str">
        <f t="shared" si="75"/>
        <v>3.39, Spray (Bcast/HB) 30' Fold</v>
      </c>
      <c r="C343" s="142">
        <v>3.39</v>
      </c>
      <c r="D343" s="138" t="s">
        <v>424</v>
      </c>
      <c r="E343" s="138" t="s">
        <v>316</v>
      </c>
      <c r="F343" s="138" t="s">
        <v>27</v>
      </c>
      <c r="G343" s="138" t="str">
        <f t="shared" si="76"/>
        <v>Spray (Bcast/HB) 30' Fold</v>
      </c>
      <c r="H343" s="30">
        <v>18900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536.12685543489704</v>
      </c>
      <c r="W343" s="9">
        <f t="shared" si="80"/>
        <v>2.6806342771744851</v>
      </c>
      <c r="X343" s="8">
        <f t="shared" si="81"/>
        <v>1771.875</v>
      </c>
      <c r="Y343" s="7">
        <f t="shared" si="82"/>
        <v>8.859375</v>
      </c>
      <c r="Z343" s="2">
        <f t="shared" si="83"/>
        <v>7560</v>
      </c>
      <c r="AA343" s="2">
        <f t="shared" si="84"/>
        <v>1417.5</v>
      </c>
      <c r="AB343" s="2">
        <f t="shared" si="85"/>
        <v>13230</v>
      </c>
      <c r="AC343" s="6">
        <f t="shared" si="86"/>
        <v>1190.7</v>
      </c>
      <c r="AD343" s="6">
        <f t="shared" si="87"/>
        <v>317.52</v>
      </c>
      <c r="AE343" s="6">
        <f t="shared" si="88"/>
        <v>2925.72</v>
      </c>
      <c r="AF343" s="5">
        <f t="shared" si="89"/>
        <v>14.628599999999999</v>
      </c>
    </row>
    <row r="344" spans="1:32" x14ac:dyDescent="0.25">
      <c r="A344" s="207">
        <v>297</v>
      </c>
      <c r="B344" s="1" t="str">
        <f t="shared" si="75"/>
        <v>3.4, Spray (Bcast/HB) 40' Fold</v>
      </c>
      <c r="C344" s="142">
        <v>3.4</v>
      </c>
      <c r="D344" s="138" t="s">
        <v>424</v>
      </c>
      <c r="E344" s="138" t="s">
        <v>316</v>
      </c>
      <c r="F344" s="138" t="s">
        <v>26</v>
      </c>
      <c r="G344" s="138" t="str">
        <f t="shared" si="76"/>
        <v>Spray (Bcast/HB) 40' Fold</v>
      </c>
      <c r="H344" s="30">
        <v>19100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541.8001554924092</v>
      </c>
      <c r="W344" s="9">
        <f t="shared" si="80"/>
        <v>2.7090007774620459</v>
      </c>
      <c r="X344" s="8">
        <f t="shared" si="81"/>
        <v>1790.625</v>
      </c>
      <c r="Y344" s="7">
        <f t="shared" si="82"/>
        <v>8.953125</v>
      </c>
      <c r="Z344" s="2">
        <f t="shared" si="83"/>
        <v>7640</v>
      </c>
      <c r="AA344" s="2">
        <f t="shared" si="84"/>
        <v>1432.5</v>
      </c>
      <c r="AB344" s="2">
        <f t="shared" si="85"/>
        <v>13370</v>
      </c>
      <c r="AC344" s="6">
        <f t="shared" si="86"/>
        <v>1203.3</v>
      </c>
      <c r="AD344" s="6">
        <f t="shared" si="87"/>
        <v>320.88</v>
      </c>
      <c r="AE344" s="6">
        <f t="shared" si="88"/>
        <v>2956.6800000000003</v>
      </c>
      <c r="AF344" s="5">
        <f t="shared" si="89"/>
        <v>14.783400000000002</v>
      </c>
    </row>
    <row r="345" spans="1:32" x14ac:dyDescent="0.25">
      <c r="A345" s="207">
        <v>620</v>
      </c>
      <c r="B345" s="1" t="str">
        <f t="shared" si="75"/>
        <v>3.41, Spray (Bcast/HB/HD) 27'</v>
      </c>
      <c r="C345" s="142">
        <v>3.41</v>
      </c>
      <c r="D345" s="138" t="s">
        <v>424</v>
      </c>
      <c r="E345" s="138" t="s">
        <v>317</v>
      </c>
      <c r="F345" s="138" t="s">
        <v>17</v>
      </c>
      <c r="G345" s="138" t="str">
        <f t="shared" si="76"/>
        <v>Spray (Bcast/HB/HD) 27'</v>
      </c>
      <c r="H345" s="284">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x14ac:dyDescent="0.25">
      <c r="A346" s="207">
        <v>309</v>
      </c>
      <c r="B346" s="1" t="str">
        <f t="shared" si="75"/>
        <v>3.42, Spray (Bcast/HB/HD) 40'</v>
      </c>
      <c r="C346" s="142">
        <v>3.42</v>
      </c>
      <c r="D346" s="138" t="s">
        <v>424</v>
      </c>
      <c r="E346" s="138" t="s">
        <v>317</v>
      </c>
      <c r="F346" s="138" t="s">
        <v>16</v>
      </c>
      <c r="G346" s="138" t="str">
        <f t="shared" si="76"/>
        <v>Spray (Bcast/HB/HD) 40'</v>
      </c>
      <c r="H346" s="284">
        <v>19100</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541.8001554924092</v>
      </c>
      <c r="W346" s="9">
        <f t="shared" si="80"/>
        <v>2.7090007774620459</v>
      </c>
      <c r="X346" s="8">
        <f t="shared" si="81"/>
        <v>1790.625</v>
      </c>
      <c r="Y346" s="7">
        <f t="shared" si="82"/>
        <v>8.953125</v>
      </c>
      <c r="Z346" s="2">
        <f t="shared" si="83"/>
        <v>7640</v>
      </c>
      <c r="AA346" s="2">
        <f t="shared" si="84"/>
        <v>1432.5</v>
      </c>
      <c r="AB346" s="2">
        <f t="shared" si="85"/>
        <v>13370</v>
      </c>
      <c r="AC346" s="6">
        <f t="shared" si="86"/>
        <v>1203.3</v>
      </c>
      <c r="AD346" s="6">
        <f t="shared" si="87"/>
        <v>320.88</v>
      </c>
      <c r="AE346" s="6">
        <f t="shared" si="88"/>
        <v>2956.6800000000003</v>
      </c>
      <c r="AF346" s="5">
        <f t="shared" si="89"/>
        <v>14.783400000000002</v>
      </c>
    </row>
    <row r="347" spans="1:32" x14ac:dyDescent="0.25">
      <c r="A347" s="207">
        <v>191</v>
      </c>
      <c r="B347" s="1" t="str">
        <f t="shared" si="75"/>
        <v>3.43, Spray (Broadcast) 27'</v>
      </c>
      <c r="C347" s="142">
        <v>3.43</v>
      </c>
      <c r="D347" s="138" t="s">
        <v>424</v>
      </c>
      <c r="E347" s="138" t="s">
        <v>318</v>
      </c>
      <c r="F347" s="138" t="s">
        <v>17</v>
      </c>
      <c r="G347" s="138" t="str">
        <f t="shared" si="76"/>
        <v>Spray (Broadcast) 27'</v>
      </c>
      <c r="H347" s="30">
        <v>7400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209.91210212794914</v>
      </c>
      <c r="W347" s="9">
        <f t="shared" si="80"/>
        <v>1.0495605106397456</v>
      </c>
      <c r="X347" s="8">
        <f t="shared" si="81"/>
        <v>693.75</v>
      </c>
      <c r="Y347" s="7">
        <f t="shared" si="82"/>
        <v>3.46875</v>
      </c>
      <c r="Z347" s="2">
        <f t="shared" si="83"/>
        <v>2960</v>
      </c>
      <c r="AA347" s="2">
        <f t="shared" si="84"/>
        <v>555</v>
      </c>
      <c r="AB347" s="2">
        <f t="shared" si="85"/>
        <v>5180</v>
      </c>
      <c r="AC347" s="6">
        <f t="shared" si="86"/>
        <v>466.2</v>
      </c>
      <c r="AD347" s="6">
        <f t="shared" si="87"/>
        <v>124.32000000000001</v>
      </c>
      <c r="AE347" s="6">
        <f t="shared" si="88"/>
        <v>1145.52</v>
      </c>
      <c r="AF347" s="5">
        <f t="shared" si="89"/>
        <v>5.7275999999999998</v>
      </c>
    </row>
    <row r="348" spans="1:32" x14ac:dyDescent="0.25">
      <c r="A348" s="207">
        <v>192</v>
      </c>
      <c r="B348" s="1" t="str">
        <f t="shared" si="75"/>
        <v>3.44, Spray (Broadcast) 40'</v>
      </c>
      <c r="C348" s="142">
        <v>3.44</v>
      </c>
      <c r="D348" s="138" t="s">
        <v>424</v>
      </c>
      <c r="E348" s="138" t="s">
        <v>318</v>
      </c>
      <c r="F348" s="138" t="s">
        <v>16</v>
      </c>
      <c r="G348" s="138" t="str">
        <f t="shared" si="76"/>
        <v>Spray (Broadcast) 40'</v>
      </c>
      <c r="H348" s="30">
        <v>9300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263.80845267431442</v>
      </c>
      <c r="W348" s="9">
        <f t="shared" si="80"/>
        <v>1.3190422633715722</v>
      </c>
      <c r="X348" s="8">
        <f t="shared" si="81"/>
        <v>871.875</v>
      </c>
      <c r="Y348" s="7">
        <f t="shared" si="82"/>
        <v>4.359375</v>
      </c>
      <c r="Z348" s="2">
        <f t="shared" si="83"/>
        <v>3720</v>
      </c>
      <c r="AA348" s="2">
        <f t="shared" si="84"/>
        <v>697.5</v>
      </c>
      <c r="AB348" s="2">
        <f t="shared" si="85"/>
        <v>6510</v>
      </c>
      <c r="AC348" s="6">
        <f t="shared" si="86"/>
        <v>585.9</v>
      </c>
      <c r="AD348" s="6">
        <f t="shared" si="87"/>
        <v>156.24</v>
      </c>
      <c r="AE348" s="6">
        <f t="shared" si="88"/>
        <v>1439.64</v>
      </c>
      <c r="AF348" s="5">
        <f t="shared" si="89"/>
        <v>7.1982000000000008</v>
      </c>
    </row>
    <row r="349" spans="1:32" x14ac:dyDescent="0.25">
      <c r="A349" s="207">
        <v>356</v>
      </c>
      <c r="B349" s="1" t="str">
        <f t="shared" si="75"/>
        <v>3.45, Spray (Broadcast) 50'</v>
      </c>
      <c r="C349" s="142">
        <v>3.45</v>
      </c>
      <c r="D349" s="138" t="s">
        <v>424</v>
      </c>
      <c r="E349" s="138" t="s">
        <v>318</v>
      </c>
      <c r="F349" s="138" t="s">
        <v>15</v>
      </c>
      <c r="G349" s="138" t="str">
        <f t="shared" si="76"/>
        <v>Spray (Broadcast) 50'</v>
      </c>
      <c r="H349" s="30">
        <v>10100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286.50165290436297</v>
      </c>
      <c r="W349" s="9">
        <f t="shared" si="80"/>
        <v>1.4325082645218148</v>
      </c>
      <c r="X349" s="8">
        <f t="shared" si="81"/>
        <v>946.875</v>
      </c>
      <c r="Y349" s="7">
        <f t="shared" si="82"/>
        <v>4.734375</v>
      </c>
      <c r="Z349" s="2">
        <f t="shared" si="83"/>
        <v>4040</v>
      </c>
      <c r="AA349" s="2">
        <f t="shared" si="84"/>
        <v>757.5</v>
      </c>
      <c r="AB349" s="2">
        <f t="shared" si="85"/>
        <v>7070</v>
      </c>
      <c r="AC349" s="6">
        <f t="shared" si="86"/>
        <v>636.29999999999995</v>
      </c>
      <c r="AD349" s="6">
        <f t="shared" si="87"/>
        <v>169.68</v>
      </c>
      <c r="AE349" s="6">
        <f t="shared" si="88"/>
        <v>1563.48</v>
      </c>
      <c r="AF349" s="5">
        <f t="shared" si="89"/>
        <v>7.8174000000000001</v>
      </c>
    </row>
    <row r="350" spans="1:32" x14ac:dyDescent="0.25">
      <c r="A350" s="207">
        <v>357</v>
      </c>
      <c r="B350" s="1" t="str">
        <f t="shared" si="75"/>
        <v>3.46, Spray (Broadcast) 53'</v>
      </c>
      <c r="C350" s="142">
        <v>3.46</v>
      </c>
      <c r="D350" s="138" t="s">
        <v>424</v>
      </c>
      <c r="E350" s="138" t="s">
        <v>318</v>
      </c>
      <c r="F350" s="138" t="s">
        <v>14</v>
      </c>
      <c r="G350" s="138" t="str">
        <f t="shared" si="76"/>
        <v>Spray (Broadcast) 53'</v>
      </c>
      <c r="H350" s="284">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x14ac:dyDescent="0.25">
      <c r="A351" s="207">
        <v>193</v>
      </c>
      <c r="B351" s="1" t="str">
        <f t="shared" si="75"/>
        <v>3.47, Spray (Broadcast) 60'</v>
      </c>
      <c r="C351" s="142">
        <v>3.47</v>
      </c>
      <c r="D351" s="138" t="s">
        <v>424</v>
      </c>
      <c r="E351" s="138" t="s">
        <v>318</v>
      </c>
      <c r="F351" s="138" t="s">
        <v>13</v>
      </c>
      <c r="G351" s="138" t="str">
        <f t="shared" si="76"/>
        <v>Spray (Broadcast) 60'</v>
      </c>
      <c r="H351" s="30">
        <v>13200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374.43780379580113</v>
      </c>
      <c r="W351" s="9">
        <f t="shared" si="80"/>
        <v>1.8721890189790056</v>
      </c>
      <c r="X351" s="8">
        <f t="shared" si="81"/>
        <v>1237.5</v>
      </c>
      <c r="Y351" s="7">
        <f t="shared" si="82"/>
        <v>6.1875</v>
      </c>
      <c r="Z351" s="2">
        <f t="shared" si="83"/>
        <v>5280</v>
      </c>
      <c r="AA351" s="2">
        <f t="shared" si="84"/>
        <v>990</v>
      </c>
      <c r="AB351" s="2">
        <f t="shared" si="85"/>
        <v>9240</v>
      </c>
      <c r="AC351" s="6">
        <f t="shared" si="86"/>
        <v>831.6</v>
      </c>
      <c r="AD351" s="6">
        <f t="shared" si="87"/>
        <v>221.76</v>
      </c>
      <c r="AE351" s="6">
        <f t="shared" si="88"/>
        <v>2043.36</v>
      </c>
      <c r="AF351" s="5">
        <f t="shared" si="89"/>
        <v>10.216799999999999</v>
      </c>
    </row>
    <row r="352" spans="1:32" x14ac:dyDescent="0.25">
      <c r="A352" s="207">
        <v>319</v>
      </c>
      <c r="B352" s="1" t="str">
        <f t="shared" si="75"/>
        <v>3.48, Spray (Direct/Hood)  8R-30</v>
      </c>
      <c r="C352" s="142">
        <v>3.48</v>
      </c>
      <c r="D352" s="138" t="s">
        <v>424</v>
      </c>
      <c r="E352" s="138" t="s">
        <v>319</v>
      </c>
      <c r="F352" s="138" t="s">
        <v>25</v>
      </c>
      <c r="G352" s="138" t="str">
        <f t="shared" si="76"/>
        <v>Spray (Direct/Hood)  8R-30</v>
      </c>
      <c r="H352" s="30">
        <v>17000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482.23050488853175</v>
      </c>
      <c r="W352" s="9">
        <f t="shared" si="80"/>
        <v>2.4111525244426586</v>
      </c>
      <c r="X352" s="8">
        <f t="shared" si="81"/>
        <v>1593.75</v>
      </c>
      <c r="Y352" s="7">
        <f t="shared" si="82"/>
        <v>7.96875</v>
      </c>
      <c r="Z352" s="2">
        <f t="shared" si="83"/>
        <v>6800</v>
      </c>
      <c r="AA352" s="2">
        <f t="shared" si="84"/>
        <v>1275</v>
      </c>
      <c r="AB352" s="2">
        <f t="shared" si="85"/>
        <v>11900</v>
      </c>
      <c r="AC352" s="6">
        <f t="shared" si="86"/>
        <v>1071</v>
      </c>
      <c r="AD352" s="6">
        <f t="shared" si="87"/>
        <v>285.60000000000002</v>
      </c>
      <c r="AE352" s="6">
        <f t="shared" si="88"/>
        <v>2631.6</v>
      </c>
      <c r="AF352" s="5">
        <f t="shared" si="89"/>
        <v>13.157999999999999</v>
      </c>
    </row>
    <row r="353" spans="1:32" x14ac:dyDescent="0.25">
      <c r="A353" s="207">
        <v>8</v>
      </c>
      <c r="B353" s="1" t="str">
        <f t="shared" si="75"/>
        <v>3.49, Spray (Direct/Hood)  8R-36</v>
      </c>
      <c r="C353" s="142">
        <v>3.49</v>
      </c>
      <c r="D353" s="138" t="s">
        <v>424</v>
      </c>
      <c r="E353" s="138" t="s">
        <v>319</v>
      </c>
      <c r="F353" s="138" t="s">
        <v>193</v>
      </c>
      <c r="G353" s="138" t="str">
        <f t="shared" si="76"/>
        <v>Spray (Direct/Hood)  8R-36</v>
      </c>
      <c r="H353" s="30">
        <v>17900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507.76035514733633</v>
      </c>
      <c r="W353" s="9">
        <f t="shared" si="80"/>
        <v>2.5388017757366814</v>
      </c>
      <c r="X353" s="8">
        <f t="shared" si="81"/>
        <v>1678.125</v>
      </c>
      <c r="Y353" s="7">
        <f t="shared" si="82"/>
        <v>8.390625</v>
      </c>
      <c r="Z353" s="2">
        <f t="shared" si="83"/>
        <v>7160</v>
      </c>
      <c r="AA353" s="2">
        <f t="shared" si="84"/>
        <v>1342.5</v>
      </c>
      <c r="AB353" s="2">
        <f t="shared" si="85"/>
        <v>12530</v>
      </c>
      <c r="AC353" s="6">
        <f t="shared" si="86"/>
        <v>1127.7</v>
      </c>
      <c r="AD353" s="6">
        <f t="shared" si="87"/>
        <v>300.72000000000003</v>
      </c>
      <c r="AE353" s="6">
        <f t="shared" si="88"/>
        <v>2770.92</v>
      </c>
      <c r="AF353" s="5">
        <f t="shared" si="89"/>
        <v>13.8546</v>
      </c>
    </row>
    <row r="354" spans="1:32" x14ac:dyDescent="0.25">
      <c r="A354" s="207">
        <v>318</v>
      </c>
      <c r="B354" s="1" t="str">
        <f t="shared" si="75"/>
        <v>3.5, Spray (Direct/Hood) 12R-30</v>
      </c>
      <c r="C354" s="142">
        <v>3.5</v>
      </c>
      <c r="D354" s="138" t="s">
        <v>424</v>
      </c>
      <c r="E354" s="138" t="s">
        <v>319</v>
      </c>
      <c r="F354" s="138" t="s">
        <v>6</v>
      </c>
      <c r="G354" s="138" t="str">
        <f t="shared" si="76"/>
        <v>Spray (Direct/Hood) 12R-30</v>
      </c>
      <c r="H354" s="30">
        <v>23900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677.95935687270048</v>
      </c>
      <c r="W354" s="9">
        <f t="shared" si="80"/>
        <v>3.3897967843635026</v>
      </c>
      <c r="X354" s="8">
        <f t="shared" si="81"/>
        <v>2240.625</v>
      </c>
      <c r="Y354" s="7">
        <f t="shared" si="82"/>
        <v>11.203125</v>
      </c>
      <c r="Z354" s="2">
        <f t="shared" si="83"/>
        <v>9560</v>
      </c>
      <c r="AA354" s="2">
        <f t="shared" si="84"/>
        <v>1792.5</v>
      </c>
      <c r="AB354" s="2">
        <f t="shared" si="85"/>
        <v>16730</v>
      </c>
      <c r="AC354" s="6">
        <f t="shared" si="86"/>
        <v>1505.7</v>
      </c>
      <c r="AD354" s="6">
        <f t="shared" si="87"/>
        <v>401.52</v>
      </c>
      <c r="AE354" s="6">
        <f t="shared" si="88"/>
        <v>3699.72</v>
      </c>
      <c r="AF354" s="5">
        <f t="shared" si="89"/>
        <v>18.4986</v>
      </c>
    </row>
    <row r="355" spans="1:32" x14ac:dyDescent="0.25">
      <c r="A355" s="207">
        <v>361</v>
      </c>
      <c r="B355" s="1" t="str">
        <f t="shared" si="75"/>
        <v>3.51, Spray (Direct/Hood) 12R-36</v>
      </c>
      <c r="C355" s="142">
        <v>3.51</v>
      </c>
      <c r="D355" s="138" t="s">
        <v>424</v>
      </c>
      <c r="E355" s="138" t="s">
        <v>319</v>
      </c>
      <c r="F355" s="138" t="s">
        <v>194</v>
      </c>
      <c r="G355" s="138" t="str">
        <f t="shared" si="76"/>
        <v>Spray (Direct/Hood) 12R-36</v>
      </c>
      <c r="H355" s="30">
        <v>25100</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711.99915721777336</v>
      </c>
      <c r="W355" s="9">
        <f t="shared" si="80"/>
        <v>3.5599957860888667</v>
      </c>
      <c r="X355" s="8">
        <f t="shared" si="81"/>
        <v>2353.125</v>
      </c>
      <c r="Y355" s="7">
        <f t="shared" si="82"/>
        <v>11.765625</v>
      </c>
      <c r="Z355" s="2">
        <f t="shared" si="83"/>
        <v>10040</v>
      </c>
      <c r="AA355" s="2">
        <f t="shared" si="84"/>
        <v>1882.5</v>
      </c>
      <c r="AB355" s="2">
        <f t="shared" si="85"/>
        <v>17570</v>
      </c>
      <c r="AC355" s="6">
        <f t="shared" si="86"/>
        <v>1581.3</v>
      </c>
      <c r="AD355" s="6">
        <f t="shared" si="87"/>
        <v>421.68</v>
      </c>
      <c r="AE355" s="6">
        <f t="shared" si="88"/>
        <v>3885.48</v>
      </c>
      <c r="AF355" s="5">
        <f t="shared" si="89"/>
        <v>19.427399999999999</v>
      </c>
    </row>
    <row r="356" spans="1:32" x14ac:dyDescent="0.25">
      <c r="A356" s="207">
        <v>360</v>
      </c>
      <c r="B356" s="1" t="str">
        <f t="shared" si="75"/>
        <v>3.52, Spray (Direct/Layby)  8R-30</v>
      </c>
      <c r="C356" s="142">
        <v>3.52</v>
      </c>
      <c r="D356" s="138" t="s">
        <v>424</v>
      </c>
      <c r="E356" s="138" t="s">
        <v>320</v>
      </c>
      <c r="F356" s="138" t="s">
        <v>25</v>
      </c>
      <c r="G356" s="138" t="str">
        <f t="shared" si="76"/>
        <v>Spray (Direct/Layby)  8R-30</v>
      </c>
      <c r="H356" s="30">
        <v>15500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439.68075445719069</v>
      </c>
      <c r="W356" s="9">
        <f t="shared" si="80"/>
        <v>2.1984037722859533</v>
      </c>
      <c r="X356" s="8">
        <f t="shared" si="81"/>
        <v>1453.125</v>
      </c>
      <c r="Y356" s="7">
        <f t="shared" si="82"/>
        <v>7.265625</v>
      </c>
      <c r="Z356" s="2">
        <f t="shared" si="83"/>
        <v>6200</v>
      </c>
      <c r="AA356" s="2">
        <f t="shared" si="84"/>
        <v>1162.5</v>
      </c>
      <c r="AB356" s="2">
        <f t="shared" si="85"/>
        <v>10850</v>
      </c>
      <c r="AC356" s="6">
        <f t="shared" si="86"/>
        <v>976.5</v>
      </c>
      <c r="AD356" s="6">
        <f t="shared" si="87"/>
        <v>260.39999999999998</v>
      </c>
      <c r="AE356" s="6">
        <f t="shared" si="88"/>
        <v>2399.4</v>
      </c>
      <c r="AF356" s="5">
        <f t="shared" si="89"/>
        <v>11.997</v>
      </c>
    </row>
    <row r="357" spans="1:32" x14ac:dyDescent="0.25">
      <c r="A357" s="207">
        <v>10</v>
      </c>
      <c r="B357" s="1" t="str">
        <f t="shared" si="75"/>
        <v>3.53, Spray (Direct/Layby)  8R-36</v>
      </c>
      <c r="C357" s="142">
        <v>3.53</v>
      </c>
      <c r="D357" s="138" t="s">
        <v>424</v>
      </c>
      <c r="E357" s="138" t="s">
        <v>320</v>
      </c>
      <c r="F357" s="138" t="s">
        <v>193</v>
      </c>
      <c r="G357" s="138" t="str">
        <f t="shared" si="76"/>
        <v>Spray (Direct/Layby)  8R-36</v>
      </c>
      <c r="H357" s="30">
        <v>15500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439.68075445719069</v>
      </c>
      <c r="W357" s="9">
        <f t="shared" si="80"/>
        <v>2.1984037722859533</v>
      </c>
      <c r="X357" s="8">
        <f t="shared" si="81"/>
        <v>1453.125</v>
      </c>
      <c r="Y357" s="7">
        <f t="shared" si="82"/>
        <v>7.265625</v>
      </c>
      <c r="Z357" s="2">
        <f t="shared" si="83"/>
        <v>6200</v>
      </c>
      <c r="AA357" s="2">
        <f t="shared" si="84"/>
        <v>1162.5</v>
      </c>
      <c r="AB357" s="2">
        <f t="shared" si="85"/>
        <v>10850</v>
      </c>
      <c r="AC357" s="6">
        <f t="shared" si="86"/>
        <v>976.5</v>
      </c>
      <c r="AD357" s="6">
        <f t="shared" si="87"/>
        <v>260.39999999999998</v>
      </c>
      <c r="AE357" s="6">
        <f t="shared" si="88"/>
        <v>2399.4</v>
      </c>
      <c r="AF357" s="5">
        <f t="shared" si="89"/>
        <v>11.997</v>
      </c>
    </row>
    <row r="358" spans="1:32" x14ac:dyDescent="0.25">
      <c r="A358" s="207">
        <v>11</v>
      </c>
      <c r="B358" s="1" t="str">
        <f t="shared" si="75"/>
        <v>3.54, Spray (Direct/Layby) 10R-30</v>
      </c>
      <c r="C358" s="142">
        <v>3.54</v>
      </c>
      <c r="D358" s="138" t="s">
        <v>424</v>
      </c>
      <c r="E358" s="138" t="s">
        <v>320</v>
      </c>
      <c r="F358" s="138" t="s">
        <v>24</v>
      </c>
      <c r="G358" s="138" t="str">
        <f t="shared" si="76"/>
        <v>Spray (Direct/Layby) 10R-30</v>
      </c>
      <c r="H358" s="284">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x14ac:dyDescent="0.25">
      <c r="A359" s="207">
        <v>288</v>
      </c>
      <c r="B359" s="1" t="str">
        <f t="shared" si="75"/>
        <v>3.55, Spray (Direct/Layby) 16R-20</v>
      </c>
      <c r="C359" s="142">
        <v>3.55</v>
      </c>
      <c r="D359" s="138" t="s">
        <v>424</v>
      </c>
      <c r="E359" s="138" t="s">
        <v>320</v>
      </c>
      <c r="F359" s="138" t="s">
        <v>23</v>
      </c>
      <c r="G359" s="138" t="str">
        <f t="shared" si="76"/>
        <v>Spray (Direct/Layby) 16R-20</v>
      </c>
      <c r="H359" s="30">
        <v>22500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638.24625647011555</v>
      </c>
      <c r="W359" s="9">
        <f t="shared" si="80"/>
        <v>3.1912312823505777</v>
      </c>
      <c r="X359" s="8">
        <f t="shared" si="81"/>
        <v>2109.375</v>
      </c>
      <c r="Y359" s="7">
        <f t="shared" si="82"/>
        <v>10.546875</v>
      </c>
      <c r="Z359" s="2">
        <f t="shared" si="83"/>
        <v>9000</v>
      </c>
      <c r="AA359" s="2">
        <f t="shared" si="84"/>
        <v>1687.5</v>
      </c>
      <c r="AB359" s="2">
        <f t="shared" si="85"/>
        <v>15750</v>
      </c>
      <c r="AC359" s="6">
        <f t="shared" si="86"/>
        <v>1417.5</v>
      </c>
      <c r="AD359" s="6">
        <f t="shared" si="87"/>
        <v>378</v>
      </c>
      <c r="AE359" s="6">
        <f t="shared" si="88"/>
        <v>3483</v>
      </c>
      <c r="AF359" s="5">
        <f t="shared" si="89"/>
        <v>17.414999999999999</v>
      </c>
    </row>
    <row r="360" spans="1:32" x14ac:dyDescent="0.25">
      <c r="A360" s="207">
        <v>363</v>
      </c>
      <c r="B360" s="1" t="str">
        <f t="shared" si="75"/>
        <v>3.56, Spray (Direct/Layby) 12R-30</v>
      </c>
      <c r="C360" s="142">
        <v>3.56</v>
      </c>
      <c r="D360" s="138" t="s">
        <v>424</v>
      </c>
      <c r="E360" s="138" t="s">
        <v>320</v>
      </c>
      <c r="F360" s="138" t="s">
        <v>6</v>
      </c>
      <c r="G360" s="138" t="str">
        <f t="shared" si="76"/>
        <v>Spray (Direct/Layby) 12R-30</v>
      </c>
      <c r="H360" s="30">
        <v>19400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550.31010557867739</v>
      </c>
      <c r="W360" s="9">
        <f t="shared" si="80"/>
        <v>2.7515505278933872</v>
      </c>
      <c r="X360" s="8">
        <f t="shared" si="81"/>
        <v>1818.75</v>
      </c>
      <c r="Y360" s="7">
        <f t="shared" si="82"/>
        <v>9.09375</v>
      </c>
      <c r="Z360" s="2">
        <f t="shared" si="83"/>
        <v>7760</v>
      </c>
      <c r="AA360" s="2">
        <f t="shared" si="84"/>
        <v>1455</v>
      </c>
      <c r="AB360" s="2">
        <f t="shared" si="85"/>
        <v>13580</v>
      </c>
      <c r="AC360" s="6">
        <f t="shared" si="86"/>
        <v>1222.2</v>
      </c>
      <c r="AD360" s="6">
        <f t="shared" si="87"/>
        <v>325.92</v>
      </c>
      <c r="AE360" s="6">
        <f t="shared" si="88"/>
        <v>3003.12</v>
      </c>
      <c r="AF360" s="5">
        <f t="shared" si="89"/>
        <v>15.015599999999999</v>
      </c>
    </row>
    <row r="361" spans="1:32" x14ac:dyDescent="0.25">
      <c r="A361" s="207">
        <v>266</v>
      </c>
      <c r="B361" s="1" t="str">
        <f t="shared" si="75"/>
        <v>3.57, Spray (Direct/Layby)  8R-36 2x1</v>
      </c>
      <c r="C361" s="142">
        <v>3.57</v>
      </c>
      <c r="D361" s="138" t="s">
        <v>424</v>
      </c>
      <c r="E361" s="138" t="s">
        <v>320</v>
      </c>
      <c r="F361" s="138" t="s">
        <v>197</v>
      </c>
      <c r="G361" s="138" t="str">
        <f t="shared" si="76"/>
        <v>Spray (Direct/Layby)  8R-36 2x1</v>
      </c>
      <c r="H361" s="30">
        <v>19400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550.31010557867739</v>
      </c>
      <c r="W361" s="9">
        <f t="shared" si="80"/>
        <v>2.7515505278933872</v>
      </c>
      <c r="X361" s="8">
        <f t="shared" si="81"/>
        <v>1818.75</v>
      </c>
      <c r="Y361" s="7">
        <f t="shared" si="82"/>
        <v>9.09375</v>
      </c>
      <c r="Z361" s="2">
        <f t="shared" si="83"/>
        <v>7760</v>
      </c>
      <c r="AA361" s="2">
        <f t="shared" si="84"/>
        <v>1455</v>
      </c>
      <c r="AB361" s="2">
        <f t="shared" si="85"/>
        <v>13580</v>
      </c>
      <c r="AC361" s="6">
        <f t="shared" si="86"/>
        <v>1222.2</v>
      </c>
      <c r="AD361" s="6">
        <f t="shared" si="87"/>
        <v>325.92</v>
      </c>
      <c r="AE361" s="6">
        <f t="shared" si="88"/>
        <v>3003.12</v>
      </c>
      <c r="AF361" s="5">
        <f t="shared" si="89"/>
        <v>15.015599999999999</v>
      </c>
    </row>
    <row r="362" spans="1:32" x14ac:dyDescent="0.25">
      <c r="A362" s="207">
        <v>12</v>
      </c>
      <c r="B362" s="1" t="str">
        <f t="shared" si="75"/>
        <v>3.58, Spray (Direct/Layby) 12R-36</v>
      </c>
      <c r="C362" s="142">
        <v>3.58</v>
      </c>
      <c r="D362" s="138" t="s">
        <v>424</v>
      </c>
      <c r="E362" s="138" t="s">
        <v>320</v>
      </c>
      <c r="F362" s="138" t="s">
        <v>194</v>
      </c>
      <c r="G362" s="138" t="str">
        <f t="shared" si="76"/>
        <v>Spray (Direct/Layby) 12R-36</v>
      </c>
      <c r="H362" s="30">
        <v>19400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550.31010557867739</v>
      </c>
      <c r="W362" s="9">
        <f t="shared" si="80"/>
        <v>2.7515505278933872</v>
      </c>
      <c r="X362" s="8">
        <f t="shared" si="81"/>
        <v>1818.75</v>
      </c>
      <c r="Y362" s="7">
        <f t="shared" si="82"/>
        <v>9.09375</v>
      </c>
      <c r="Z362" s="2">
        <f t="shared" si="83"/>
        <v>7760</v>
      </c>
      <c r="AA362" s="2">
        <f t="shared" si="84"/>
        <v>1455</v>
      </c>
      <c r="AB362" s="2">
        <f t="shared" si="85"/>
        <v>13580</v>
      </c>
      <c r="AC362" s="6">
        <f t="shared" si="86"/>
        <v>1222.2</v>
      </c>
      <c r="AD362" s="6">
        <f t="shared" si="87"/>
        <v>325.92</v>
      </c>
      <c r="AE362" s="6">
        <f t="shared" si="88"/>
        <v>3003.12</v>
      </c>
      <c r="AF362" s="5">
        <f t="shared" si="89"/>
        <v>15.015599999999999</v>
      </c>
    </row>
    <row r="363" spans="1:32" x14ac:dyDescent="0.25">
      <c r="A363" s="207">
        <v>709</v>
      </c>
      <c r="B363" s="1" t="str">
        <f t="shared" si="75"/>
        <v>3.59, Spray (Levee Leaper) 50'</v>
      </c>
      <c r="C363" s="142">
        <v>3.59</v>
      </c>
      <c r="D363" s="138" t="s">
        <v>424</v>
      </c>
      <c r="E363" s="138" t="s">
        <v>321</v>
      </c>
      <c r="F363" s="138" t="s">
        <v>15</v>
      </c>
      <c r="G363" s="138" t="str">
        <f t="shared" si="76"/>
        <v>Spray (Levee Leaper) 50'</v>
      </c>
      <c r="H363" s="30">
        <v>12800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363.09120368077686</v>
      </c>
      <c r="W363" s="9">
        <f t="shared" si="80"/>
        <v>1.8154560184038844</v>
      </c>
      <c r="X363" s="8">
        <f t="shared" si="81"/>
        <v>1200</v>
      </c>
      <c r="Y363" s="7">
        <f t="shared" si="82"/>
        <v>6</v>
      </c>
      <c r="Z363" s="2">
        <f t="shared" si="83"/>
        <v>5120</v>
      </c>
      <c r="AA363" s="2">
        <f t="shared" si="84"/>
        <v>960</v>
      </c>
      <c r="AB363" s="2">
        <f t="shared" si="85"/>
        <v>8960</v>
      </c>
      <c r="AC363" s="6">
        <f t="shared" si="86"/>
        <v>806.4</v>
      </c>
      <c r="AD363" s="6">
        <f t="shared" si="87"/>
        <v>215.04</v>
      </c>
      <c r="AE363" s="6">
        <f t="shared" si="88"/>
        <v>1981.44</v>
      </c>
      <c r="AF363" s="5">
        <f t="shared" si="89"/>
        <v>9.9071999999999996</v>
      </c>
    </row>
    <row r="364" spans="1:32" x14ac:dyDescent="0.25">
      <c r="A364" s="207">
        <v>703</v>
      </c>
      <c r="B364" s="1" t="str">
        <f t="shared" si="75"/>
        <v>3.6, Spray (Pull Type)  60'</v>
      </c>
      <c r="C364" s="142">
        <v>3.6</v>
      </c>
      <c r="D364" s="138" t="s">
        <v>424</v>
      </c>
      <c r="E364" s="138" t="s">
        <v>322</v>
      </c>
      <c r="F364" s="138" t="s">
        <v>22</v>
      </c>
      <c r="G364" s="138"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x14ac:dyDescent="0.25">
      <c r="A365" s="207">
        <v>704</v>
      </c>
      <c r="B365" s="1" t="str">
        <f t="shared" si="75"/>
        <v>3.61, Spray (Pull Type)  80'</v>
      </c>
      <c r="C365" s="142">
        <v>3.61</v>
      </c>
      <c r="D365" s="138" t="s">
        <v>424</v>
      </c>
      <c r="E365" s="138" t="s">
        <v>322</v>
      </c>
      <c r="F365" s="138" t="s">
        <v>21</v>
      </c>
      <c r="G365" s="138" t="str">
        <f t="shared" si="76"/>
        <v>Spray (Pull Type)  80'</v>
      </c>
      <c r="H365" s="30">
        <v>52000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1475.0580149531561</v>
      </c>
      <c r="W365" s="9">
        <f t="shared" si="80"/>
        <v>7.3752900747657808</v>
      </c>
      <c r="X365" s="8">
        <f t="shared" si="81"/>
        <v>4875</v>
      </c>
      <c r="Y365" s="7">
        <f t="shared" si="82"/>
        <v>24.375</v>
      </c>
      <c r="Z365" s="2">
        <f t="shared" si="83"/>
        <v>20800</v>
      </c>
      <c r="AA365" s="2">
        <f t="shared" si="84"/>
        <v>3900</v>
      </c>
      <c r="AB365" s="2">
        <f t="shared" si="85"/>
        <v>36400</v>
      </c>
      <c r="AC365" s="6">
        <f t="shared" si="86"/>
        <v>3276</v>
      </c>
      <c r="AD365" s="6">
        <f t="shared" si="87"/>
        <v>873.6</v>
      </c>
      <c r="AE365" s="6">
        <f t="shared" si="88"/>
        <v>8049.6</v>
      </c>
      <c r="AF365" s="5">
        <f t="shared" si="89"/>
        <v>40.248000000000005</v>
      </c>
    </row>
    <row r="366" spans="1:32" x14ac:dyDescent="0.25">
      <c r="A366" s="207">
        <v>705</v>
      </c>
      <c r="B366" s="1" t="str">
        <f t="shared" si="75"/>
        <v>3.62, Spray (Pull Type)  90'</v>
      </c>
      <c r="C366" s="142">
        <v>3.62</v>
      </c>
      <c r="D366" s="138" t="s">
        <v>424</v>
      </c>
      <c r="E366" s="138" t="s">
        <v>322</v>
      </c>
      <c r="F366" s="138" t="s">
        <v>20</v>
      </c>
      <c r="G366" s="138" t="str">
        <f t="shared" si="76"/>
        <v>Spray (Pull Type)  90'</v>
      </c>
      <c r="H366" s="30">
        <v>52900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1500.5878652119607</v>
      </c>
      <c r="W366" s="9">
        <f t="shared" si="80"/>
        <v>7.5029393260598036</v>
      </c>
      <c r="X366" s="8">
        <f t="shared" si="81"/>
        <v>4959.375</v>
      </c>
      <c r="Y366" s="7">
        <f t="shared" si="82"/>
        <v>24.796875</v>
      </c>
      <c r="Z366" s="2">
        <f t="shared" si="83"/>
        <v>21160</v>
      </c>
      <c r="AA366" s="2">
        <f t="shared" si="84"/>
        <v>3967.5</v>
      </c>
      <c r="AB366" s="2">
        <f t="shared" si="85"/>
        <v>37030</v>
      </c>
      <c r="AC366" s="6">
        <f t="shared" si="86"/>
        <v>3332.7</v>
      </c>
      <c r="AD366" s="6">
        <f t="shared" si="87"/>
        <v>888.72</v>
      </c>
      <c r="AE366" s="6">
        <f t="shared" si="88"/>
        <v>8188.92</v>
      </c>
      <c r="AF366" s="5">
        <f t="shared" si="89"/>
        <v>40.944600000000001</v>
      </c>
    </row>
    <row r="367" spans="1:32" x14ac:dyDescent="0.25">
      <c r="A367" s="207">
        <v>706</v>
      </c>
      <c r="B367" s="1" t="str">
        <f t="shared" si="75"/>
        <v>3.63, Spray (Pull Type) 100'</v>
      </c>
      <c r="C367" s="142">
        <v>3.63</v>
      </c>
      <c r="D367" s="138" t="s">
        <v>424</v>
      </c>
      <c r="E367" s="138" t="s">
        <v>322</v>
      </c>
      <c r="F367" s="138" t="s">
        <v>19</v>
      </c>
      <c r="G367" s="138" t="str">
        <f t="shared" si="76"/>
        <v>Spray (Pull Type) 100'</v>
      </c>
      <c r="H367" s="284">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x14ac:dyDescent="0.25">
      <c r="A368" s="207">
        <v>707</v>
      </c>
      <c r="B368" s="1" t="str">
        <f t="shared" si="75"/>
        <v>3.64, Spray (Pull Type) 120'</v>
      </c>
      <c r="C368" s="142">
        <v>3.64</v>
      </c>
      <c r="D368" s="138" t="s">
        <v>424</v>
      </c>
      <c r="E368" s="138" t="s">
        <v>322</v>
      </c>
      <c r="F368" s="138" t="s">
        <v>18</v>
      </c>
      <c r="G368" s="138"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x14ac:dyDescent="0.25">
      <c r="A369" s="207">
        <v>708</v>
      </c>
      <c r="B369" s="1" t="str">
        <f t="shared" si="75"/>
        <v>3.65, Spray (Ropewick) 20'</v>
      </c>
      <c r="C369" s="142">
        <v>3.65</v>
      </c>
      <c r="D369" s="138" t="s">
        <v>424</v>
      </c>
      <c r="E369" s="138" t="s">
        <v>323</v>
      </c>
      <c r="F369" s="138" t="s">
        <v>8</v>
      </c>
      <c r="G369" s="138"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x14ac:dyDescent="0.25">
      <c r="A370" s="207">
        <v>194</v>
      </c>
      <c r="B370" s="1" t="str">
        <f t="shared" si="75"/>
        <v>3.66, Spray (Spot) 27'</v>
      </c>
      <c r="C370" s="142">
        <v>3.66</v>
      </c>
      <c r="D370" s="138" t="s">
        <v>424</v>
      </c>
      <c r="E370" s="138" t="s">
        <v>324</v>
      </c>
      <c r="F370" s="138" t="s">
        <v>17</v>
      </c>
      <c r="G370" s="138"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x14ac:dyDescent="0.25">
      <c r="A371" s="207">
        <v>195</v>
      </c>
      <c r="B371" s="1" t="str">
        <f t="shared" si="75"/>
        <v>3.67, Spray (Spot) 40'</v>
      </c>
      <c r="C371" s="142">
        <v>3.67</v>
      </c>
      <c r="D371" s="138" t="s">
        <v>424</v>
      </c>
      <c r="E371" s="138" t="s">
        <v>324</v>
      </c>
      <c r="F371" s="138" t="s">
        <v>16</v>
      </c>
      <c r="G371" s="138" t="str">
        <f t="shared" si="76"/>
        <v>Spray (Spot) 40'</v>
      </c>
      <c r="H371" s="30">
        <v>9300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263.80845267431442</v>
      </c>
      <c r="W371" s="9">
        <f t="shared" si="80"/>
        <v>1.3190422633715722</v>
      </c>
      <c r="X371" s="8">
        <f t="shared" si="81"/>
        <v>871.875</v>
      </c>
      <c r="Y371" s="7">
        <f t="shared" si="82"/>
        <v>4.359375</v>
      </c>
      <c r="Z371" s="2">
        <f t="shared" si="83"/>
        <v>3720</v>
      </c>
      <c r="AA371" s="2">
        <f t="shared" si="84"/>
        <v>697.5</v>
      </c>
      <c r="AB371" s="2">
        <f t="shared" si="85"/>
        <v>6510</v>
      </c>
      <c r="AC371" s="6">
        <f t="shared" si="86"/>
        <v>585.9</v>
      </c>
      <c r="AD371" s="6">
        <f t="shared" si="87"/>
        <v>156.24</v>
      </c>
      <c r="AE371" s="6">
        <f t="shared" si="88"/>
        <v>1439.64</v>
      </c>
      <c r="AF371" s="5">
        <f t="shared" si="89"/>
        <v>7.1982000000000008</v>
      </c>
    </row>
    <row r="372" spans="1:32" x14ac:dyDescent="0.25">
      <c r="A372" s="207">
        <v>358</v>
      </c>
      <c r="B372" s="1" t="str">
        <f t="shared" si="75"/>
        <v>3.68, Spray (Spot) 50'</v>
      </c>
      <c r="C372" s="142">
        <v>3.68</v>
      </c>
      <c r="D372" s="138" t="s">
        <v>424</v>
      </c>
      <c r="E372" s="138" t="s">
        <v>324</v>
      </c>
      <c r="F372" s="138" t="s">
        <v>15</v>
      </c>
      <c r="G372" s="138" t="str">
        <f t="shared" si="76"/>
        <v>Spray (Spot) 50'</v>
      </c>
      <c r="H372" s="30">
        <v>10100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286.50165290436297</v>
      </c>
      <c r="W372" s="9">
        <f t="shared" si="80"/>
        <v>1.4325082645218148</v>
      </c>
      <c r="X372" s="8">
        <f t="shared" si="81"/>
        <v>946.875</v>
      </c>
      <c r="Y372" s="7">
        <f t="shared" si="82"/>
        <v>4.734375</v>
      </c>
      <c r="Z372" s="2">
        <f t="shared" si="83"/>
        <v>4040</v>
      </c>
      <c r="AA372" s="2">
        <f t="shared" si="84"/>
        <v>757.5</v>
      </c>
      <c r="AB372" s="2">
        <f t="shared" si="85"/>
        <v>7070</v>
      </c>
      <c r="AC372" s="6">
        <f t="shared" si="86"/>
        <v>636.29999999999995</v>
      </c>
      <c r="AD372" s="6">
        <f t="shared" si="87"/>
        <v>169.68</v>
      </c>
      <c r="AE372" s="6">
        <f t="shared" si="88"/>
        <v>1563.48</v>
      </c>
      <c r="AF372" s="5">
        <f t="shared" si="89"/>
        <v>7.8174000000000001</v>
      </c>
    </row>
    <row r="373" spans="1:32" x14ac:dyDescent="0.25">
      <c r="A373" s="207">
        <v>359</v>
      </c>
      <c r="B373" s="1" t="str">
        <f t="shared" si="75"/>
        <v>3.69, Spray (Spot) 53'</v>
      </c>
      <c r="C373" s="142">
        <v>3.69</v>
      </c>
      <c r="D373" s="138" t="s">
        <v>424</v>
      </c>
      <c r="E373" s="138" t="s">
        <v>324</v>
      </c>
      <c r="F373" s="138" t="s">
        <v>14</v>
      </c>
      <c r="G373" s="138" t="str">
        <f t="shared" si="76"/>
        <v>Spray (Spot) 53'</v>
      </c>
      <c r="H373" s="284">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x14ac:dyDescent="0.25">
      <c r="A374" s="207">
        <v>196</v>
      </c>
      <c r="B374" s="1" t="str">
        <f t="shared" si="75"/>
        <v>3.7, Spray (Spot) 60'</v>
      </c>
      <c r="C374" s="142">
        <v>3.7</v>
      </c>
      <c r="D374" s="138" t="s">
        <v>424</v>
      </c>
      <c r="E374" s="138" t="s">
        <v>324</v>
      </c>
      <c r="F374" s="138" t="s">
        <v>13</v>
      </c>
      <c r="G374" s="138" t="str">
        <f t="shared" si="76"/>
        <v>Spray (Spot) 60'</v>
      </c>
      <c r="H374" s="30">
        <v>13200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374.43780379580113</v>
      </c>
      <c r="W374" s="9">
        <f t="shared" si="80"/>
        <v>1.8721890189790056</v>
      </c>
      <c r="X374" s="8">
        <f t="shared" si="81"/>
        <v>1237.5</v>
      </c>
      <c r="Y374" s="7">
        <f t="shared" si="82"/>
        <v>6.1875</v>
      </c>
      <c r="Z374" s="2">
        <f t="shared" si="83"/>
        <v>5280</v>
      </c>
      <c r="AA374" s="2">
        <f t="shared" si="84"/>
        <v>990</v>
      </c>
      <c r="AB374" s="2">
        <f t="shared" si="85"/>
        <v>9240</v>
      </c>
      <c r="AC374" s="6">
        <f t="shared" si="86"/>
        <v>831.6</v>
      </c>
      <c r="AD374" s="6">
        <f t="shared" si="87"/>
        <v>221.76</v>
      </c>
      <c r="AE374" s="6">
        <f t="shared" si="88"/>
        <v>2043.36</v>
      </c>
      <c r="AF374" s="5">
        <f t="shared" si="89"/>
        <v>10.216799999999999</v>
      </c>
    </row>
    <row r="375" spans="1:32" x14ac:dyDescent="0.25">
      <c r="A375" s="207"/>
      <c r="B375" s="1" t="str">
        <f t="shared" si="75"/>
        <v>3.71, ST Plant Rigid 6R-36</v>
      </c>
      <c r="C375" s="142">
        <v>3.71</v>
      </c>
      <c r="D375" s="138" t="s">
        <v>424</v>
      </c>
      <c r="E375" s="138" t="s">
        <v>406</v>
      </c>
      <c r="F375" s="138" t="s">
        <v>200</v>
      </c>
      <c r="G375" s="138" t="str">
        <f t="shared" si="76"/>
        <v>ST Plant Rigid 6R-36</v>
      </c>
      <c r="H375" s="30">
        <v>40000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758.49289704748537</v>
      </c>
      <c r="W375" s="9">
        <f t="shared" si="80"/>
        <v>5.0566193136499029</v>
      </c>
      <c r="X375" s="8">
        <f t="shared" si="81"/>
        <v>1800</v>
      </c>
      <c r="Y375" s="7">
        <f t="shared" si="82"/>
        <v>12</v>
      </c>
      <c r="Z375" s="2">
        <f t="shared" si="83"/>
        <v>18000</v>
      </c>
      <c r="AA375" s="2">
        <f t="shared" si="84"/>
        <v>2200</v>
      </c>
      <c r="AB375" s="2">
        <f t="shared" si="85"/>
        <v>29000</v>
      </c>
      <c r="AC375" s="6">
        <f t="shared" si="86"/>
        <v>2610</v>
      </c>
      <c r="AD375" s="6">
        <f t="shared" si="87"/>
        <v>696</v>
      </c>
      <c r="AE375" s="6">
        <f t="shared" si="88"/>
        <v>5506</v>
      </c>
      <c r="AF375" s="5">
        <f t="shared" si="89"/>
        <v>36.706666666666663</v>
      </c>
    </row>
    <row r="376" spans="1:32" x14ac:dyDescent="0.25">
      <c r="A376" s="207"/>
      <c r="B376" s="1" t="str">
        <f t="shared" si="75"/>
        <v>3.72, ST Plant Rigid 8R-36</v>
      </c>
      <c r="C376" s="142">
        <v>3.72</v>
      </c>
      <c r="D376" s="138" t="s">
        <v>424</v>
      </c>
      <c r="E376" s="138" t="s">
        <v>406</v>
      </c>
      <c r="F376" s="138" t="s">
        <v>199</v>
      </c>
      <c r="G376" s="138" t="str">
        <f t="shared" si="76"/>
        <v>ST Plant Rigid 8R-36</v>
      </c>
      <c r="H376" s="30">
        <v>44000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834.34218675223394</v>
      </c>
      <c r="W376" s="9">
        <f t="shared" si="80"/>
        <v>5.5622812450148933</v>
      </c>
      <c r="X376" s="8">
        <f t="shared" si="81"/>
        <v>1980</v>
      </c>
      <c r="Y376" s="7">
        <f t="shared" si="82"/>
        <v>13.2</v>
      </c>
      <c r="Z376" s="2">
        <f t="shared" si="83"/>
        <v>19800</v>
      </c>
      <c r="AA376" s="2">
        <f t="shared" si="84"/>
        <v>2420</v>
      </c>
      <c r="AB376" s="2">
        <f t="shared" si="85"/>
        <v>31900</v>
      </c>
      <c r="AC376" s="6">
        <f t="shared" si="86"/>
        <v>2871</v>
      </c>
      <c r="AD376" s="6">
        <f t="shared" si="87"/>
        <v>765.6</v>
      </c>
      <c r="AE376" s="6">
        <f t="shared" si="88"/>
        <v>6056.6</v>
      </c>
      <c r="AF376" s="5">
        <f t="shared" si="89"/>
        <v>40.377333333333333</v>
      </c>
    </row>
    <row r="377" spans="1:32" x14ac:dyDescent="0.25">
      <c r="A377" s="207">
        <v>693</v>
      </c>
      <c r="B377" s="1" t="str">
        <f t="shared" si="75"/>
        <v>3.73, Strip Till 12R-30</v>
      </c>
      <c r="C377" s="142">
        <v>3.73</v>
      </c>
      <c r="D377" s="138" t="s">
        <v>424</v>
      </c>
      <c r="E377" s="138" t="s">
        <v>325</v>
      </c>
      <c r="F377" s="138" t="s">
        <v>6</v>
      </c>
      <c r="G377" s="138" t="str">
        <f t="shared" si="76"/>
        <v>Strip Till 12R-30</v>
      </c>
      <c r="H377" s="284">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x14ac:dyDescent="0.25">
      <c r="A378" s="207">
        <v>202</v>
      </c>
      <c r="B378" s="1" t="str">
        <f t="shared" si="75"/>
        <v>3.74, Subsoiler 3 shank</v>
      </c>
      <c r="C378" s="142">
        <v>3.74</v>
      </c>
      <c r="D378" s="138" t="s">
        <v>424</v>
      </c>
      <c r="E378" s="138" t="s">
        <v>326</v>
      </c>
      <c r="F378" s="138" t="s">
        <v>5</v>
      </c>
      <c r="G378" s="138" t="str">
        <f t="shared" si="76"/>
        <v>Subsoiler 3 shank</v>
      </c>
      <c r="H378" s="30">
        <v>6360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68.362963327446593</v>
      </c>
      <c r="W378" s="9">
        <f t="shared" si="80"/>
        <v>0.68362963327446591</v>
      </c>
      <c r="X378" s="8">
        <f t="shared" si="81"/>
        <v>212</v>
      </c>
      <c r="Y378" s="7">
        <f t="shared" si="82"/>
        <v>2.12</v>
      </c>
      <c r="Z378" s="2">
        <f t="shared" si="83"/>
        <v>1908</v>
      </c>
      <c r="AA378" s="2">
        <f t="shared" si="84"/>
        <v>296.8</v>
      </c>
      <c r="AB378" s="2">
        <f t="shared" si="85"/>
        <v>4134</v>
      </c>
      <c r="AC378" s="6">
        <f t="shared" si="86"/>
        <v>372.06</v>
      </c>
      <c r="AD378" s="6">
        <f t="shared" si="87"/>
        <v>99.216000000000008</v>
      </c>
      <c r="AE378" s="6">
        <f t="shared" si="88"/>
        <v>768.07600000000002</v>
      </c>
      <c r="AF378" s="5">
        <f t="shared" si="89"/>
        <v>7.6807600000000003</v>
      </c>
    </row>
    <row r="379" spans="1:32" x14ac:dyDescent="0.25">
      <c r="A379" s="207">
        <v>217</v>
      </c>
      <c r="B379" s="1" t="str">
        <f t="shared" si="75"/>
        <v>3.75, Subsoiler 4 shank</v>
      </c>
      <c r="C379" s="142">
        <v>3.75</v>
      </c>
      <c r="D379" s="138" t="s">
        <v>424</v>
      </c>
      <c r="E379" s="138" t="s">
        <v>326</v>
      </c>
      <c r="F379" s="138" t="s">
        <v>3</v>
      </c>
      <c r="G379" s="138" t="str">
        <f t="shared" si="76"/>
        <v>Subsoiler 4 shank</v>
      </c>
      <c r="H379" s="30">
        <v>11210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120.49509731142709</v>
      </c>
      <c r="W379" s="9">
        <f t="shared" si="80"/>
        <v>1.2049509731142709</v>
      </c>
      <c r="X379" s="8">
        <f t="shared" si="81"/>
        <v>373.66666666666669</v>
      </c>
      <c r="Y379" s="7">
        <f t="shared" si="82"/>
        <v>3.7366666666666668</v>
      </c>
      <c r="Z379" s="2">
        <f t="shared" si="83"/>
        <v>3363</v>
      </c>
      <c r="AA379" s="2">
        <f t="shared" si="84"/>
        <v>523.13333333333333</v>
      </c>
      <c r="AB379" s="2">
        <f t="shared" si="85"/>
        <v>7286.5</v>
      </c>
      <c r="AC379" s="6">
        <f t="shared" si="86"/>
        <v>655.78499999999997</v>
      </c>
      <c r="AD379" s="6">
        <f t="shared" si="87"/>
        <v>174.876</v>
      </c>
      <c r="AE379" s="6">
        <f t="shared" si="88"/>
        <v>1353.7943333333333</v>
      </c>
      <c r="AF379" s="5">
        <f t="shared" si="89"/>
        <v>13.537943333333333</v>
      </c>
    </row>
    <row r="380" spans="1:32" x14ac:dyDescent="0.25">
      <c r="A380" s="207">
        <v>203</v>
      </c>
      <c r="B380" s="1" t="str">
        <f t="shared" si="75"/>
        <v>3.76, Subsoiler 5 shank</v>
      </c>
      <c r="C380" s="142">
        <v>3.76</v>
      </c>
      <c r="D380" s="138" t="s">
        <v>424</v>
      </c>
      <c r="E380" s="138" t="s">
        <v>326</v>
      </c>
      <c r="F380" s="138" t="s">
        <v>4</v>
      </c>
      <c r="G380" s="138" t="str">
        <f t="shared" si="76"/>
        <v>Subsoiler 5 shank</v>
      </c>
      <c r="H380" s="30">
        <v>14300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153.70917855070539</v>
      </c>
      <c r="W380" s="9">
        <f t="shared" si="80"/>
        <v>1.5370917855070538</v>
      </c>
      <c r="X380" s="8">
        <f t="shared" si="81"/>
        <v>476.66666666666669</v>
      </c>
      <c r="Y380" s="7">
        <f t="shared" si="82"/>
        <v>4.7666666666666666</v>
      </c>
      <c r="Z380" s="2">
        <f t="shared" si="83"/>
        <v>4290</v>
      </c>
      <c r="AA380" s="2">
        <f t="shared" si="84"/>
        <v>667.33333333333337</v>
      </c>
      <c r="AB380" s="2">
        <f t="shared" si="85"/>
        <v>9295</v>
      </c>
      <c r="AC380" s="6">
        <f t="shared" si="86"/>
        <v>836.55</v>
      </c>
      <c r="AD380" s="6">
        <f t="shared" si="87"/>
        <v>223.08</v>
      </c>
      <c r="AE380" s="6">
        <f t="shared" si="88"/>
        <v>1726.9633333333331</v>
      </c>
      <c r="AF380" s="5">
        <f t="shared" si="89"/>
        <v>17.269633333333331</v>
      </c>
    </row>
    <row r="381" spans="1:32" x14ac:dyDescent="0.25">
      <c r="A381" s="207">
        <v>218</v>
      </c>
      <c r="B381" s="1" t="str">
        <f t="shared" si="75"/>
        <v>3.77, Subsoiler low-till 4 shank</v>
      </c>
      <c r="C381" s="142">
        <v>3.77</v>
      </c>
      <c r="D381" s="138" t="s">
        <v>424</v>
      </c>
      <c r="E381" s="138" t="s">
        <v>327</v>
      </c>
      <c r="F381" s="138" t="s">
        <v>3</v>
      </c>
      <c r="G381" s="138" t="str">
        <f t="shared" si="76"/>
        <v>Subsoiler low-till 4 shank</v>
      </c>
      <c r="H381" s="284">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x14ac:dyDescent="0.25">
      <c r="A382" s="207">
        <v>219</v>
      </c>
      <c r="B382" s="1" t="str">
        <f t="shared" si="75"/>
        <v>3.78, Subsoiler low-till 6 shank</v>
      </c>
      <c r="C382" s="142">
        <v>3.78</v>
      </c>
      <c r="D382" s="138" t="s">
        <v>424</v>
      </c>
      <c r="E382" s="138" t="s">
        <v>327</v>
      </c>
      <c r="F382" s="138" t="s">
        <v>2</v>
      </c>
      <c r="G382" s="138" t="str">
        <f t="shared" si="76"/>
        <v>Subsoiler low-till 6 shank</v>
      </c>
      <c r="H382" s="30">
        <v>19400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208.52853593592198</v>
      </c>
      <c r="W382" s="9">
        <f t="shared" si="80"/>
        <v>2.08528535935922</v>
      </c>
      <c r="X382" s="8">
        <f t="shared" si="81"/>
        <v>646.66666666666663</v>
      </c>
      <c r="Y382" s="7">
        <f t="shared" si="82"/>
        <v>6.4666666666666659</v>
      </c>
      <c r="Z382" s="2">
        <f t="shared" si="83"/>
        <v>5820</v>
      </c>
      <c r="AA382" s="2">
        <f t="shared" si="84"/>
        <v>905.33333333333337</v>
      </c>
      <c r="AB382" s="2">
        <f t="shared" si="85"/>
        <v>12610</v>
      </c>
      <c r="AC382" s="6">
        <f t="shared" si="86"/>
        <v>1134.8999999999999</v>
      </c>
      <c r="AD382" s="6">
        <f t="shared" si="87"/>
        <v>302.64</v>
      </c>
      <c r="AE382" s="6">
        <f t="shared" si="88"/>
        <v>2342.873333333333</v>
      </c>
      <c r="AF382" s="5">
        <f t="shared" si="89"/>
        <v>23.42873333333333</v>
      </c>
    </row>
    <row r="383" spans="1:32" x14ac:dyDescent="0.25">
      <c r="A383" s="207">
        <v>311</v>
      </c>
      <c r="B383" s="1" t="str">
        <f t="shared" si="75"/>
        <v>3.79, Subsoiler low-till 8 shank</v>
      </c>
      <c r="C383" s="142">
        <v>3.79</v>
      </c>
      <c r="D383" s="138" t="s">
        <v>424</v>
      </c>
      <c r="E383" s="138" t="s">
        <v>327</v>
      </c>
      <c r="F383" s="138" t="s">
        <v>1</v>
      </c>
      <c r="G383" s="138" t="str">
        <f t="shared" si="76"/>
        <v>Subsoiler low-till 8 shank</v>
      </c>
      <c r="H383" s="30">
        <v>21400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230.02632314581084</v>
      </c>
      <c r="W383" s="9">
        <f t="shared" si="80"/>
        <v>2.3002632314581084</v>
      </c>
      <c r="X383" s="8">
        <f t="shared" si="81"/>
        <v>713.33333333333337</v>
      </c>
      <c r="Y383" s="7">
        <f t="shared" si="82"/>
        <v>7.1333333333333337</v>
      </c>
      <c r="Z383" s="2">
        <f t="shared" si="83"/>
        <v>6420</v>
      </c>
      <c r="AA383" s="2">
        <f t="shared" si="84"/>
        <v>998.66666666666663</v>
      </c>
      <c r="AB383" s="2">
        <f t="shared" si="85"/>
        <v>13910</v>
      </c>
      <c r="AC383" s="6">
        <f t="shared" si="86"/>
        <v>1251.8999999999999</v>
      </c>
      <c r="AD383" s="6">
        <f t="shared" si="87"/>
        <v>333.84000000000003</v>
      </c>
      <c r="AE383" s="6">
        <f t="shared" si="88"/>
        <v>2584.4066666666668</v>
      </c>
      <c r="AF383" s="5">
        <f t="shared" si="89"/>
        <v>25.844066666666667</v>
      </c>
    </row>
    <row r="384" spans="1:32" x14ac:dyDescent="0.25">
      <c r="D384" s="138"/>
    </row>
    <row r="385" spans="1:32" x14ac:dyDescent="0.25">
      <c r="D385" s="138"/>
    </row>
    <row r="386" spans="1:32" x14ac:dyDescent="0.25">
      <c r="A386" s="207">
        <v>268</v>
      </c>
      <c r="B386" s="1" t="str">
        <f t="shared" ref="B386:B417" si="90">CONCATENATE(C386,D386,E386,F386)</f>
        <v>0.01, Boll Buggy 4R-30 (250)</v>
      </c>
      <c r="C386" s="142">
        <v>0.01</v>
      </c>
      <c r="D386" s="138" t="s">
        <v>424</v>
      </c>
      <c r="E386" s="138" t="s">
        <v>328</v>
      </c>
      <c r="F386" s="138" t="s">
        <v>221</v>
      </c>
      <c r="G386" s="138" t="str">
        <f t="shared" ref="G386:G417" si="91">CONCATENATE(E386,F386)</f>
        <v>Boll Buggy 4R-30 (250)</v>
      </c>
      <c r="H386" s="190">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x14ac:dyDescent="0.25">
      <c r="A387" s="207">
        <v>465</v>
      </c>
      <c r="B387" s="1" t="str">
        <f t="shared" si="90"/>
        <v>0.02, Boll Buggy 4R-30 (325)</v>
      </c>
      <c r="C387" s="142">
        <v>0.02</v>
      </c>
      <c r="D387" s="138" t="s">
        <v>424</v>
      </c>
      <c r="E387" s="138" t="s">
        <v>328</v>
      </c>
      <c r="F387" s="138" t="s">
        <v>344</v>
      </c>
      <c r="G387" s="138" t="str">
        <f t="shared" si="91"/>
        <v>Boll Buggy 4R-30 (325)</v>
      </c>
      <c r="H387" s="190">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x14ac:dyDescent="0.25">
      <c r="A388" s="207">
        <v>229</v>
      </c>
      <c r="B388" s="1" t="str">
        <f t="shared" si="90"/>
        <v>0.03, Boll Buggy 4R-36 (255)</v>
      </c>
      <c r="C388" s="142">
        <v>0.03</v>
      </c>
      <c r="D388" s="138" t="s">
        <v>424</v>
      </c>
      <c r="E388" s="138" t="s">
        <v>328</v>
      </c>
      <c r="F388" s="138" t="s">
        <v>222</v>
      </c>
      <c r="G388" s="138" t="str">
        <f t="shared" si="91"/>
        <v>Boll Buggy 4R-36 (255)</v>
      </c>
      <c r="H388" s="190">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x14ac:dyDescent="0.25">
      <c r="A389" s="207">
        <v>269</v>
      </c>
      <c r="B389" s="1" t="str">
        <f t="shared" si="90"/>
        <v>0.04, Boll Buggy 4R-36 (325)</v>
      </c>
      <c r="C389" s="142">
        <v>0.04</v>
      </c>
      <c r="D389" s="138" t="s">
        <v>424</v>
      </c>
      <c r="E389" s="138" t="s">
        <v>328</v>
      </c>
      <c r="F389" s="138" t="s">
        <v>346</v>
      </c>
      <c r="G389" s="138" t="str">
        <f t="shared" si="91"/>
        <v>Boll Buggy 4R-36 (325)</v>
      </c>
      <c r="H389" s="190">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x14ac:dyDescent="0.25">
      <c r="A390" s="207">
        <v>270</v>
      </c>
      <c r="B390" s="1" t="str">
        <f t="shared" si="90"/>
        <v>0.05, Boll Buggy 5R-30 (255)</v>
      </c>
      <c r="C390" s="142">
        <v>0.05</v>
      </c>
      <c r="D390" s="138" t="s">
        <v>424</v>
      </c>
      <c r="E390" s="138" t="s">
        <v>328</v>
      </c>
      <c r="F390" s="138" t="s">
        <v>345</v>
      </c>
      <c r="G390" s="138" t="str">
        <f t="shared" si="91"/>
        <v>Boll Buggy 5R-30 (255)</v>
      </c>
      <c r="H390" s="190">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x14ac:dyDescent="0.25">
      <c r="A391" s="207">
        <v>466</v>
      </c>
      <c r="B391" s="1" t="str">
        <f t="shared" si="90"/>
        <v>0.06, Boll Buggy 6R-30 (325)</v>
      </c>
      <c r="C391" s="142">
        <v>0.06</v>
      </c>
      <c r="D391" s="138" t="s">
        <v>424</v>
      </c>
      <c r="E391" s="138" t="s">
        <v>328</v>
      </c>
      <c r="F391" s="138" t="s">
        <v>347</v>
      </c>
      <c r="G391" s="138" t="str">
        <f t="shared" si="91"/>
        <v>Boll Buggy 6R-30 (325)</v>
      </c>
      <c r="H391" s="190">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x14ac:dyDescent="0.25">
      <c r="A392" s="207">
        <v>271</v>
      </c>
      <c r="B392" s="1" t="str">
        <f t="shared" si="90"/>
        <v>0.07, Boll Buggy 5R-36 (250)</v>
      </c>
      <c r="C392" s="142">
        <v>7.0000000000000007E-2</v>
      </c>
      <c r="D392" s="138" t="s">
        <v>424</v>
      </c>
      <c r="E392" s="138" t="s">
        <v>328</v>
      </c>
      <c r="F392" s="138" t="s">
        <v>224</v>
      </c>
      <c r="G392" s="138" t="str">
        <f t="shared" si="91"/>
        <v>Boll Buggy 5R-36 (250)</v>
      </c>
      <c r="H392" s="190">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x14ac:dyDescent="0.25">
      <c r="A393" s="207">
        <v>226</v>
      </c>
      <c r="B393" s="1" t="str">
        <f t="shared" si="90"/>
        <v>0.08, Boll Buggy 4R2x1 (350)</v>
      </c>
      <c r="C393" s="142">
        <v>0.08</v>
      </c>
      <c r="D393" s="138" t="s">
        <v>424</v>
      </c>
      <c r="E393" s="138" t="s">
        <v>328</v>
      </c>
      <c r="F393" s="138" t="s">
        <v>225</v>
      </c>
      <c r="G393" s="138" t="str">
        <f t="shared" si="91"/>
        <v>Boll Buggy 4R2x1 (350)</v>
      </c>
      <c r="H393" s="190">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x14ac:dyDescent="0.25">
      <c r="A394" s="207">
        <v>225</v>
      </c>
      <c r="B394" s="1" t="str">
        <f t="shared" si="90"/>
        <v>0.09, Boll Buggy 6R-36 (330)</v>
      </c>
      <c r="C394" s="142">
        <v>0.09</v>
      </c>
      <c r="D394" s="138" t="s">
        <v>424</v>
      </c>
      <c r="E394" s="138" t="s">
        <v>328</v>
      </c>
      <c r="F394" s="138" t="s">
        <v>348</v>
      </c>
      <c r="G394" s="138" t="str">
        <f t="shared" si="91"/>
        <v>Boll Buggy 6R-36 (330)</v>
      </c>
      <c r="H394" s="190">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x14ac:dyDescent="0.25">
      <c r="A395" s="207">
        <v>489</v>
      </c>
      <c r="B395" s="1" t="str">
        <f t="shared" si="90"/>
        <v>0.1, Boll Buggy-Stripper 4R-36</v>
      </c>
      <c r="C395" s="142">
        <v>0.1</v>
      </c>
      <c r="D395" s="138" t="s">
        <v>424</v>
      </c>
      <c r="E395" s="138" t="s">
        <v>329</v>
      </c>
      <c r="F395" s="138" t="s">
        <v>73</v>
      </c>
      <c r="G395" s="138" t="str">
        <f t="shared" si="91"/>
        <v>Boll Buggy-Stripper 4R-36</v>
      </c>
      <c r="H395" s="190">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x14ac:dyDescent="0.25">
      <c r="A396" s="207">
        <v>491</v>
      </c>
      <c r="B396" s="1" t="str">
        <f t="shared" si="90"/>
        <v>0.11, Boll Buggy-Stripper 4R-36</v>
      </c>
      <c r="C396" s="142">
        <v>0.11</v>
      </c>
      <c r="D396" s="138" t="s">
        <v>424</v>
      </c>
      <c r="E396" s="138" t="s">
        <v>329</v>
      </c>
      <c r="F396" s="138" t="s">
        <v>73</v>
      </c>
      <c r="G396" s="138" t="str">
        <f t="shared" si="91"/>
        <v>Boll Buggy-Stripper 4R-36</v>
      </c>
      <c r="H396" s="190">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x14ac:dyDescent="0.25">
      <c r="A397" s="207">
        <v>493</v>
      </c>
      <c r="B397" s="1" t="str">
        <f t="shared" si="90"/>
        <v>0.12, Boll Buggy-Stripper 5R-30</v>
      </c>
      <c r="C397" s="142">
        <v>0.12</v>
      </c>
      <c r="D397" s="138" t="s">
        <v>424</v>
      </c>
      <c r="E397" s="138" t="s">
        <v>329</v>
      </c>
      <c r="F397" s="138" t="s">
        <v>72</v>
      </c>
      <c r="G397" s="138" t="str">
        <f t="shared" si="91"/>
        <v>Boll Buggy-Stripper 5R-30</v>
      </c>
      <c r="H397" s="190">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x14ac:dyDescent="0.25">
      <c r="A398" s="207">
        <v>228</v>
      </c>
      <c r="B398" s="1" t="str">
        <f t="shared" si="90"/>
        <v>0.13, Boll Buggy-Stripper 13' Bcast</v>
      </c>
      <c r="C398" s="142">
        <v>0.13</v>
      </c>
      <c r="D398" s="138" t="s">
        <v>424</v>
      </c>
      <c r="E398" s="138" t="s">
        <v>329</v>
      </c>
      <c r="F398" s="138" t="s">
        <v>71</v>
      </c>
      <c r="G398" s="138" t="str">
        <f t="shared" si="91"/>
        <v>Boll Buggy-Stripper 13' Bcast</v>
      </c>
      <c r="H398" s="190">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x14ac:dyDescent="0.25">
      <c r="A399" s="207">
        <v>490</v>
      </c>
      <c r="B399" s="1" t="str">
        <f t="shared" si="90"/>
        <v>0.14, Boll Buggy-Stripper 4R-30 2x1</v>
      </c>
      <c r="C399" s="142">
        <v>0.14000000000000001</v>
      </c>
      <c r="D399" s="138" t="s">
        <v>424</v>
      </c>
      <c r="E399" s="138" t="s">
        <v>329</v>
      </c>
      <c r="F399" s="138" t="s">
        <v>70</v>
      </c>
      <c r="G399" s="138" t="str">
        <f t="shared" si="91"/>
        <v>Boll Buggy-Stripper 4R-30 2x1</v>
      </c>
      <c r="H399" s="190">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x14ac:dyDescent="0.25">
      <c r="A400" s="207">
        <v>495</v>
      </c>
      <c r="B400" s="1" t="str">
        <f t="shared" si="90"/>
        <v>0.15, Boll Buggy-Stripper 6R-30</v>
      </c>
      <c r="C400" s="142">
        <v>0.15</v>
      </c>
      <c r="D400" s="138" t="s">
        <v>424</v>
      </c>
      <c r="E400" s="138" t="s">
        <v>329</v>
      </c>
      <c r="F400" s="138" t="s">
        <v>47</v>
      </c>
      <c r="G400" s="138" t="str">
        <f t="shared" si="91"/>
        <v>Boll Buggy-Stripper 6R-30</v>
      </c>
      <c r="H400" s="190">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x14ac:dyDescent="0.25">
      <c r="A401" s="207">
        <v>494</v>
      </c>
      <c r="B401" s="1" t="str">
        <f t="shared" si="90"/>
        <v>0.16, Boll Buggy-Stripper 5R-36</v>
      </c>
      <c r="C401" s="142">
        <v>0.16</v>
      </c>
      <c r="D401" s="138" t="s">
        <v>424</v>
      </c>
      <c r="E401" s="138" t="s">
        <v>329</v>
      </c>
      <c r="F401" s="138" t="s">
        <v>201</v>
      </c>
      <c r="G401" s="138" t="str">
        <f t="shared" si="91"/>
        <v>Boll Buggy-Stripper 5R-36</v>
      </c>
      <c r="H401" s="190">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x14ac:dyDescent="0.25">
      <c r="A402" s="207">
        <v>487</v>
      </c>
      <c r="B402" s="1" t="str">
        <f t="shared" si="90"/>
        <v>0.17, Boll Buggy-Stripper 16' Bcast</v>
      </c>
      <c r="C402" s="142">
        <v>0.17</v>
      </c>
      <c r="D402" s="138" t="s">
        <v>424</v>
      </c>
      <c r="E402" s="138" t="s">
        <v>329</v>
      </c>
      <c r="F402" s="138" t="s">
        <v>69</v>
      </c>
      <c r="G402" s="138" t="str">
        <f t="shared" si="91"/>
        <v>Boll Buggy-Stripper 16' Bcast</v>
      </c>
      <c r="H402" s="190">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x14ac:dyDescent="0.25">
      <c r="A403" s="207">
        <v>492</v>
      </c>
      <c r="B403" s="1" t="str">
        <f t="shared" si="90"/>
        <v>0.18, Boll Buggy-Stripper 4R-36 2x1</v>
      </c>
      <c r="C403" s="142">
        <v>0.18</v>
      </c>
      <c r="D403" s="138" t="s">
        <v>424</v>
      </c>
      <c r="E403" s="138" t="s">
        <v>329</v>
      </c>
      <c r="F403" s="138" t="s">
        <v>202</v>
      </c>
      <c r="G403" s="138" t="str">
        <f t="shared" si="91"/>
        <v>Boll Buggy-Stripper 4R-36 2x1</v>
      </c>
      <c r="H403" s="190">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x14ac:dyDescent="0.25">
      <c r="A404" s="207">
        <v>677</v>
      </c>
      <c r="B404" s="1" t="str">
        <f t="shared" si="90"/>
        <v>0.19, Boll Buggy-Stripper 6R-36</v>
      </c>
      <c r="C404" s="142">
        <v>0.19</v>
      </c>
      <c r="D404" s="138" t="s">
        <v>424</v>
      </c>
      <c r="E404" s="138" t="s">
        <v>329</v>
      </c>
      <c r="F404" s="138" t="s">
        <v>200</v>
      </c>
      <c r="G404" s="138" t="str">
        <f t="shared" si="91"/>
        <v>Boll Buggy-Stripper 6R-36</v>
      </c>
      <c r="H404" s="190">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x14ac:dyDescent="0.25">
      <c r="A405" s="207">
        <v>488</v>
      </c>
      <c r="B405" s="1" t="str">
        <f t="shared" si="90"/>
        <v>0.2, Boll Buggy-Stripper 19' Bcast</v>
      </c>
      <c r="C405" s="142">
        <v>0.2</v>
      </c>
      <c r="D405" s="138" t="s">
        <v>424</v>
      </c>
      <c r="E405" s="138" t="s">
        <v>329</v>
      </c>
      <c r="F405" s="138" t="s">
        <v>68</v>
      </c>
      <c r="G405" s="138" t="str">
        <f t="shared" si="91"/>
        <v>Boll Buggy-Stripper 19' Bcast</v>
      </c>
      <c r="H405" s="190">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x14ac:dyDescent="0.25">
      <c r="A406" s="207">
        <v>679</v>
      </c>
      <c r="B406" s="1" t="str">
        <f t="shared" si="90"/>
        <v>0.21, Boll Buggy-Stripper 8R-30</v>
      </c>
      <c r="C406" s="142">
        <v>0.21</v>
      </c>
      <c r="D406" s="138" t="s">
        <v>424</v>
      </c>
      <c r="E406" s="138" t="s">
        <v>329</v>
      </c>
      <c r="F406" s="138" t="s">
        <v>91</v>
      </c>
      <c r="G406" s="138" t="str">
        <f t="shared" si="91"/>
        <v>Boll Buggy-Stripper 8R-30</v>
      </c>
      <c r="H406" s="190">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x14ac:dyDescent="0.25">
      <c r="A407" s="207">
        <v>680</v>
      </c>
      <c r="B407" s="1" t="str">
        <f t="shared" si="90"/>
        <v>0.22, Boll Buggy-Stripper 8R-36</v>
      </c>
      <c r="C407" s="142">
        <v>0.22</v>
      </c>
      <c r="D407" s="138" t="s">
        <v>424</v>
      </c>
      <c r="E407" s="138" t="s">
        <v>329</v>
      </c>
      <c r="F407" s="138" t="s">
        <v>199</v>
      </c>
      <c r="G407" s="138" t="str">
        <f t="shared" si="91"/>
        <v>Boll Buggy-Stripper 8R-36</v>
      </c>
      <c r="H407" s="190">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x14ac:dyDescent="0.25">
      <c r="A408" s="207">
        <v>207</v>
      </c>
      <c r="B408" s="1" t="str">
        <f t="shared" si="90"/>
        <v>0.23, Grain Cart Corn  500 bu</v>
      </c>
      <c r="C408" s="142">
        <v>0.23</v>
      </c>
      <c r="D408" s="138" t="s">
        <v>424</v>
      </c>
      <c r="E408" s="138" t="s">
        <v>330</v>
      </c>
      <c r="F408" s="138" t="s">
        <v>85</v>
      </c>
      <c r="G408" s="138" t="str">
        <f t="shared" si="91"/>
        <v>Grain Cart Corn  500 bu</v>
      </c>
      <c r="H408" s="30">
        <v>27300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297.49222252566307</v>
      </c>
      <c r="W408" s="9">
        <f t="shared" si="95"/>
        <v>1.4874611126283153</v>
      </c>
      <c r="X408" s="8">
        <f t="shared" si="96"/>
        <v>1478.75</v>
      </c>
      <c r="Y408" s="7">
        <f t="shared" si="97"/>
        <v>7.3937499999999998</v>
      </c>
      <c r="Z408" s="2">
        <f t="shared" si="98"/>
        <v>8190</v>
      </c>
      <c r="AA408" s="2">
        <f t="shared" si="99"/>
        <v>1592.5</v>
      </c>
      <c r="AB408" s="2">
        <f t="shared" si="100"/>
        <v>17745</v>
      </c>
      <c r="AC408" s="6">
        <f t="shared" si="101"/>
        <v>1597.05</v>
      </c>
      <c r="AD408" s="6">
        <f t="shared" si="102"/>
        <v>425.88</v>
      </c>
      <c r="AE408" s="6">
        <f t="shared" si="103"/>
        <v>3615.4300000000003</v>
      </c>
      <c r="AF408" s="5">
        <f t="shared" si="104"/>
        <v>18.077150000000003</v>
      </c>
    </row>
    <row r="409" spans="1:32" x14ac:dyDescent="0.25">
      <c r="A409" s="207">
        <v>206</v>
      </c>
      <c r="B409" s="1" t="str">
        <f t="shared" si="90"/>
        <v>0.24, Grain Cart Corn  700 bu</v>
      </c>
      <c r="C409" s="142">
        <v>0.24</v>
      </c>
      <c r="D409" s="138" t="s">
        <v>424</v>
      </c>
      <c r="E409" s="138" t="s">
        <v>330</v>
      </c>
      <c r="F409" s="138" t="s">
        <v>84</v>
      </c>
      <c r="G409" s="138" t="str">
        <f t="shared" si="91"/>
        <v>Grain Cart Corn  700 bu</v>
      </c>
      <c r="H409" s="30">
        <v>44000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479.47464436370603</v>
      </c>
      <c r="W409" s="9">
        <f t="shared" si="95"/>
        <v>2.3973732218185302</v>
      </c>
      <c r="X409" s="8">
        <f t="shared" si="96"/>
        <v>2383.3333333333335</v>
      </c>
      <c r="Y409" s="7">
        <f t="shared" si="97"/>
        <v>11.916666666666668</v>
      </c>
      <c r="Z409" s="2">
        <f t="shared" si="98"/>
        <v>13200</v>
      </c>
      <c r="AA409" s="2">
        <f t="shared" si="99"/>
        <v>2566.6666666666665</v>
      </c>
      <c r="AB409" s="2">
        <f t="shared" si="100"/>
        <v>28600</v>
      </c>
      <c r="AC409" s="6">
        <f t="shared" si="101"/>
        <v>2574</v>
      </c>
      <c r="AD409" s="6">
        <f t="shared" si="102"/>
        <v>686.4</v>
      </c>
      <c r="AE409" s="6">
        <f t="shared" si="103"/>
        <v>5827.0666666666657</v>
      </c>
      <c r="AF409" s="5">
        <f t="shared" si="104"/>
        <v>29.135333333333328</v>
      </c>
    </row>
    <row r="410" spans="1:32" s="239" customFormat="1" x14ac:dyDescent="0.25">
      <c r="A410" s="239">
        <v>712</v>
      </c>
      <c r="B410" s="239" t="str">
        <f t="shared" si="90"/>
        <v xml:space="preserve">0.25, Flat Bed Trailer  </v>
      </c>
      <c r="C410" s="247">
        <v>0.25</v>
      </c>
      <c r="D410" s="240" t="s">
        <v>424</v>
      </c>
      <c r="E410" s="240" t="s">
        <v>566</v>
      </c>
      <c r="F410" s="240"/>
      <c r="G410" s="240" t="str">
        <f t="shared" si="91"/>
        <v xml:space="preserve">Flat Bed Trailer  </v>
      </c>
      <c r="H410" s="30">
        <v>57900</v>
      </c>
      <c r="I410" s="239">
        <v>36</v>
      </c>
      <c r="J410" s="239">
        <v>3.8</v>
      </c>
      <c r="K410" s="239">
        <v>85</v>
      </c>
      <c r="L410" s="242">
        <v>9.4E-2</v>
      </c>
      <c r="M410" s="239">
        <v>30</v>
      </c>
      <c r="N410" s="239">
        <v>65</v>
      </c>
      <c r="O410" s="239">
        <v>12</v>
      </c>
      <c r="P410" s="239">
        <v>200</v>
      </c>
      <c r="Q410" s="239">
        <v>0</v>
      </c>
      <c r="R410" s="239">
        <f t="shared" si="93"/>
        <v>2400</v>
      </c>
      <c r="S410" s="239">
        <v>1</v>
      </c>
      <c r="T410" s="239">
        <v>0.32</v>
      </c>
      <c r="U410" s="239">
        <v>2.1</v>
      </c>
      <c r="V410" s="248">
        <f t="shared" si="94"/>
        <v>630.94504337860405</v>
      </c>
      <c r="W410" s="249">
        <f t="shared" si="95"/>
        <v>3.1547252168930204</v>
      </c>
      <c r="X410" s="243">
        <f t="shared" si="96"/>
        <v>3136.25</v>
      </c>
      <c r="Y410" s="249">
        <f t="shared" si="97"/>
        <v>15.68125</v>
      </c>
      <c r="Z410" s="243">
        <f t="shared" si="98"/>
        <v>17370</v>
      </c>
      <c r="AA410" s="243">
        <f t="shared" si="99"/>
        <v>3377.5</v>
      </c>
      <c r="AB410" s="243">
        <f t="shared" si="100"/>
        <v>37635</v>
      </c>
      <c r="AC410" s="250">
        <f t="shared" si="101"/>
        <v>3387.15</v>
      </c>
      <c r="AD410" s="250">
        <f t="shared" si="102"/>
        <v>903.24</v>
      </c>
      <c r="AE410" s="250">
        <f t="shared" si="103"/>
        <v>7667.8899999999994</v>
      </c>
      <c r="AF410" s="249">
        <f t="shared" si="104"/>
        <v>38.339449999999999</v>
      </c>
    </row>
    <row r="411" spans="1:32" x14ac:dyDescent="0.25">
      <c r="A411" s="207">
        <v>687</v>
      </c>
      <c r="B411" s="1" t="str">
        <f t="shared" si="90"/>
        <v>0.26, Grain Cart Soybean  500 bu</v>
      </c>
      <c r="C411" s="142">
        <v>0.26</v>
      </c>
      <c r="D411" s="138" t="s">
        <v>424</v>
      </c>
      <c r="E411" s="138" t="s">
        <v>331</v>
      </c>
      <c r="F411" s="138" t="s">
        <v>85</v>
      </c>
      <c r="G411" s="138" t="str">
        <f t="shared" si="91"/>
        <v>Grain Cart Soybean  500 bu</v>
      </c>
      <c r="H411" s="30">
        <v>27300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297.49222252566307</v>
      </c>
      <c r="W411" s="9">
        <f t="shared" si="95"/>
        <v>1.4874611126283153</v>
      </c>
      <c r="X411" s="8">
        <f t="shared" si="96"/>
        <v>1478.75</v>
      </c>
      <c r="Y411" s="7">
        <f t="shared" si="97"/>
        <v>7.3937499999999998</v>
      </c>
      <c r="Z411" s="2">
        <f t="shared" si="98"/>
        <v>8190</v>
      </c>
      <c r="AA411" s="2">
        <f t="shared" si="99"/>
        <v>1592.5</v>
      </c>
      <c r="AB411" s="2">
        <f t="shared" si="100"/>
        <v>17745</v>
      </c>
      <c r="AC411" s="6">
        <f t="shared" si="101"/>
        <v>1597.05</v>
      </c>
      <c r="AD411" s="6">
        <f t="shared" si="102"/>
        <v>425.88</v>
      </c>
      <c r="AE411" s="6">
        <f t="shared" si="103"/>
        <v>3615.4300000000003</v>
      </c>
      <c r="AF411" s="5">
        <f t="shared" si="104"/>
        <v>18.077150000000003</v>
      </c>
    </row>
    <row r="412" spans="1:32" x14ac:dyDescent="0.25">
      <c r="A412" s="207">
        <v>688</v>
      </c>
      <c r="B412" s="1" t="str">
        <f t="shared" si="90"/>
        <v>0.27, Grain Cart Soybean  700 bu</v>
      </c>
      <c r="C412" s="142">
        <v>0.27</v>
      </c>
      <c r="D412" s="138" t="s">
        <v>424</v>
      </c>
      <c r="E412" s="138" t="s">
        <v>331</v>
      </c>
      <c r="F412" s="138" t="s">
        <v>84</v>
      </c>
      <c r="G412" s="138" t="str">
        <f t="shared" si="91"/>
        <v>Grain Cart Soybean  700 bu</v>
      </c>
      <c r="H412" s="30">
        <v>44000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479.47464436370603</v>
      </c>
      <c r="W412" s="9">
        <f t="shared" si="95"/>
        <v>2.3973732218185302</v>
      </c>
      <c r="X412" s="8">
        <f t="shared" si="96"/>
        <v>2383.3333333333335</v>
      </c>
      <c r="Y412" s="7">
        <f t="shared" si="97"/>
        <v>11.916666666666668</v>
      </c>
      <c r="Z412" s="2">
        <f t="shared" si="98"/>
        <v>13200</v>
      </c>
      <c r="AA412" s="2">
        <f t="shared" si="99"/>
        <v>2566.6666666666665</v>
      </c>
      <c r="AB412" s="2">
        <f t="shared" si="100"/>
        <v>28600</v>
      </c>
      <c r="AC412" s="6">
        <f t="shared" si="101"/>
        <v>2574</v>
      </c>
      <c r="AD412" s="6">
        <f t="shared" si="102"/>
        <v>686.4</v>
      </c>
      <c r="AE412" s="6">
        <f t="shared" si="103"/>
        <v>5827.0666666666657</v>
      </c>
      <c r="AF412" s="5">
        <f t="shared" si="104"/>
        <v>29.135333333333328</v>
      </c>
    </row>
    <row r="413" spans="1:32" s="239" customFormat="1" x14ac:dyDescent="0.25">
      <c r="A413" s="239">
        <v>714</v>
      </c>
      <c r="B413" s="239" t="str">
        <f t="shared" si="90"/>
        <v>0.28, Grain Cart Soybean 1000 bu</v>
      </c>
      <c r="C413" s="247">
        <v>0.28000000000000003</v>
      </c>
      <c r="D413" s="240" t="s">
        <v>424</v>
      </c>
      <c r="E413" s="240" t="s">
        <v>331</v>
      </c>
      <c r="F413" s="240" t="s">
        <v>83</v>
      </c>
      <c r="G413" s="240" t="str">
        <f t="shared" si="91"/>
        <v>Grain Cart Soybean 1000 bu</v>
      </c>
      <c r="H413" s="30">
        <v>57900</v>
      </c>
      <c r="I413" s="239">
        <v>36</v>
      </c>
      <c r="J413" s="239">
        <v>3.8</v>
      </c>
      <c r="K413" s="239">
        <v>85</v>
      </c>
      <c r="L413" s="242">
        <v>9.4E-2</v>
      </c>
      <c r="M413" s="239">
        <v>30</v>
      </c>
      <c r="N413" s="239">
        <v>65</v>
      </c>
      <c r="O413" s="239">
        <v>12</v>
      </c>
      <c r="P413" s="239">
        <v>200</v>
      </c>
      <c r="Q413" s="239">
        <v>0</v>
      </c>
      <c r="R413" s="239">
        <f t="shared" si="93"/>
        <v>2400</v>
      </c>
      <c r="S413" s="239">
        <v>1</v>
      </c>
      <c r="T413" s="239">
        <v>0.32</v>
      </c>
      <c r="U413" s="239">
        <v>2.1</v>
      </c>
      <c r="V413" s="248">
        <f t="shared" si="94"/>
        <v>630.94504337860405</v>
      </c>
      <c r="W413" s="249">
        <f t="shared" si="95"/>
        <v>3.1547252168930204</v>
      </c>
      <c r="X413" s="243">
        <f t="shared" si="96"/>
        <v>3136.25</v>
      </c>
      <c r="Y413" s="249">
        <f t="shared" si="97"/>
        <v>15.68125</v>
      </c>
      <c r="Z413" s="243">
        <f t="shared" si="98"/>
        <v>17370</v>
      </c>
      <c r="AA413" s="243">
        <f t="shared" si="99"/>
        <v>3377.5</v>
      </c>
      <c r="AB413" s="243">
        <f t="shared" si="100"/>
        <v>37635</v>
      </c>
      <c r="AC413" s="250">
        <f t="shared" si="101"/>
        <v>3387.15</v>
      </c>
      <c r="AD413" s="250">
        <f t="shared" si="102"/>
        <v>903.24</v>
      </c>
      <c r="AE413" s="250">
        <f t="shared" si="103"/>
        <v>7667.8899999999994</v>
      </c>
      <c r="AF413" s="249">
        <f t="shared" si="104"/>
        <v>38.339449999999999</v>
      </c>
    </row>
    <row r="414" spans="1:32" x14ac:dyDescent="0.25">
      <c r="A414" s="207">
        <v>689</v>
      </c>
      <c r="B414" s="1" t="str">
        <f t="shared" si="90"/>
        <v>0.29, Grain Cart Wht/Sor  500 bu</v>
      </c>
      <c r="C414" s="142">
        <v>0.28999999999999998</v>
      </c>
      <c r="D414" s="138" t="s">
        <v>424</v>
      </c>
      <c r="E414" s="138" t="s">
        <v>332</v>
      </c>
      <c r="F414" s="138" t="s">
        <v>85</v>
      </c>
      <c r="G414" s="138" t="str">
        <f t="shared" si="91"/>
        <v>Grain Cart Wht/Sor  500 bu</v>
      </c>
      <c r="H414" s="30">
        <v>27300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297.49222252566307</v>
      </c>
      <c r="W414" s="9">
        <f t="shared" si="95"/>
        <v>1.4874611126283153</v>
      </c>
      <c r="X414" s="8">
        <f t="shared" si="96"/>
        <v>1478.75</v>
      </c>
      <c r="Y414" s="7">
        <f t="shared" si="97"/>
        <v>7.3937499999999998</v>
      </c>
      <c r="Z414" s="2">
        <f t="shared" si="98"/>
        <v>8190</v>
      </c>
      <c r="AA414" s="2">
        <f t="shared" si="99"/>
        <v>1592.5</v>
      </c>
      <c r="AB414" s="2">
        <f t="shared" si="100"/>
        <v>17745</v>
      </c>
      <c r="AC414" s="6">
        <f t="shared" si="101"/>
        <v>1597.05</v>
      </c>
      <c r="AD414" s="6">
        <f t="shared" si="102"/>
        <v>425.88</v>
      </c>
      <c r="AE414" s="6">
        <f t="shared" si="103"/>
        <v>3615.4300000000003</v>
      </c>
      <c r="AF414" s="5">
        <f t="shared" si="104"/>
        <v>18.077150000000003</v>
      </c>
    </row>
    <row r="415" spans="1:32" x14ac:dyDescent="0.25">
      <c r="A415" s="207">
        <v>690</v>
      </c>
      <c r="B415" s="1" t="str">
        <f t="shared" si="90"/>
        <v>0.3, Grain Cart Wht/Sor  700 bu</v>
      </c>
      <c r="C415" s="142">
        <v>0.3</v>
      </c>
      <c r="D415" s="138" t="s">
        <v>424</v>
      </c>
      <c r="E415" s="138" t="s">
        <v>332</v>
      </c>
      <c r="F415" s="138" t="s">
        <v>84</v>
      </c>
      <c r="G415" s="138" t="str">
        <f t="shared" si="91"/>
        <v>Grain Cart Wht/Sor  700 bu</v>
      </c>
      <c r="H415" s="30">
        <v>44000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479.47464436370603</v>
      </c>
      <c r="W415" s="9">
        <f t="shared" si="95"/>
        <v>2.3973732218185302</v>
      </c>
      <c r="X415" s="8">
        <f t="shared" si="96"/>
        <v>2383.3333333333335</v>
      </c>
      <c r="Y415" s="7">
        <f t="shared" si="97"/>
        <v>11.916666666666668</v>
      </c>
      <c r="Z415" s="2">
        <f t="shared" si="98"/>
        <v>13200</v>
      </c>
      <c r="AA415" s="2">
        <f t="shared" si="99"/>
        <v>2566.6666666666665</v>
      </c>
      <c r="AB415" s="2">
        <f t="shared" si="100"/>
        <v>28600</v>
      </c>
      <c r="AC415" s="6">
        <f t="shared" si="101"/>
        <v>2574</v>
      </c>
      <c r="AD415" s="6">
        <f t="shared" si="102"/>
        <v>686.4</v>
      </c>
      <c r="AE415" s="6">
        <f t="shared" si="103"/>
        <v>5827.0666666666657</v>
      </c>
      <c r="AF415" s="5">
        <f t="shared" si="104"/>
        <v>29.135333333333328</v>
      </c>
    </row>
    <row r="416" spans="1:32" x14ac:dyDescent="0.25">
      <c r="A416" s="207">
        <v>715</v>
      </c>
      <c r="B416" s="1" t="str">
        <f t="shared" si="90"/>
        <v>0.31, Grain Cart Wht/Sor 1000 bu</v>
      </c>
      <c r="C416" s="142">
        <v>0.31</v>
      </c>
      <c r="D416" s="138" t="s">
        <v>424</v>
      </c>
      <c r="E416" s="138" t="s">
        <v>332</v>
      </c>
      <c r="F416" s="138" t="s">
        <v>83</v>
      </c>
      <c r="G416" s="138" t="str">
        <f t="shared" si="91"/>
        <v>Grain Cart Wht/Sor 1000 bu</v>
      </c>
      <c r="H416" s="30">
        <v>57900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630.94504337860405</v>
      </c>
      <c r="W416" s="9">
        <f t="shared" si="95"/>
        <v>3.1547252168930204</v>
      </c>
      <c r="X416" s="8">
        <f t="shared" si="96"/>
        <v>3136.25</v>
      </c>
      <c r="Y416" s="7">
        <f t="shared" si="97"/>
        <v>15.68125</v>
      </c>
      <c r="Z416" s="2">
        <f t="shared" si="98"/>
        <v>17370</v>
      </c>
      <c r="AA416" s="2">
        <f t="shared" si="99"/>
        <v>3377.5</v>
      </c>
      <c r="AB416" s="2">
        <f t="shared" si="100"/>
        <v>37635</v>
      </c>
      <c r="AC416" s="6">
        <f t="shared" si="101"/>
        <v>3387.15</v>
      </c>
      <c r="AD416" s="6">
        <f t="shared" si="102"/>
        <v>903.24</v>
      </c>
      <c r="AE416" s="6">
        <f t="shared" si="103"/>
        <v>7667.8899999999994</v>
      </c>
      <c r="AF416" s="5">
        <f t="shared" si="104"/>
        <v>38.339449999999999</v>
      </c>
    </row>
    <row r="417" spans="1:32" x14ac:dyDescent="0.25">
      <c r="A417" s="207">
        <v>428</v>
      </c>
      <c r="B417" s="1" t="str">
        <f t="shared" si="90"/>
        <v>0.32, Header - Corn  6R-30</v>
      </c>
      <c r="C417" s="142">
        <v>0.32</v>
      </c>
      <c r="D417" s="138" t="s">
        <v>424</v>
      </c>
      <c r="E417" s="138" t="s">
        <v>333</v>
      </c>
      <c r="F417" s="138" t="s">
        <v>53</v>
      </c>
      <c r="G417" s="138" t="str">
        <f t="shared" si="91"/>
        <v>Header - Corn  6R-30</v>
      </c>
      <c r="H417" s="30">
        <v>51400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560.11356182487475</v>
      </c>
      <c r="W417" s="9">
        <f t="shared" si="95"/>
        <v>2.8005678091243738</v>
      </c>
      <c r="X417" s="8">
        <f t="shared" si="96"/>
        <v>2570</v>
      </c>
      <c r="Y417" s="7">
        <f t="shared" si="97"/>
        <v>12.85</v>
      </c>
      <c r="Z417" s="2">
        <f t="shared" si="98"/>
        <v>20560</v>
      </c>
      <c r="AA417" s="2">
        <f t="shared" si="99"/>
        <v>2570</v>
      </c>
      <c r="AB417" s="2">
        <f t="shared" si="100"/>
        <v>35980</v>
      </c>
      <c r="AC417" s="6">
        <f t="shared" si="101"/>
        <v>3238.2</v>
      </c>
      <c r="AD417" s="6">
        <f t="shared" si="102"/>
        <v>863.52</v>
      </c>
      <c r="AE417" s="6">
        <f t="shared" si="103"/>
        <v>6671.7199999999993</v>
      </c>
      <c r="AF417" s="5">
        <f t="shared" si="104"/>
        <v>33.358599999999996</v>
      </c>
    </row>
    <row r="418" spans="1:32" x14ac:dyDescent="0.25">
      <c r="A418" s="207">
        <v>432</v>
      </c>
      <c r="B418" s="1" t="str">
        <f t="shared" ref="B418:B449" si="106">CONCATENATE(C418,D418,E418,F418)</f>
        <v>0.33, Header - Corn  6R-36</v>
      </c>
      <c r="C418" s="142">
        <v>0.33</v>
      </c>
      <c r="D418" s="138" t="s">
        <v>424</v>
      </c>
      <c r="E418" s="138" t="s">
        <v>333</v>
      </c>
      <c r="F418" s="138" t="s">
        <v>196</v>
      </c>
      <c r="G418" s="138" t="str">
        <f t="shared" ref="G418:G449" si="107">CONCATENATE(E418,F418)</f>
        <v>Header - Corn  6R-36</v>
      </c>
      <c r="H418" s="30">
        <v>52300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569.92099773231416</v>
      </c>
      <c r="W418" s="9">
        <f t="shared" ref="W418:W449" si="110">V418/P418</f>
        <v>2.8496049886615706</v>
      </c>
      <c r="X418" s="8">
        <f t="shared" ref="X418:X449" si="111">(H418*N418/100)/O418</f>
        <v>2615</v>
      </c>
      <c r="Y418" s="7">
        <f t="shared" ref="Y418:Y449" si="112">X418/P418</f>
        <v>13.074999999999999</v>
      </c>
      <c r="Z418" s="2">
        <f t="shared" ref="Z418:Z449" si="113">H418*M418/100</f>
        <v>20920</v>
      </c>
      <c r="AA418" s="2">
        <f t="shared" ref="AA418:AA449" si="114">(H418-Z418)/O418</f>
        <v>2615</v>
      </c>
      <c r="AB418" s="2">
        <f t="shared" ref="AB418:AB449" si="115">(Z418+H418)/2</f>
        <v>36610</v>
      </c>
      <c r="AC418" s="6">
        <f t="shared" ref="AC418:AC449" si="116">AB418*intir</f>
        <v>3294.9</v>
      </c>
      <c r="AD418" s="6">
        <f t="shared" ref="AD418:AD449" si="117">AB418*itr</f>
        <v>878.64</v>
      </c>
      <c r="AE418" s="6">
        <f t="shared" ref="AE418:AE449" si="118">AA418+AC418+AD418</f>
        <v>6788.54</v>
      </c>
      <c r="AF418" s="5">
        <f t="shared" ref="AF418:AF449" si="119">AE418/P418</f>
        <v>33.942700000000002</v>
      </c>
    </row>
    <row r="419" spans="1:32" x14ac:dyDescent="0.25">
      <c r="A419" s="207">
        <v>433</v>
      </c>
      <c r="B419" s="1" t="str">
        <f t="shared" si="106"/>
        <v>0.34, Header - Corn  8R-30</v>
      </c>
      <c r="C419" s="142">
        <v>0.34</v>
      </c>
      <c r="D419" s="138" t="s">
        <v>424</v>
      </c>
      <c r="E419" s="138" t="s">
        <v>333</v>
      </c>
      <c r="F419" s="138" t="s">
        <v>25</v>
      </c>
      <c r="G419" s="138" t="str">
        <f t="shared" si="107"/>
        <v>Header - Corn  8R-30</v>
      </c>
      <c r="H419" s="30">
        <v>66800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727.92968735217187</v>
      </c>
      <c r="W419" s="9">
        <f t="shared" si="110"/>
        <v>3.6396484367608593</v>
      </c>
      <c r="X419" s="8">
        <f t="shared" si="111"/>
        <v>3340</v>
      </c>
      <c r="Y419" s="7">
        <f t="shared" si="112"/>
        <v>16.7</v>
      </c>
      <c r="Z419" s="2">
        <f t="shared" si="113"/>
        <v>26720</v>
      </c>
      <c r="AA419" s="2">
        <f t="shared" si="114"/>
        <v>3340</v>
      </c>
      <c r="AB419" s="2">
        <f t="shared" si="115"/>
        <v>46760</v>
      </c>
      <c r="AC419" s="6">
        <f t="shared" si="116"/>
        <v>4208.3999999999996</v>
      </c>
      <c r="AD419" s="6">
        <f t="shared" si="117"/>
        <v>1122.24</v>
      </c>
      <c r="AE419" s="6">
        <f t="shared" si="118"/>
        <v>8670.64</v>
      </c>
      <c r="AF419" s="5">
        <f t="shared" si="119"/>
        <v>43.353199999999994</v>
      </c>
    </row>
    <row r="420" spans="1:32" x14ac:dyDescent="0.25">
      <c r="A420" s="207">
        <v>438</v>
      </c>
      <c r="B420" s="1" t="str">
        <f t="shared" si="106"/>
        <v>0.35, Header - Corn 12R-20</v>
      </c>
      <c r="C420" s="142">
        <v>0.35</v>
      </c>
      <c r="D420" s="138" t="s">
        <v>424</v>
      </c>
      <c r="E420" s="138" t="s">
        <v>333</v>
      </c>
      <c r="F420" s="138" t="s">
        <v>50</v>
      </c>
      <c r="G420" s="138"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x14ac:dyDescent="0.25">
      <c r="A421" s="207">
        <v>437</v>
      </c>
      <c r="B421" s="1" t="str">
        <f t="shared" si="106"/>
        <v>0.36, Header - Corn  8R-36</v>
      </c>
      <c r="C421" s="142">
        <v>0.36</v>
      </c>
      <c r="D421" s="138" t="s">
        <v>424</v>
      </c>
      <c r="E421" s="138" t="s">
        <v>333</v>
      </c>
      <c r="F421" s="138" t="s">
        <v>193</v>
      </c>
      <c r="G421" s="138" t="str">
        <f t="shared" si="107"/>
        <v>Header - Corn  8R-36</v>
      </c>
      <c r="H421" s="30">
        <v>67900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739.91655346126458</v>
      </c>
      <c r="W421" s="9">
        <f t="shared" si="110"/>
        <v>3.6995827673063229</v>
      </c>
      <c r="X421" s="8">
        <f t="shared" si="111"/>
        <v>3395</v>
      </c>
      <c r="Y421" s="7">
        <f t="shared" si="112"/>
        <v>16.975000000000001</v>
      </c>
      <c r="Z421" s="2">
        <f t="shared" si="113"/>
        <v>27160</v>
      </c>
      <c r="AA421" s="2">
        <f t="shared" si="114"/>
        <v>3395</v>
      </c>
      <c r="AB421" s="2">
        <f t="shared" si="115"/>
        <v>47530</v>
      </c>
      <c r="AC421" s="6">
        <f t="shared" si="116"/>
        <v>4277.7</v>
      </c>
      <c r="AD421" s="6">
        <f t="shared" si="117"/>
        <v>1140.72</v>
      </c>
      <c r="AE421" s="6">
        <f t="shared" si="118"/>
        <v>8813.42</v>
      </c>
      <c r="AF421" s="5">
        <f t="shared" si="119"/>
        <v>44.067100000000003</v>
      </c>
    </row>
    <row r="422" spans="1:32" x14ac:dyDescent="0.25">
      <c r="A422" s="207">
        <v>439</v>
      </c>
      <c r="B422" s="1" t="str">
        <f t="shared" si="106"/>
        <v>0.37, Header - Corn 12R-30</v>
      </c>
      <c r="C422" s="142">
        <v>0.37</v>
      </c>
      <c r="D422" s="138" t="s">
        <v>424</v>
      </c>
      <c r="E422" s="138" t="s">
        <v>333</v>
      </c>
      <c r="F422" s="138" t="s">
        <v>6</v>
      </c>
      <c r="G422" s="138" t="str">
        <f t="shared" si="107"/>
        <v>Header - Corn 12R-30</v>
      </c>
      <c r="H422" s="30">
        <v>112000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2859.7142264631511</v>
      </c>
      <c r="W422" s="9">
        <f t="shared" si="110"/>
        <v>9.5323807548771704</v>
      </c>
      <c r="X422" s="8">
        <f t="shared" si="111"/>
        <v>8400</v>
      </c>
      <c r="Y422" s="7">
        <f t="shared" si="112"/>
        <v>28</v>
      </c>
      <c r="Z422" s="2">
        <f t="shared" si="113"/>
        <v>44800</v>
      </c>
      <c r="AA422" s="2">
        <f t="shared" si="114"/>
        <v>8400</v>
      </c>
      <c r="AB422" s="2">
        <f t="shared" si="115"/>
        <v>78400</v>
      </c>
      <c r="AC422" s="6">
        <f t="shared" si="116"/>
        <v>7056</v>
      </c>
      <c r="AD422" s="6">
        <f t="shared" si="117"/>
        <v>1881.6000000000001</v>
      </c>
      <c r="AE422" s="6">
        <f t="shared" si="118"/>
        <v>17337.599999999999</v>
      </c>
      <c r="AF422" s="5">
        <f t="shared" si="119"/>
        <v>57.791999999999994</v>
      </c>
    </row>
    <row r="423" spans="1:32" x14ac:dyDescent="0.25">
      <c r="A423" s="207">
        <v>426</v>
      </c>
      <c r="B423" s="1" t="str">
        <f t="shared" si="106"/>
        <v>0.38, Header -Soybean 18' Flex</v>
      </c>
      <c r="C423" s="142">
        <v>0.38</v>
      </c>
      <c r="D423" s="138" t="s">
        <v>424</v>
      </c>
      <c r="E423" s="138" t="s">
        <v>334</v>
      </c>
      <c r="F423" s="138" t="s">
        <v>464</v>
      </c>
      <c r="G423" s="138" t="str">
        <f t="shared" si="107"/>
        <v>Header -Soybean 18' Flex</v>
      </c>
      <c r="H423" s="30">
        <v>33700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200.71116105457679</v>
      </c>
      <c r="W423" s="9">
        <f t="shared" si="110"/>
        <v>1.3380744070305119</v>
      </c>
      <c r="X423" s="8">
        <f t="shared" si="111"/>
        <v>1685</v>
      </c>
      <c r="Y423" s="7">
        <f t="shared" si="112"/>
        <v>11.233333333333333</v>
      </c>
      <c r="Z423" s="2">
        <f t="shared" si="113"/>
        <v>13480</v>
      </c>
      <c r="AA423" s="2">
        <f t="shared" si="114"/>
        <v>1685</v>
      </c>
      <c r="AB423" s="2">
        <f t="shared" si="115"/>
        <v>23590</v>
      </c>
      <c r="AC423" s="6">
        <f t="shared" si="116"/>
        <v>2123.1</v>
      </c>
      <c r="AD423" s="6">
        <f t="shared" si="117"/>
        <v>566.16</v>
      </c>
      <c r="AE423" s="6">
        <f t="shared" si="118"/>
        <v>4374.26</v>
      </c>
      <c r="AF423" s="5">
        <f t="shared" si="119"/>
        <v>29.161733333333334</v>
      </c>
    </row>
    <row r="424" spans="1:32" x14ac:dyDescent="0.25">
      <c r="A424" s="207">
        <v>431</v>
      </c>
      <c r="B424" s="1" t="str">
        <f t="shared" si="106"/>
        <v>0.39, Header -Soybean 24' Flex</v>
      </c>
      <c r="C424" s="142">
        <v>0.39</v>
      </c>
      <c r="D424" s="138" t="s">
        <v>424</v>
      </c>
      <c r="E424" s="138" t="s">
        <v>334</v>
      </c>
      <c r="F424" s="138" t="s">
        <v>477</v>
      </c>
      <c r="G424" s="138" t="str">
        <f t="shared" si="107"/>
        <v>Header -Soybean 24' Flex</v>
      </c>
      <c r="H424" s="30">
        <v>36200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215.60071306159287</v>
      </c>
      <c r="W424" s="9">
        <f t="shared" si="110"/>
        <v>1.4373380870772858</v>
      </c>
      <c r="X424" s="8">
        <f t="shared" si="111"/>
        <v>1810</v>
      </c>
      <c r="Y424" s="7">
        <f t="shared" si="112"/>
        <v>12.066666666666666</v>
      </c>
      <c r="Z424" s="2">
        <f t="shared" si="113"/>
        <v>14480</v>
      </c>
      <c r="AA424" s="2">
        <f t="shared" si="114"/>
        <v>1810</v>
      </c>
      <c r="AB424" s="2">
        <f t="shared" si="115"/>
        <v>25340</v>
      </c>
      <c r="AC424" s="6">
        <f t="shared" si="116"/>
        <v>2280.6</v>
      </c>
      <c r="AD424" s="6">
        <f t="shared" si="117"/>
        <v>608.16</v>
      </c>
      <c r="AE424" s="6">
        <f t="shared" si="118"/>
        <v>4698.76</v>
      </c>
      <c r="AF424" s="5">
        <f t="shared" si="119"/>
        <v>31.325066666666668</v>
      </c>
    </row>
    <row r="425" spans="1:32" x14ac:dyDescent="0.25">
      <c r="A425" s="207">
        <v>436</v>
      </c>
      <c r="B425" s="1" t="str">
        <f t="shared" si="106"/>
        <v>0.4, Header -Soybean 30' Flex</v>
      </c>
      <c r="C425" s="142">
        <v>0.4</v>
      </c>
      <c r="D425" s="138" t="s">
        <v>424</v>
      </c>
      <c r="E425" s="138" t="s">
        <v>334</v>
      </c>
      <c r="F425" s="138" t="s">
        <v>78</v>
      </c>
      <c r="G425" s="138" t="str">
        <f t="shared" si="107"/>
        <v>Header -Soybean 30' Flex</v>
      </c>
      <c r="H425" s="30">
        <v>43800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260.86495116292178</v>
      </c>
      <c r="W425" s="9">
        <f t="shared" si="110"/>
        <v>1.7390996744194787</v>
      </c>
      <c r="X425" s="8">
        <f t="shared" si="111"/>
        <v>2190</v>
      </c>
      <c r="Y425" s="7">
        <f t="shared" si="112"/>
        <v>14.6</v>
      </c>
      <c r="Z425" s="2">
        <f t="shared" si="113"/>
        <v>17520</v>
      </c>
      <c r="AA425" s="2">
        <f t="shared" si="114"/>
        <v>2190</v>
      </c>
      <c r="AB425" s="2">
        <f t="shared" si="115"/>
        <v>30660</v>
      </c>
      <c r="AC425" s="6">
        <f t="shared" si="116"/>
        <v>2759.4</v>
      </c>
      <c r="AD425" s="6">
        <f t="shared" si="117"/>
        <v>735.84</v>
      </c>
      <c r="AE425" s="6">
        <f t="shared" si="118"/>
        <v>5685.24</v>
      </c>
      <c r="AF425" s="5">
        <f t="shared" si="119"/>
        <v>37.901600000000002</v>
      </c>
    </row>
    <row r="426" spans="1:32" x14ac:dyDescent="0.25">
      <c r="A426" s="207">
        <v>592</v>
      </c>
      <c r="B426" s="1" t="str">
        <f t="shared" si="106"/>
        <v>0.41, Header -Soybean 36' Flex</v>
      </c>
      <c r="C426" s="142">
        <v>0.41</v>
      </c>
      <c r="D426" s="138" t="s">
        <v>424</v>
      </c>
      <c r="E426" s="138" t="s">
        <v>334</v>
      </c>
      <c r="F426" s="138" t="s">
        <v>478</v>
      </c>
      <c r="G426" s="138" t="str">
        <f t="shared" si="107"/>
        <v>Header -Soybean 36' Flex</v>
      </c>
      <c r="H426" s="30">
        <v>50100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298.38662222060231</v>
      </c>
      <c r="W426" s="9">
        <f t="shared" si="110"/>
        <v>1.9892441481373486</v>
      </c>
      <c r="X426" s="8">
        <f t="shared" si="111"/>
        <v>2505</v>
      </c>
      <c r="Y426" s="7">
        <f t="shared" si="112"/>
        <v>16.7</v>
      </c>
      <c r="Z426" s="2">
        <f t="shared" si="113"/>
        <v>20040</v>
      </c>
      <c r="AA426" s="2">
        <f t="shared" si="114"/>
        <v>2505</v>
      </c>
      <c r="AB426" s="2">
        <f t="shared" si="115"/>
        <v>35070</v>
      </c>
      <c r="AC426" s="6">
        <f t="shared" si="116"/>
        <v>3156.2999999999997</v>
      </c>
      <c r="AD426" s="6">
        <f t="shared" si="117"/>
        <v>841.68000000000006</v>
      </c>
      <c r="AE426" s="6">
        <f t="shared" si="118"/>
        <v>6502.98</v>
      </c>
      <c r="AF426" s="5">
        <f t="shared" si="119"/>
        <v>43.353199999999994</v>
      </c>
    </row>
    <row r="427" spans="1:32" x14ac:dyDescent="0.25">
      <c r="A427" s="207">
        <v>424</v>
      </c>
      <c r="B427" s="1" t="str">
        <f t="shared" si="106"/>
        <v>0.42, Header Wheat/Sorghum 18' Rigid</v>
      </c>
      <c r="C427" s="142">
        <v>0.42</v>
      </c>
      <c r="D427" s="138" t="s">
        <v>424</v>
      </c>
      <c r="E427" s="138" t="s">
        <v>335</v>
      </c>
      <c r="F427" s="138" t="s">
        <v>465</v>
      </c>
      <c r="G427" s="138"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x14ac:dyDescent="0.25">
      <c r="A428" s="207">
        <v>429</v>
      </c>
      <c r="B428" s="1" t="str">
        <f t="shared" si="106"/>
        <v>0.43, Header Wheat/Sorghum 24' Rigid</v>
      </c>
      <c r="C428" s="142">
        <v>0.43</v>
      </c>
      <c r="D428" s="138" t="s">
        <v>424</v>
      </c>
      <c r="E428" s="138" t="s">
        <v>335</v>
      </c>
      <c r="F428" s="138" t="s">
        <v>479</v>
      </c>
      <c r="G428" s="138" t="str">
        <f t="shared" si="107"/>
        <v>Header Wheat/Sorghum 24' Rigid</v>
      </c>
      <c r="H428" s="30">
        <v>25400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648.54233350146467</v>
      </c>
      <c r="W428" s="9">
        <f t="shared" si="110"/>
        <v>2.1618077783382157</v>
      </c>
      <c r="X428" s="8">
        <f t="shared" si="111"/>
        <v>1905</v>
      </c>
      <c r="Y428" s="7">
        <f t="shared" si="112"/>
        <v>6.35</v>
      </c>
      <c r="Z428" s="2">
        <f t="shared" si="113"/>
        <v>10160</v>
      </c>
      <c r="AA428" s="2">
        <f t="shared" si="114"/>
        <v>1905</v>
      </c>
      <c r="AB428" s="2">
        <f t="shared" si="115"/>
        <v>17780</v>
      </c>
      <c r="AC428" s="6">
        <f t="shared" si="116"/>
        <v>1600.2</v>
      </c>
      <c r="AD428" s="6">
        <f t="shared" si="117"/>
        <v>426.72</v>
      </c>
      <c r="AE428" s="6">
        <f t="shared" si="118"/>
        <v>3931.92</v>
      </c>
      <c r="AF428" s="5">
        <f t="shared" si="119"/>
        <v>13.106400000000001</v>
      </c>
    </row>
    <row r="429" spans="1:32" x14ac:dyDescent="0.25">
      <c r="A429" s="207">
        <v>434</v>
      </c>
      <c r="B429" s="1" t="str">
        <f t="shared" si="106"/>
        <v>0.44, Header Wheat/Sorghum 30' Rigid</v>
      </c>
      <c r="C429" s="142">
        <v>0.44</v>
      </c>
      <c r="D429" s="138" t="s">
        <v>424</v>
      </c>
      <c r="E429" s="138" t="s">
        <v>335</v>
      </c>
      <c r="F429" s="138" t="s">
        <v>77</v>
      </c>
      <c r="G429" s="138" t="str">
        <f t="shared" si="107"/>
        <v>Header Wheat/Sorghum 30' Rigid</v>
      </c>
      <c r="H429" s="30">
        <v>29100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743.01503562569371</v>
      </c>
      <c r="W429" s="9">
        <f t="shared" si="110"/>
        <v>2.4767167854189789</v>
      </c>
      <c r="X429" s="8">
        <f t="shared" si="111"/>
        <v>2182.5</v>
      </c>
      <c r="Y429" s="7">
        <f t="shared" si="112"/>
        <v>7.2750000000000004</v>
      </c>
      <c r="Z429" s="2">
        <f t="shared" si="113"/>
        <v>11640</v>
      </c>
      <c r="AA429" s="2">
        <f t="shared" si="114"/>
        <v>2182.5</v>
      </c>
      <c r="AB429" s="2">
        <f t="shared" si="115"/>
        <v>20370</v>
      </c>
      <c r="AC429" s="6">
        <f t="shared" si="116"/>
        <v>1833.3</v>
      </c>
      <c r="AD429" s="6">
        <f t="shared" si="117"/>
        <v>488.88</v>
      </c>
      <c r="AE429" s="6">
        <f t="shared" si="118"/>
        <v>4504.68</v>
      </c>
      <c r="AF429" s="5">
        <f t="shared" si="119"/>
        <v>15.015600000000001</v>
      </c>
    </row>
    <row r="430" spans="1:32" x14ac:dyDescent="0.25">
      <c r="A430" s="207">
        <v>276</v>
      </c>
      <c r="B430" s="1" t="str">
        <f t="shared" si="106"/>
        <v>0.45, Module Builder 4R-30 (250)</v>
      </c>
      <c r="C430" s="142">
        <v>0.45</v>
      </c>
      <c r="D430" s="138" t="s">
        <v>424</v>
      </c>
      <c r="E430" s="138" t="s">
        <v>336</v>
      </c>
      <c r="F430" s="138" t="s">
        <v>221</v>
      </c>
      <c r="G430" s="138"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x14ac:dyDescent="0.25">
      <c r="A431" s="207">
        <v>469</v>
      </c>
      <c r="B431" s="1" t="str">
        <f t="shared" si="106"/>
        <v>0.46, Module Builder 4R-30 (325)</v>
      </c>
      <c r="C431" s="142">
        <v>0.46</v>
      </c>
      <c r="D431" s="138" t="s">
        <v>424</v>
      </c>
      <c r="E431" s="138" t="s">
        <v>336</v>
      </c>
      <c r="F431" s="138" t="s">
        <v>344</v>
      </c>
      <c r="G431" s="138"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x14ac:dyDescent="0.25">
      <c r="A432" s="207">
        <v>124</v>
      </c>
      <c r="B432" s="1" t="str">
        <f t="shared" si="106"/>
        <v>0.47, Module Builder 4R-36 (255)</v>
      </c>
      <c r="C432" s="142">
        <v>0.47</v>
      </c>
      <c r="D432" s="138" t="s">
        <v>424</v>
      </c>
      <c r="E432" s="138" t="s">
        <v>336</v>
      </c>
      <c r="F432" s="138" t="s">
        <v>222</v>
      </c>
      <c r="G432" s="138"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x14ac:dyDescent="0.25">
      <c r="A433" s="207">
        <v>277</v>
      </c>
      <c r="B433" s="1" t="str">
        <f t="shared" si="106"/>
        <v>0.48, Module Builder 4R-36 (325)</v>
      </c>
      <c r="C433" s="142">
        <v>0.48</v>
      </c>
      <c r="D433" s="138" t="s">
        <v>424</v>
      </c>
      <c r="E433" s="138" t="s">
        <v>336</v>
      </c>
      <c r="F433" s="138" t="s">
        <v>346</v>
      </c>
      <c r="G433" s="138"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x14ac:dyDescent="0.25">
      <c r="A434" s="207">
        <v>278</v>
      </c>
      <c r="B434" s="1" t="str">
        <f t="shared" si="106"/>
        <v>0.49, Module Builder 5R-30 (255)</v>
      </c>
      <c r="C434" s="142">
        <v>0.49</v>
      </c>
      <c r="D434" s="138" t="s">
        <v>424</v>
      </c>
      <c r="E434" s="138" t="s">
        <v>336</v>
      </c>
      <c r="F434" s="138" t="s">
        <v>345</v>
      </c>
      <c r="G434" s="138"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x14ac:dyDescent="0.25">
      <c r="A435" s="207">
        <v>470</v>
      </c>
      <c r="B435" s="1" t="str">
        <f t="shared" si="106"/>
        <v>0.5, Module Builder 6R-30 (325)</v>
      </c>
      <c r="C435" s="142">
        <v>0.5</v>
      </c>
      <c r="D435" s="138" t="s">
        <v>424</v>
      </c>
      <c r="E435" s="138" t="s">
        <v>336</v>
      </c>
      <c r="F435" s="138" t="s">
        <v>347</v>
      </c>
      <c r="G435" s="138"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x14ac:dyDescent="0.25">
      <c r="A436" s="207">
        <v>279</v>
      </c>
      <c r="B436" s="1" t="str">
        <f t="shared" si="106"/>
        <v>0.51, Module Builder 5R-36 (250)</v>
      </c>
      <c r="C436" s="142">
        <v>0.51</v>
      </c>
      <c r="D436" s="138" t="s">
        <v>424</v>
      </c>
      <c r="E436" s="138" t="s">
        <v>336</v>
      </c>
      <c r="F436" s="138" t="s">
        <v>224</v>
      </c>
      <c r="G436" s="138"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x14ac:dyDescent="0.25">
      <c r="A437" s="207">
        <v>251</v>
      </c>
      <c r="B437" s="1" t="str">
        <f t="shared" si="106"/>
        <v>0.52, Module Builder 4R2x1 (350)</v>
      </c>
      <c r="C437" s="142">
        <v>0.52</v>
      </c>
      <c r="D437" s="138" t="s">
        <v>424</v>
      </c>
      <c r="E437" s="138" t="s">
        <v>336</v>
      </c>
      <c r="F437" s="138" t="s">
        <v>225</v>
      </c>
      <c r="G437" s="138"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x14ac:dyDescent="0.25">
      <c r="A438" s="207">
        <v>249</v>
      </c>
      <c r="B438" s="1" t="str">
        <f t="shared" si="106"/>
        <v>0.53, Module Builder 6R-36 (330)</v>
      </c>
      <c r="C438" s="142">
        <v>0.53</v>
      </c>
      <c r="D438" s="138" t="s">
        <v>424</v>
      </c>
      <c r="E438" s="138" t="s">
        <v>336</v>
      </c>
      <c r="F438" s="138" t="s">
        <v>348</v>
      </c>
      <c r="G438" s="138"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x14ac:dyDescent="0.25">
      <c r="A439" s="207">
        <v>498</v>
      </c>
      <c r="B439" s="1" t="str">
        <f t="shared" si="106"/>
        <v>0.54, Module Builder-Strip 4R-36</v>
      </c>
      <c r="C439" s="142">
        <v>0.54</v>
      </c>
      <c r="D439" s="138" t="s">
        <v>424</v>
      </c>
      <c r="E439" s="138" t="s">
        <v>337</v>
      </c>
      <c r="F439" s="138" t="s">
        <v>73</v>
      </c>
      <c r="G439" s="138"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x14ac:dyDescent="0.25">
      <c r="A440" s="207">
        <v>500</v>
      </c>
      <c r="B440" s="1" t="str">
        <f t="shared" si="106"/>
        <v>0.55, Module Builder-Strip 4R-36</v>
      </c>
      <c r="C440" s="142">
        <v>0.55000000000000004</v>
      </c>
      <c r="D440" s="138" t="s">
        <v>424</v>
      </c>
      <c r="E440" s="138" t="s">
        <v>337</v>
      </c>
      <c r="F440" s="138" t="s">
        <v>73</v>
      </c>
      <c r="G440" s="138"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x14ac:dyDescent="0.25">
      <c r="A441" s="207">
        <v>502</v>
      </c>
      <c r="B441" s="1" t="str">
        <f t="shared" si="106"/>
        <v>0.56, Module Builder-Strip 5R-30</v>
      </c>
      <c r="C441" s="142">
        <v>0.56000000000000005</v>
      </c>
      <c r="D441" s="138" t="s">
        <v>424</v>
      </c>
      <c r="E441" s="138" t="s">
        <v>337</v>
      </c>
      <c r="F441" s="138" t="s">
        <v>72</v>
      </c>
      <c r="G441" s="138"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x14ac:dyDescent="0.25">
      <c r="A442" s="207">
        <v>253</v>
      </c>
      <c r="B442" s="1" t="str">
        <f t="shared" si="106"/>
        <v>0.57, Module Builder-Strip 13' Bcast</v>
      </c>
      <c r="C442" s="142">
        <v>0.56999999999999995</v>
      </c>
      <c r="D442" s="138" t="s">
        <v>424</v>
      </c>
      <c r="E442" s="138" t="s">
        <v>337</v>
      </c>
      <c r="F442" s="138" t="s">
        <v>71</v>
      </c>
      <c r="G442" s="138"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x14ac:dyDescent="0.25">
      <c r="A443" s="207">
        <v>499</v>
      </c>
      <c r="B443" s="1" t="str">
        <f t="shared" si="106"/>
        <v>0.58, Module Builder-Strip 4R-30 2x1</v>
      </c>
      <c r="C443" s="142">
        <v>0.57999999999999996</v>
      </c>
      <c r="D443" s="138" t="s">
        <v>424</v>
      </c>
      <c r="E443" s="138" t="s">
        <v>337</v>
      </c>
      <c r="F443" s="138" t="s">
        <v>70</v>
      </c>
      <c r="G443" s="138"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x14ac:dyDescent="0.25">
      <c r="A444" s="207">
        <v>504</v>
      </c>
      <c r="B444" s="1" t="str">
        <f t="shared" si="106"/>
        <v>0.59, Module Builder-Strip 6R-30</v>
      </c>
      <c r="C444" s="142">
        <v>0.59</v>
      </c>
      <c r="D444" s="138" t="s">
        <v>424</v>
      </c>
      <c r="E444" s="138" t="s">
        <v>337</v>
      </c>
      <c r="F444" s="138" t="s">
        <v>47</v>
      </c>
      <c r="G444" s="138"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x14ac:dyDescent="0.25">
      <c r="A445" s="207">
        <v>503</v>
      </c>
      <c r="B445" s="1" t="str">
        <f t="shared" si="106"/>
        <v>0.6, Module Builder-Strip 5R-36</v>
      </c>
      <c r="C445" s="142">
        <v>0.6</v>
      </c>
      <c r="D445" s="138" t="s">
        <v>424</v>
      </c>
      <c r="E445" s="138" t="s">
        <v>337</v>
      </c>
      <c r="F445" s="138" t="s">
        <v>201</v>
      </c>
      <c r="G445" s="138"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x14ac:dyDescent="0.25">
      <c r="A446" s="207">
        <v>496</v>
      </c>
      <c r="B446" s="1" t="str">
        <f t="shared" si="106"/>
        <v>0.61, Module Builder-Strip 16' Bcast</v>
      </c>
      <c r="C446" s="142">
        <v>0.61</v>
      </c>
      <c r="D446" s="138" t="s">
        <v>424</v>
      </c>
      <c r="E446" s="138" t="s">
        <v>337</v>
      </c>
      <c r="F446" s="138" t="s">
        <v>69</v>
      </c>
      <c r="G446" s="138"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x14ac:dyDescent="0.25">
      <c r="A447" s="207">
        <v>501</v>
      </c>
      <c r="B447" s="1" t="str">
        <f t="shared" si="106"/>
        <v>0.62, Module Builder-Strip 4R-36 2x1</v>
      </c>
      <c r="C447" s="142">
        <v>0.62</v>
      </c>
      <c r="D447" s="138" t="s">
        <v>424</v>
      </c>
      <c r="E447" s="138" t="s">
        <v>337</v>
      </c>
      <c r="F447" s="138" t="s">
        <v>202</v>
      </c>
      <c r="G447" s="138"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x14ac:dyDescent="0.25">
      <c r="A448" s="207">
        <v>682</v>
      </c>
      <c r="B448" s="1" t="str">
        <f t="shared" si="106"/>
        <v>0.63, Module Builder-Strip 6R-36</v>
      </c>
      <c r="C448" s="142">
        <v>0.63</v>
      </c>
      <c r="D448" s="138" t="s">
        <v>424</v>
      </c>
      <c r="E448" s="138" t="s">
        <v>337</v>
      </c>
      <c r="F448" s="138" t="s">
        <v>200</v>
      </c>
      <c r="G448" s="138"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x14ac:dyDescent="0.25">
      <c r="A449" s="207">
        <v>497</v>
      </c>
      <c r="B449" s="1" t="str">
        <f t="shared" si="106"/>
        <v>0.64, Module Builder-Strip 19' Bcast</v>
      </c>
      <c r="C449" s="142">
        <v>0.64</v>
      </c>
      <c r="D449" s="138" t="s">
        <v>424</v>
      </c>
      <c r="E449" s="138" t="s">
        <v>337</v>
      </c>
      <c r="F449" s="138" t="s">
        <v>68</v>
      </c>
      <c r="G449" s="138"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x14ac:dyDescent="0.25">
      <c r="A450" s="207">
        <v>684</v>
      </c>
      <c r="B450" s="1" t="str">
        <f t="shared" ref="B450:B470" si="121">CONCATENATE(C450,D450,E450,F450)</f>
        <v>0.65, Module Builder-Strip 8R-36</v>
      </c>
      <c r="C450" s="142">
        <v>0.65</v>
      </c>
      <c r="D450" s="138" t="s">
        <v>424</v>
      </c>
      <c r="E450" s="138" t="s">
        <v>337</v>
      </c>
      <c r="F450" s="138" t="s">
        <v>199</v>
      </c>
      <c r="G450" s="138"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x14ac:dyDescent="0.25">
      <c r="A451" s="207">
        <v>525</v>
      </c>
      <c r="B451" s="1" t="str">
        <f t="shared" si="121"/>
        <v>0.66, Peanut Cond. &amp; Lifter 6-Row</v>
      </c>
      <c r="C451" s="142">
        <v>0.66</v>
      </c>
      <c r="D451" s="138" t="s">
        <v>424</v>
      </c>
      <c r="E451" s="138" t="s">
        <v>338</v>
      </c>
      <c r="F451" s="138" t="s">
        <v>46</v>
      </c>
      <c r="G451" s="138" t="str">
        <f t="shared" si="122"/>
        <v>Peanut Cond. &amp; Lifter 6-Row</v>
      </c>
      <c r="H451" s="30">
        <v>14800</v>
      </c>
      <c r="I451" s="187">
        <v>18</v>
      </c>
      <c r="J451" s="187">
        <v>3.5</v>
      </c>
      <c r="K451" s="187">
        <v>70</v>
      </c>
      <c r="L451" s="189">
        <f t="shared" si="120"/>
        <v>0.18707482993197277</v>
      </c>
      <c r="M451" s="188">
        <v>30</v>
      </c>
      <c r="N451" s="188">
        <v>80</v>
      </c>
      <c r="O451" s="188">
        <v>12</v>
      </c>
      <c r="P451" s="188">
        <v>100</v>
      </c>
      <c r="Q451" s="188">
        <v>0</v>
      </c>
      <c r="R451" s="11">
        <f t="shared" si="123"/>
        <v>1200</v>
      </c>
      <c r="S451" s="11">
        <v>1</v>
      </c>
      <c r="T451" s="11">
        <v>0.27</v>
      </c>
      <c r="U451" s="11">
        <v>1.4</v>
      </c>
      <c r="V451" s="10">
        <f t="shared" si="124"/>
        <v>159.08362535317761</v>
      </c>
      <c r="W451" s="9">
        <f t="shared" si="125"/>
        <v>1.5908362535317762</v>
      </c>
      <c r="X451" s="8">
        <f t="shared" si="126"/>
        <v>986.66666666666663</v>
      </c>
      <c r="Y451" s="7">
        <f t="shared" si="127"/>
        <v>9.8666666666666671</v>
      </c>
      <c r="Z451" s="2">
        <f t="shared" si="128"/>
        <v>4440</v>
      </c>
      <c r="AA451" s="2">
        <f t="shared" si="129"/>
        <v>863.33333333333337</v>
      </c>
      <c r="AB451" s="2">
        <f t="shared" si="130"/>
        <v>9620</v>
      </c>
      <c r="AC451" s="6">
        <f t="shared" si="131"/>
        <v>865.8</v>
      </c>
      <c r="AD451" s="6">
        <f t="shared" si="132"/>
        <v>230.88</v>
      </c>
      <c r="AE451" s="6">
        <f t="shared" si="133"/>
        <v>1960.0133333333333</v>
      </c>
      <c r="AF451" s="5">
        <f t="shared" si="134"/>
        <v>19.600133333333332</v>
      </c>
    </row>
    <row r="452" spans="1:32" x14ac:dyDescent="0.25">
      <c r="A452" s="207">
        <v>523</v>
      </c>
      <c r="B452" s="1" t="str">
        <f t="shared" si="121"/>
        <v>0.67, Peanut Conditioner 6-Row</v>
      </c>
      <c r="C452" s="142">
        <v>0.67</v>
      </c>
      <c r="D452" s="138" t="s">
        <v>424</v>
      </c>
      <c r="E452" s="138" t="s">
        <v>339</v>
      </c>
      <c r="F452" s="138" t="s">
        <v>46</v>
      </c>
      <c r="G452" s="138" t="str">
        <f t="shared" si="122"/>
        <v>Peanut Conditioner 6-Row</v>
      </c>
      <c r="H452" s="30">
        <v>17500</v>
      </c>
      <c r="I452" s="187">
        <v>18</v>
      </c>
      <c r="J452" s="187">
        <v>3.5</v>
      </c>
      <c r="K452" s="187">
        <v>70</v>
      </c>
      <c r="L452" s="189">
        <f t="shared" si="120"/>
        <v>0.18707482993197277</v>
      </c>
      <c r="M452" s="188">
        <v>30</v>
      </c>
      <c r="N452" s="188">
        <v>80</v>
      </c>
      <c r="O452" s="188">
        <v>12</v>
      </c>
      <c r="P452" s="188">
        <v>100</v>
      </c>
      <c r="Q452" s="188">
        <v>0</v>
      </c>
      <c r="R452" s="11">
        <f t="shared" si="123"/>
        <v>1200</v>
      </c>
      <c r="S452" s="11">
        <v>1</v>
      </c>
      <c r="T452" s="11">
        <v>0.27</v>
      </c>
      <c r="U452" s="11">
        <v>1.4</v>
      </c>
      <c r="V452" s="10">
        <f t="shared" si="124"/>
        <v>188.10563808652756</v>
      </c>
      <c r="W452" s="9">
        <f t="shared" si="125"/>
        <v>1.8810563808652756</v>
      </c>
      <c r="X452" s="8">
        <f t="shared" si="126"/>
        <v>1166.6666666666667</v>
      </c>
      <c r="Y452" s="7">
        <f t="shared" si="127"/>
        <v>11.666666666666668</v>
      </c>
      <c r="Z452" s="2">
        <f t="shared" si="128"/>
        <v>5250</v>
      </c>
      <c r="AA452" s="2">
        <f t="shared" si="129"/>
        <v>1020.8333333333334</v>
      </c>
      <c r="AB452" s="2">
        <f t="shared" si="130"/>
        <v>11375</v>
      </c>
      <c r="AC452" s="6">
        <f t="shared" si="131"/>
        <v>1023.75</v>
      </c>
      <c r="AD452" s="6">
        <f t="shared" si="132"/>
        <v>273</v>
      </c>
      <c r="AE452" s="6">
        <f t="shared" si="133"/>
        <v>2317.5833333333335</v>
      </c>
      <c r="AF452" s="5">
        <f t="shared" si="134"/>
        <v>23.175833333333333</v>
      </c>
    </row>
    <row r="453" spans="1:32" x14ac:dyDescent="0.25">
      <c r="A453" s="207">
        <v>570</v>
      </c>
      <c r="B453" s="1" t="str">
        <f t="shared" si="121"/>
        <v>0.68, Peanut Dig/Inverter 4R-30</v>
      </c>
      <c r="C453" s="142">
        <v>0.68</v>
      </c>
      <c r="D453" s="138" t="s">
        <v>424</v>
      </c>
      <c r="E453" s="138" t="s">
        <v>422</v>
      </c>
      <c r="F453" s="138" t="s">
        <v>0</v>
      </c>
      <c r="G453" s="138" t="str">
        <f t="shared" si="122"/>
        <v>Peanut Dig/Inverter 4R-30</v>
      </c>
      <c r="H453" s="30">
        <v>33500</v>
      </c>
      <c r="I453" s="187">
        <v>10</v>
      </c>
      <c r="J453" s="187">
        <v>3.5</v>
      </c>
      <c r="K453" s="187">
        <v>70</v>
      </c>
      <c r="L453" s="189">
        <f t="shared" si="120"/>
        <v>0.33673469387755101</v>
      </c>
      <c r="M453" s="188">
        <v>30</v>
      </c>
      <c r="N453" s="188">
        <v>80</v>
      </c>
      <c r="O453" s="188">
        <v>12</v>
      </c>
      <c r="P453" s="188">
        <v>100</v>
      </c>
      <c r="Q453" s="188">
        <v>0</v>
      </c>
      <c r="R453" s="11">
        <f t="shared" si="123"/>
        <v>1200</v>
      </c>
      <c r="S453" s="11">
        <v>1</v>
      </c>
      <c r="T453" s="12">
        <v>0.4</v>
      </c>
      <c r="U453" s="11">
        <v>1.4</v>
      </c>
      <c r="V453" s="10">
        <f t="shared" si="124"/>
        <v>533.46360854168665</v>
      </c>
      <c r="W453" s="9">
        <f t="shared" si="125"/>
        <v>5.3346360854168662</v>
      </c>
      <c r="X453" s="8">
        <f t="shared" si="126"/>
        <v>2233.3333333333335</v>
      </c>
      <c r="Y453" s="7">
        <f t="shared" si="127"/>
        <v>22.333333333333336</v>
      </c>
      <c r="Z453" s="2">
        <f t="shared" si="128"/>
        <v>10050</v>
      </c>
      <c r="AA453" s="2">
        <f t="shared" si="129"/>
        <v>1954.1666666666667</v>
      </c>
      <c r="AB453" s="2">
        <f t="shared" si="130"/>
        <v>21775</v>
      </c>
      <c r="AC453" s="6">
        <f t="shared" si="131"/>
        <v>1959.75</v>
      </c>
      <c r="AD453" s="6">
        <f t="shared" si="132"/>
        <v>522.6</v>
      </c>
      <c r="AE453" s="6">
        <f t="shared" si="133"/>
        <v>4436.5166666666673</v>
      </c>
      <c r="AF453" s="5">
        <f t="shared" si="134"/>
        <v>44.365166666666674</v>
      </c>
    </row>
    <row r="454" spans="1:32" x14ac:dyDescent="0.25">
      <c r="A454" s="207">
        <v>520</v>
      </c>
      <c r="B454" s="1" t="str">
        <f t="shared" si="121"/>
        <v>0.69, Peanut Dig/Inverter 4R-36</v>
      </c>
      <c r="C454" s="142">
        <v>0.69</v>
      </c>
      <c r="D454" s="138" t="s">
        <v>424</v>
      </c>
      <c r="E454" s="138" t="s">
        <v>422</v>
      </c>
      <c r="F454" s="138" t="s">
        <v>73</v>
      </c>
      <c r="G454" s="138" t="str">
        <f t="shared" si="122"/>
        <v>Peanut Dig/Inverter 4R-36</v>
      </c>
      <c r="H454" s="30">
        <v>33500</v>
      </c>
      <c r="I454" s="187">
        <v>12</v>
      </c>
      <c r="J454" s="187">
        <v>3.5</v>
      </c>
      <c r="K454" s="187">
        <v>70</v>
      </c>
      <c r="L454" s="189">
        <f t="shared" si="120"/>
        <v>0.28061224489795922</v>
      </c>
      <c r="M454" s="188">
        <v>30</v>
      </c>
      <c r="N454" s="188">
        <v>80</v>
      </c>
      <c r="O454" s="188">
        <v>12</v>
      </c>
      <c r="P454" s="188">
        <v>100</v>
      </c>
      <c r="Q454" s="188">
        <v>0</v>
      </c>
      <c r="R454" s="11">
        <f t="shared" si="123"/>
        <v>1200</v>
      </c>
      <c r="S454" s="11">
        <v>1</v>
      </c>
      <c r="T454" s="12">
        <v>0.4</v>
      </c>
      <c r="U454" s="11">
        <v>1.4</v>
      </c>
      <c r="V454" s="10">
        <f t="shared" si="124"/>
        <v>533.46360854168665</v>
      </c>
      <c r="W454" s="9">
        <f t="shared" si="125"/>
        <v>5.3346360854168662</v>
      </c>
      <c r="X454" s="8">
        <f t="shared" si="126"/>
        <v>2233.3333333333335</v>
      </c>
      <c r="Y454" s="7">
        <f t="shared" si="127"/>
        <v>22.333333333333336</v>
      </c>
      <c r="Z454" s="2">
        <f t="shared" si="128"/>
        <v>10050</v>
      </c>
      <c r="AA454" s="2">
        <f t="shared" si="129"/>
        <v>1954.1666666666667</v>
      </c>
      <c r="AB454" s="2">
        <f t="shared" si="130"/>
        <v>21775</v>
      </c>
      <c r="AC454" s="6">
        <f t="shared" si="131"/>
        <v>1959.75</v>
      </c>
      <c r="AD454" s="6">
        <f t="shared" si="132"/>
        <v>522.6</v>
      </c>
      <c r="AE454" s="6">
        <f t="shared" si="133"/>
        <v>4436.5166666666673</v>
      </c>
      <c r="AF454" s="5">
        <f t="shared" si="134"/>
        <v>44.365166666666674</v>
      </c>
    </row>
    <row r="455" spans="1:32" x14ac:dyDescent="0.25">
      <c r="A455" s="207">
        <v>521</v>
      </c>
      <c r="B455" s="1" t="str">
        <f t="shared" si="121"/>
        <v>0.7, Peanut Dig/Inverter 6R-36</v>
      </c>
      <c r="C455" s="142">
        <v>0.7</v>
      </c>
      <c r="D455" s="138" t="s">
        <v>424</v>
      </c>
      <c r="E455" s="138" t="s">
        <v>422</v>
      </c>
      <c r="F455" s="138" t="s">
        <v>200</v>
      </c>
      <c r="G455" s="138" t="str">
        <f t="shared" si="122"/>
        <v>Peanut Dig/Inverter 6R-36</v>
      </c>
      <c r="H455" s="30">
        <v>47900</v>
      </c>
      <c r="I455" s="187">
        <v>18</v>
      </c>
      <c r="J455" s="187">
        <v>3.5</v>
      </c>
      <c r="K455" s="187">
        <v>70</v>
      </c>
      <c r="L455" s="189">
        <f t="shared" si="120"/>
        <v>0.18707482993197277</v>
      </c>
      <c r="M455" s="188">
        <v>30</v>
      </c>
      <c r="N455" s="188">
        <v>80</v>
      </c>
      <c r="O455" s="188">
        <v>12</v>
      </c>
      <c r="P455" s="188">
        <v>100</v>
      </c>
      <c r="Q455" s="188">
        <v>0</v>
      </c>
      <c r="R455" s="11">
        <f t="shared" si="123"/>
        <v>1200</v>
      </c>
      <c r="S455" s="11">
        <v>1</v>
      </c>
      <c r="T455" s="12">
        <v>0.4</v>
      </c>
      <c r="U455" s="11">
        <v>1.4</v>
      </c>
      <c r="V455" s="10">
        <f t="shared" si="124"/>
        <v>762.77333878050115</v>
      </c>
      <c r="W455" s="9">
        <f t="shared" si="125"/>
        <v>7.6277333878050113</v>
      </c>
      <c r="X455" s="8">
        <f t="shared" si="126"/>
        <v>3193.3333333333335</v>
      </c>
      <c r="Y455" s="7">
        <f t="shared" si="127"/>
        <v>31.933333333333334</v>
      </c>
      <c r="Z455" s="2">
        <f t="shared" si="128"/>
        <v>14370</v>
      </c>
      <c r="AA455" s="2">
        <f t="shared" si="129"/>
        <v>2794.1666666666665</v>
      </c>
      <c r="AB455" s="2">
        <f t="shared" si="130"/>
        <v>31135</v>
      </c>
      <c r="AC455" s="6">
        <f t="shared" si="131"/>
        <v>2802.15</v>
      </c>
      <c r="AD455" s="6">
        <f t="shared" si="132"/>
        <v>747.24</v>
      </c>
      <c r="AE455" s="6">
        <f t="shared" si="133"/>
        <v>6343.5566666666664</v>
      </c>
      <c r="AF455" s="5">
        <f t="shared" si="134"/>
        <v>63.435566666666666</v>
      </c>
    </row>
    <row r="456" spans="1:32" x14ac:dyDescent="0.25">
      <c r="A456" s="207">
        <v>526</v>
      </c>
      <c r="B456" s="1" t="str">
        <f t="shared" si="121"/>
        <v>0.71, Peanut Dump Cart 6-Row</v>
      </c>
      <c r="C456" s="142">
        <v>0.71</v>
      </c>
      <c r="D456" s="138" t="s">
        <v>424</v>
      </c>
      <c r="E456" s="138" t="s">
        <v>340</v>
      </c>
      <c r="F456" s="138" t="s">
        <v>46</v>
      </c>
      <c r="G456" s="138" t="str">
        <f t="shared" si="122"/>
        <v>Peanut Dump Cart 6-Row</v>
      </c>
      <c r="H456" s="30">
        <v>55800</v>
      </c>
      <c r="I456" s="187">
        <v>18</v>
      </c>
      <c r="J456" s="187">
        <v>2.5</v>
      </c>
      <c r="K456" s="187">
        <v>60</v>
      </c>
      <c r="L456" s="189">
        <f t="shared" si="120"/>
        <v>0.30555555555555552</v>
      </c>
      <c r="M456" s="188">
        <v>30</v>
      </c>
      <c r="N456" s="188">
        <v>50</v>
      </c>
      <c r="O456" s="188">
        <v>10</v>
      </c>
      <c r="P456" s="188">
        <v>150</v>
      </c>
      <c r="Q456" s="188">
        <v>0</v>
      </c>
      <c r="R456" s="11">
        <f t="shared" si="123"/>
        <v>1500</v>
      </c>
      <c r="S456" s="11">
        <v>1</v>
      </c>
      <c r="T456" s="12">
        <v>0.4</v>
      </c>
      <c r="U456" s="11">
        <v>1.4</v>
      </c>
      <c r="V456" s="10">
        <f t="shared" si="124"/>
        <v>1567.5519872314699</v>
      </c>
      <c r="W456" s="9">
        <f t="shared" si="125"/>
        <v>10.450346581543132</v>
      </c>
      <c r="X456" s="8">
        <f t="shared" si="126"/>
        <v>2790</v>
      </c>
      <c r="Y456" s="7">
        <f t="shared" si="127"/>
        <v>18.600000000000001</v>
      </c>
      <c r="Z456" s="2">
        <f t="shared" si="128"/>
        <v>16740</v>
      </c>
      <c r="AA456" s="2">
        <f t="shared" si="129"/>
        <v>3906</v>
      </c>
      <c r="AB456" s="2">
        <f t="shared" si="130"/>
        <v>36270</v>
      </c>
      <c r="AC456" s="6">
        <f t="shared" si="131"/>
        <v>3264.2999999999997</v>
      </c>
      <c r="AD456" s="6">
        <f t="shared" si="132"/>
        <v>870.48</v>
      </c>
      <c r="AE456" s="6">
        <f t="shared" si="133"/>
        <v>8040.7799999999988</v>
      </c>
      <c r="AF456" s="5">
        <f t="shared" si="134"/>
        <v>53.605199999999989</v>
      </c>
    </row>
    <row r="457" spans="1:32" x14ac:dyDescent="0.25">
      <c r="A457" s="207">
        <v>524</v>
      </c>
      <c r="B457" s="1" t="str">
        <f t="shared" si="121"/>
        <v>0.72, Peanut Lifter 6-Row</v>
      </c>
      <c r="C457" s="142">
        <v>0.72</v>
      </c>
      <c r="D457" s="138" t="s">
        <v>424</v>
      </c>
      <c r="E457" s="138" t="s">
        <v>341</v>
      </c>
      <c r="F457" s="138" t="s">
        <v>46</v>
      </c>
      <c r="G457" s="138" t="str">
        <f t="shared" si="122"/>
        <v>Peanut Lifter 6-Row</v>
      </c>
      <c r="H457" s="30">
        <v>7440</v>
      </c>
      <c r="I457" s="187">
        <v>18</v>
      </c>
      <c r="J457" s="187">
        <v>3.5</v>
      </c>
      <c r="K457" s="187">
        <v>60</v>
      </c>
      <c r="L457" s="189">
        <f t="shared" si="120"/>
        <v>0.21825396825396828</v>
      </c>
      <c r="M457" s="188">
        <v>30</v>
      </c>
      <c r="N457" s="188">
        <v>80</v>
      </c>
      <c r="O457" s="188">
        <v>12</v>
      </c>
      <c r="P457" s="188">
        <v>100</v>
      </c>
      <c r="Q457" s="188">
        <v>0</v>
      </c>
      <c r="R457" s="11">
        <f t="shared" si="123"/>
        <v>1200</v>
      </c>
      <c r="S457" s="11">
        <v>1</v>
      </c>
      <c r="T457" s="12">
        <v>0.4</v>
      </c>
      <c r="U457" s="11">
        <v>1.4</v>
      </c>
      <c r="V457" s="10">
        <f t="shared" si="124"/>
        <v>118.47669395672085</v>
      </c>
      <c r="W457" s="9">
        <f t="shared" si="125"/>
        <v>1.1847669395672085</v>
      </c>
      <c r="X457" s="8">
        <f t="shared" si="126"/>
        <v>496</v>
      </c>
      <c r="Y457" s="7">
        <f t="shared" si="127"/>
        <v>4.96</v>
      </c>
      <c r="Z457" s="2">
        <f t="shared" si="128"/>
        <v>2232</v>
      </c>
      <c r="AA457" s="2">
        <f t="shared" si="129"/>
        <v>434</v>
      </c>
      <c r="AB457" s="2">
        <f t="shared" si="130"/>
        <v>4836</v>
      </c>
      <c r="AC457" s="6">
        <f t="shared" si="131"/>
        <v>435.24</v>
      </c>
      <c r="AD457" s="6">
        <f t="shared" si="132"/>
        <v>116.06400000000001</v>
      </c>
      <c r="AE457" s="6">
        <f t="shared" si="133"/>
        <v>985.30399999999997</v>
      </c>
      <c r="AF457" s="5">
        <f t="shared" si="134"/>
        <v>9.85304</v>
      </c>
    </row>
    <row r="458" spans="1:32" x14ac:dyDescent="0.25">
      <c r="A458" s="207"/>
      <c r="B458" s="1" t="str">
        <f t="shared" si="121"/>
        <v>0.73, Peanut Wagon 14'</v>
      </c>
      <c r="C458" s="142">
        <v>0.73</v>
      </c>
      <c r="D458" s="138" t="s">
        <v>424</v>
      </c>
      <c r="E458" s="138" t="s">
        <v>419</v>
      </c>
      <c r="F458" s="138" t="s">
        <v>12</v>
      </c>
      <c r="G458" s="138" t="str">
        <f t="shared" si="122"/>
        <v>Peanut Wagon 14'</v>
      </c>
      <c r="H458" s="30">
        <v>5000</v>
      </c>
      <c r="I458" s="187">
        <v>6</v>
      </c>
      <c r="J458" s="187">
        <v>2.5</v>
      </c>
      <c r="K458" s="187">
        <v>60</v>
      </c>
      <c r="L458" s="189">
        <f t="shared" si="120"/>
        <v>0.91666666666666674</v>
      </c>
      <c r="M458" s="188">
        <v>20</v>
      </c>
      <c r="N458" s="188">
        <v>80</v>
      </c>
      <c r="O458" s="188">
        <v>12</v>
      </c>
      <c r="P458" s="188">
        <v>150</v>
      </c>
      <c r="Q458" s="188">
        <v>0</v>
      </c>
      <c r="R458" s="11">
        <f t="shared" si="123"/>
        <v>1800</v>
      </c>
      <c r="S458" s="11">
        <v>1</v>
      </c>
      <c r="T458" s="12">
        <v>0.4</v>
      </c>
      <c r="U458" s="11">
        <v>1.4</v>
      </c>
      <c r="V458" s="10">
        <f t="shared" si="124"/>
        <v>140.46164760138618</v>
      </c>
      <c r="W458" s="9">
        <f t="shared" si="125"/>
        <v>0.93641098400924117</v>
      </c>
      <c r="X458" s="8">
        <f t="shared" si="126"/>
        <v>333.33333333333331</v>
      </c>
      <c r="Y458" s="7">
        <f t="shared" si="127"/>
        <v>2.2222222222222219</v>
      </c>
      <c r="Z458" s="2">
        <f t="shared" si="128"/>
        <v>1000</v>
      </c>
      <c r="AA458" s="2">
        <f t="shared" si="129"/>
        <v>333.33333333333331</v>
      </c>
      <c r="AB458" s="2">
        <f t="shared" si="130"/>
        <v>3000</v>
      </c>
      <c r="AC458" s="6">
        <f t="shared" si="131"/>
        <v>270</v>
      </c>
      <c r="AD458" s="6">
        <f t="shared" si="132"/>
        <v>72</v>
      </c>
      <c r="AE458" s="6">
        <f t="shared" si="133"/>
        <v>675.33333333333326</v>
      </c>
      <c r="AF458" s="5">
        <f t="shared" si="134"/>
        <v>4.5022222222222217</v>
      </c>
    </row>
    <row r="459" spans="1:32" x14ac:dyDescent="0.25">
      <c r="A459" s="207"/>
      <c r="B459" s="1" t="str">
        <f t="shared" si="121"/>
        <v>0.74, Peanut Wagon 21'</v>
      </c>
      <c r="C459" s="142">
        <v>0.74</v>
      </c>
      <c r="D459" s="138" t="s">
        <v>424</v>
      </c>
      <c r="E459" s="138" t="s">
        <v>419</v>
      </c>
      <c r="F459" s="138" t="s">
        <v>39</v>
      </c>
      <c r="G459" s="138" t="str">
        <f t="shared" si="122"/>
        <v>Peanut Wagon 21'</v>
      </c>
      <c r="H459" s="30">
        <v>7500</v>
      </c>
      <c r="I459" s="187">
        <v>12</v>
      </c>
      <c r="J459" s="187">
        <v>2.5</v>
      </c>
      <c r="K459" s="187">
        <v>60</v>
      </c>
      <c r="L459" s="189">
        <f t="shared" si="120"/>
        <v>0.45833333333333337</v>
      </c>
      <c r="M459" s="188">
        <v>20</v>
      </c>
      <c r="N459" s="188">
        <v>80</v>
      </c>
      <c r="O459" s="188">
        <v>12</v>
      </c>
      <c r="P459" s="188">
        <v>150</v>
      </c>
      <c r="Q459" s="188">
        <v>0</v>
      </c>
      <c r="R459" s="11">
        <f t="shared" si="123"/>
        <v>1800</v>
      </c>
      <c r="S459" s="11">
        <v>1</v>
      </c>
      <c r="T459" s="12">
        <v>0.4</v>
      </c>
      <c r="U459" s="11">
        <v>1.4</v>
      </c>
      <c r="V459" s="10">
        <f t="shared" si="124"/>
        <v>210.69247140207929</v>
      </c>
      <c r="W459" s="9">
        <f t="shared" si="125"/>
        <v>1.404616476013862</v>
      </c>
      <c r="X459" s="8">
        <f t="shared" si="126"/>
        <v>500</v>
      </c>
      <c r="Y459" s="7">
        <f t="shared" si="127"/>
        <v>3.3333333333333335</v>
      </c>
      <c r="Z459" s="2">
        <f t="shared" si="128"/>
        <v>1500</v>
      </c>
      <c r="AA459" s="2">
        <f t="shared" si="129"/>
        <v>500</v>
      </c>
      <c r="AB459" s="2">
        <f t="shared" si="130"/>
        <v>4500</v>
      </c>
      <c r="AC459" s="6">
        <f t="shared" si="131"/>
        <v>405</v>
      </c>
      <c r="AD459" s="6">
        <f t="shared" si="132"/>
        <v>108</v>
      </c>
      <c r="AE459" s="6">
        <f t="shared" si="133"/>
        <v>1013</v>
      </c>
      <c r="AF459" s="5">
        <f t="shared" si="134"/>
        <v>6.753333333333333</v>
      </c>
    </row>
    <row r="460" spans="1:32" x14ac:dyDescent="0.25">
      <c r="A460" s="207"/>
      <c r="B460" s="1" t="str">
        <f t="shared" si="121"/>
        <v>0.75, Peanut Wagon 28'</v>
      </c>
      <c r="C460" s="142">
        <v>0.75</v>
      </c>
      <c r="D460" s="138" t="s">
        <v>424</v>
      </c>
      <c r="E460" s="138" t="s">
        <v>419</v>
      </c>
      <c r="F460" s="138" t="s">
        <v>87</v>
      </c>
      <c r="G460" s="138" t="str">
        <f t="shared" si="122"/>
        <v>Peanut Wagon 28'</v>
      </c>
      <c r="H460" s="30">
        <v>9000</v>
      </c>
      <c r="I460" s="187">
        <v>18</v>
      </c>
      <c r="J460" s="187">
        <v>2.5</v>
      </c>
      <c r="K460" s="187">
        <v>60</v>
      </c>
      <c r="L460" s="189">
        <f t="shared" si="120"/>
        <v>0.30555555555555552</v>
      </c>
      <c r="M460" s="188">
        <v>20</v>
      </c>
      <c r="N460" s="188">
        <v>80</v>
      </c>
      <c r="O460" s="188">
        <v>12</v>
      </c>
      <c r="P460" s="188">
        <v>150</v>
      </c>
      <c r="Q460" s="188">
        <v>0</v>
      </c>
      <c r="R460" s="11">
        <f t="shared" si="123"/>
        <v>1800</v>
      </c>
      <c r="S460" s="11">
        <v>1</v>
      </c>
      <c r="T460" s="12">
        <v>0.4</v>
      </c>
      <c r="U460" s="11">
        <v>1.4</v>
      </c>
      <c r="V460" s="10">
        <f t="shared" si="124"/>
        <v>252.83096568249513</v>
      </c>
      <c r="W460" s="9">
        <f t="shared" si="125"/>
        <v>1.6855397712166342</v>
      </c>
      <c r="X460" s="8">
        <f t="shared" si="126"/>
        <v>600</v>
      </c>
      <c r="Y460" s="7">
        <f t="shared" si="127"/>
        <v>4</v>
      </c>
      <c r="Z460" s="2">
        <f t="shared" si="128"/>
        <v>1800</v>
      </c>
      <c r="AA460" s="2">
        <f t="shared" si="129"/>
        <v>600</v>
      </c>
      <c r="AB460" s="2">
        <f t="shared" si="130"/>
        <v>5400</v>
      </c>
      <c r="AC460" s="6">
        <f t="shared" si="131"/>
        <v>486</v>
      </c>
      <c r="AD460" s="6">
        <f t="shared" si="132"/>
        <v>129.6</v>
      </c>
      <c r="AE460" s="6">
        <f t="shared" si="133"/>
        <v>1215.5999999999999</v>
      </c>
      <c r="AF460" s="5">
        <f t="shared" si="134"/>
        <v>8.1039999999999992</v>
      </c>
    </row>
    <row r="461" spans="1:32" x14ac:dyDescent="0.25">
      <c r="A461" s="207"/>
      <c r="B461" s="1" t="str">
        <f t="shared" si="121"/>
        <v>0.76, Pull-type Peanut Combine 2R-36</v>
      </c>
      <c r="C461" s="142">
        <v>0.76</v>
      </c>
      <c r="D461" s="138" t="s">
        <v>424</v>
      </c>
      <c r="E461" s="138" t="s">
        <v>420</v>
      </c>
      <c r="F461" s="138" t="s">
        <v>421</v>
      </c>
      <c r="G461" s="138" t="str">
        <f t="shared" si="122"/>
        <v>Pull-type Peanut Combine 2R-36</v>
      </c>
      <c r="H461" s="30">
        <v>130000</v>
      </c>
      <c r="I461" s="187">
        <v>6</v>
      </c>
      <c r="J461" s="187">
        <v>2.5</v>
      </c>
      <c r="K461" s="187">
        <v>60</v>
      </c>
      <c r="L461" s="189">
        <f t="shared" si="120"/>
        <v>0.91666666666666674</v>
      </c>
      <c r="M461" s="188">
        <v>20</v>
      </c>
      <c r="N461" s="188">
        <v>40</v>
      </c>
      <c r="O461" s="188">
        <v>10</v>
      </c>
      <c r="P461" s="188">
        <v>150</v>
      </c>
      <c r="Q461" s="188">
        <v>0</v>
      </c>
      <c r="R461" s="11">
        <f t="shared" si="123"/>
        <v>1500</v>
      </c>
      <c r="S461" s="11">
        <v>1</v>
      </c>
      <c r="T461" s="12">
        <v>0.4</v>
      </c>
      <c r="U461" s="11">
        <v>1.4</v>
      </c>
      <c r="V461" s="10">
        <f t="shared" si="124"/>
        <v>3652.002837636041</v>
      </c>
      <c r="W461" s="9">
        <f t="shared" si="125"/>
        <v>24.346685584240273</v>
      </c>
      <c r="X461" s="8">
        <f t="shared" si="126"/>
        <v>5200</v>
      </c>
      <c r="Y461" s="7">
        <f t="shared" si="127"/>
        <v>34.666666666666664</v>
      </c>
      <c r="Z461" s="2">
        <f t="shared" si="128"/>
        <v>26000</v>
      </c>
      <c r="AA461" s="2">
        <f t="shared" si="129"/>
        <v>10400</v>
      </c>
      <c r="AB461" s="2">
        <f t="shared" si="130"/>
        <v>78000</v>
      </c>
      <c r="AC461" s="6">
        <f t="shared" si="131"/>
        <v>7020</v>
      </c>
      <c r="AD461" s="6">
        <f t="shared" si="132"/>
        <v>1872</v>
      </c>
      <c r="AE461" s="6">
        <f t="shared" si="133"/>
        <v>19292</v>
      </c>
      <c r="AF461" s="5">
        <f t="shared" si="134"/>
        <v>128.61333333333334</v>
      </c>
    </row>
    <row r="462" spans="1:32" x14ac:dyDescent="0.25">
      <c r="A462" s="207"/>
      <c r="B462" s="1" t="str">
        <f t="shared" si="121"/>
        <v>0.77, Pull-type Peanut Combine 4R-36</v>
      </c>
      <c r="C462" s="142">
        <v>0.77</v>
      </c>
      <c r="D462" s="138" t="s">
        <v>424</v>
      </c>
      <c r="E462" s="138" t="s">
        <v>420</v>
      </c>
      <c r="F462" s="138" t="s">
        <v>73</v>
      </c>
      <c r="G462" s="138" t="str">
        <f t="shared" si="122"/>
        <v>Pull-type Peanut Combine 4R-36</v>
      </c>
      <c r="H462" s="30">
        <v>155000</v>
      </c>
      <c r="I462" s="187">
        <v>12</v>
      </c>
      <c r="J462" s="187">
        <v>2.5</v>
      </c>
      <c r="K462" s="187">
        <v>60</v>
      </c>
      <c r="L462" s="189">
        <f t="shared" si="120"/>
        <v>0.45833333333333337</v>
      </c>
      <c r="M462" s="188">
        <v>20</v>
      </c>
      <c r="N462" s="188">
        <v>40</v>
      </c>
      <c r="O462" s="188">
        <v>10</v>
      </c>
      <c r="P462" s="188">
        <v>150</v>
      </c>
      <c r="Q462" s="188">
        <v>0</v>
      </c>
      <c r="R462" s="11">
        <f t="shared" si="123"/>
        <v>1500</v>
      </c>
      <c r="S462" s="11">
        <v>1</v>
      </c>
      <c r="T462" s="12">
        <v>0.4</v>
      </c>
      <c r="U462" s="11">
        <v>1.4</v>
      </c>
      <c r="V462" s="10">
        <f t="shared" si="124"/>
        <v>4354.3110756429714</v>
      </c>
      <c r="W462" s="9">
        <f t="shared" si="125"/>
        <v>29.028740504286475</v>
      </c>
      <c r="X462" s="8">
        <f t="shared" si="126"/>
        <v>6200</v>
      </c>
      <c r="Y462" s="7">
        <f t="shared" si="127"/>
        <v>41.333333333333336</v>
      </c>
      <c r="Z462" s="2">
        <f t="shared" si="128"/>
        <v>31000</v>
      </c>
      <c r="AA462" s="2">
        <f t="shared" si="129"/>
        <v>12400</v>
      </c>
      <c r="AB462" s="2">
        <f t="shared" si="130"/>
        <v>93000</v>
      </c>
      <c r="AC462" s="6">
        <f t="shared" si="131"/>
        <v>8370</v>
      </c>
      <c r="AD462" s="6">
        <f t="shared" si="132"/>
        <v>2232</v>
      </c>
      <c r="AE462" s="6">
        <f t="shared" si="133"/>
        <v>23002</v>
      </c>
      <c r="AF462" s="5">
        <f t="shared" si="134"/>
        <v>153.34666666666666</v>
      </c>
    </row>
    <row r="463" spans="1:32" x14ac:dyDescent="0.25">
      <c r="A463" s="207"/>
      <c r="B463" s="1" t="str">
        <f t="shared" si="121"/>
        <v>0.78, Pull-type Peanut Combine 6R-36</v>
      </c>
      <c r="C463" s="142">
        <v>0.78</v>
      </c>
      <c r="D463" s="138" t="s">
        <v>424</v>
      </c>
      <c r="E463" s="138" t="s">
        <v>420</v>
      </c>
      <c r="F463" s="138" t="s">
        <v>200</v>
      </c>
      <c r="G463" s="138" t="str">
        <f t="shared" si="122"/>
        <v>Pull-type Peanut Combine 6R-36</v>
      </c>
      <c r="H463" s="30">
        <v>172000</v>
      </c>
      <c r="I463" s="187">
        <v>18</v>
      </c>
      <c r="J463" s="187">
        <v>2.5</v>
      </c>
      <c r="K463" s="187">
        <v>60</v>
      </c>
      <c r="L463" s="186">
        <f t="shared" si="120"/>
        <v>0.30555555555555552</v>
      </c>
      <c r="M463" s="188">
        <v>20</v>
      </c>
      <c r="N463" s="188">
        <v>40</v>
      </c>
      <c r="O463" s="188">
        <v>10</v>
      </c>
      <c r="P463" s="188">
        <v>150</v>
      </c>
      <c r="Q463" s="188">
        <v>0</v>
      </c>
      <c r="R463" s="11">
        <f t="shared" si="123"/>
        <v>1500</v>
      </c>
      <c r="S463" s="11">
        <v>1</v>
      </c>
      <c r="T463" s="12">
        <v>0.4</v>
      </c>
      <c r="U463" s="11">
        <v>1.4</v>
      </c>
      <c r="V463" s="10">
        <f t="shared" si="124"/>
        <v>4831.8806774876848</v>
      </c>
      <c r="W463" s="9">
        <f t="shared" si="125"/>
        <v>32.212537849917901</v>
      </c>
      <c r="X463" s="8">
        <f t="shared" si="126"/>
        <v>6880</v>
      </c>
      <c r="Y463" s="7">
        <f t="shared" si="127"/>
        <v>45.866666666666667</v>
      </c>
      <c r="Z463" s="2">
        <f t="shared" si="128"/>
        <v>34400</v>
      </c>
      <c r="AA463" s="2">
        <f t="shared" si="129"/>
        <v>13760</v>
      </c>
      <c r="AB463" s="2">
        <f t="shared" si="130"/>
        <v>103200</v>
      </c>
      <c r="AC463" s="6">
        <f t="shared" si="131"/>
        <v>9288</v>
      </c>
      <c r="AD463" s="6">
        <f t="shared" si="132"/>
        <v>2476.8000000000002</v>
      </c>
      <c r="AE463" s="6">
        <f t="shared" si="133"/>
        <v>25524.799999999999</v>
      </c>
      <c r="AF463" s="5">
        <f t="shared" si="134"/>
        <v>170.16533333333334</v>
      </c>
    </row>
    <row r="464" spans="1:32" x14ac:dyDescent="0.25">
      <c r="A464" s="207">
        <v>200</v>
      </c>
      <c r="B464" s="1" t="str">
        <f t="shared" si="121"/>
        <v>0.79, Stalk Shredder 14'</v>
      </c>
      <c r="C464" s="142">
        <v>0.79</v>
      </c>
      <c r="D464" s="138" t="s">
        <v>424</v>
      </c>
      <c r="E464" s="138" t="s">
        <v>342</v>
      </c>
      <c r="F464" s="138" t="s">
        <v>12</v>
      </c>
      <c r="G464" s="138" t="str">
        <f t="shared" si="122"/>
        <v>Stalk Shredder 14'</v>
      </c>
      <c r="H464" s="30">
        <v>14900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626.16422856985821</v>
      </c>
      <c r="W464" s="9">
        <f t="shared" si="125"/>
        <v>3.1308211428492911</v>
      </c>
      <c r="X464" s="8">
        <f t="shared" si="126"/>
        <v>2607.5</v>
      </c>
      <c r="Y464" s="7">
        <f t="shared" si="127"/>
        <v>13.0375</v>
      </c>
      <c r="Z464" s="2">
        <f t="shared" si="128"/>
        <v>4470</v>
      </c>
      <c r="AA464" s="2">
        <f t="shared" si="129"/>
        <v>1043</v>
      </c>
      <c r="AB464" s="2">
        <f t="shared" si="130"/>
        <v>9685</v>
      </c>
      <c r="AC464" s="6">
        <f t="shared" si="131"/>
        <v>871.65</v>
      </c>
      <c r="AD464" s="6">
        <f t="shared" si="132"/>
        <v>232.44</v>
      </c>
      <c r="AE464" s="6">
        <f t="shared" si="133"/>
        <v>2147.09</v>
      </c>
      <c r="AF464" s="5">
        <f t="shared" si="134"/>
        <v>10.73545</v>
      </c>
    </row>
    <row r="465" spans="1:32" x14ac:dyDescent="0.25">
      <c r="A465" s="207">
        <v>267</v>
      </c>
      <c r="B465" s="1" t="str">
        <f t="shared" si="121"/>
        <v>0.8, Stalk Shredder 20'</v>
      </c>
      <c r="C465" s="142">
        <v>0.8</v>
      </c>
      <c r="D465" s="138" t="s">
        <v>424</v>
      </c>
      <c r="E465" s="138" t="s">
        <v>342</v>
      </c>
      <c r="F465" s="138" t="s">
        <v>8</v>
      </c>
      <c r="G465" s="138" t="str">
        <f t="shared" si="122"/>
        <v>Stalk Shredder 20'</v>
      </c>
      <c r="H465" s="30">
        <v>33100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938.93115951825882</v>
      </c>
      <c r="W465" s="9">
        <f t="shared" si="125"/>
        <v>4.6946557975912944</v>
      </c>
      <c r="X465" s="8">
        <f t="shared" si="126"/>
        <v>5792.5</v>
      </c>
      <c r="Y465" s="7">
        <f t="shared" si="127"/>
        <v>28.962499999999999</v>
      </c>
      <c r="Z465" s="2">
        <f t="shared" si="128"/>
        <v>9930</v>
      </c>
      <c r="AA465" s="2">
        <f t="shared" si="129"/>
        <v>2317</v>
      </c>
      <c r="AB465" s="2">
        <f t="shared" si="130"/>
        <v>21515</v>
      </c>
      <c r="AC465" s="6">
        <f t="shared" si="131"/>
        <v>1936.35</v>
      </c>
      <c r="AD465" s="6">
        <f t="shared" si="132"/>
        <v>516.36</v>
      </c>
      <c r="AE465" s="6">
        <f t="shared" si="133"/>
        <v>4769.71</v>
      </c>
      <c r="AF465" s="5">
        <f t="shared" si="134"/>
        <v>23.848549999999999</v>
      </c>
    </row>
    <row r="466" spans="1:32" x14ac:dyDescent="0.25">
      <c r="A466" s="207">
        <v>479</v>
      </c>
      <c r="B466" s="1" t="str">
        <f t="shared" si="121"/>
        <v>0.81, Stalk Shredder-Flail 12'</v>
      </c>
      <c r="C466" s="142">
        <v>0.81</v>
      </c>
      <c r="D466" s="138" t="s">
        <v>424</v>
      </c>
      <c r="E466" s="138" t="s">
        <v>343</v>
      </c>
      <c r="F466" s="138" t="s">
        <v>11</v>
      </c>
      <c r="G466" s="138" t="str">
        <f t="shared" si="122"/>
        <v>Stalk Shredder-Flail 12'</v>
      </c>
      <c r="H466" s="30">
        <v>21700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615.55305624006701</v>
      </c>
      <c r="W466" s="9">
        <f t="shared" si="125"/>
        <v>3.0777652812003349</v>
      </c>
      <c r="X466" s="8">
        <f t="shared" si="126"/>
        <v>3797.5</v>
      </c>
      <c r="Y466" s="7">
        <f t="shared" si="127"/>
        <v>18.987500000000001</v>
      </c>
      <c r="Z466" s="2">
        <f t="shared" si="128"/>
        <v>6510</v>
      </c>
      <c r="AA466" s="2">
        <f t="shared" si="129"/>
        <v>1519</v>
      </c>
      <c r="AB466" s="2">
        <f t="shared" si="130"/>
        <v>14105</v>
      </c>
      <c r="AC466" s="6">
        <f t="shared" si="131"/>
        <v>1269.45</v>
      </c>
      <c r="AD466" s="6">
        <f t="shared" si="132"/>
        <v>338.52</v>
      </c>
      <c r="AE466" s="6">
        <f t="shared" si="133"/>
        <v>3126.97</v>
      </c>
      <c r="AF466" s="5">
        <f t="shared" si="134"/>
        <v>15.634849999999998</v>
      </c>
    </row>
    <row r="467" spans="1:32" x14ac:dyDescent="0.25">
      <c r="A467" s="207">
        <v>563</v>
      </c>
      <c r="B467" s="1" t="str">
        <f t="shared" si="121"/>
        <v>0.82, Stalk Shredder-Flail 15'</v>
      </c>
      <c r="C467" s="142">
        <v>0.82</v>
      </c>
      <c r="D467" s="138" t="s">
        <v>424</v>
      </c>
      <c r="E467" s="138" t="s">
        <v>343</v>
      </c>
      <c r="F467" s="138" t="s">
        <v>10</v>
      </c>
      <c r="G467" s="138" t="str">
        <f t="shared" si="122"/>
        <v>Stalk Shredder-Flail 15'</v>
      </c>
      <c r="H467" s="30">
        <v>24500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694.97925704523686</v>
      </c>
      <c r="W467" s="9">
        <f t="shared" si="125"/>
        <v>3.4748962852261842</v>
      </c>
      <c r="X467" s="8">
        <f t="shared" si="126"/>
        <v>4287.5</v>
      </c>
      <c r="Y467" s="7">
        <f t="shared" si="127"/>
        <v>21.4375</v>
      </c>
      <c r="Z467" s="2">
        <f t="shared" si="128"/>
        <v>7350</v>
      </c>
      <c r="AA467" s="2">
        <f t="shared" si="129"/>
        <v>1715</v>
      </c>
      <c r="AB467" s="2">
        <f t="shared" si="130"/>
        <v>15925</v>
      </c>
      <c r="AC467" s="6">
        <f t="shared" si="131"/>
        <v>1433.25</v>
      </c>
      <c r="AD467" s="6">
        <f t="shared" si="132"/>
        <v>382.2</v>
      </c>
      <c r="AE467" s="6">
        <f t="shared" si="133"/>
        <v>3530.45</v>
      </c>
      <c r="AF467" s="5">
        <f t="shared" si="134"/>
        <v>17.652249999999999</v>
      </c>
    </row>
    <row r="468" spans="1:32" x14ac:dyDescent="0.25">
      <c r="A468" s="207">
        <v>564</v>
      </c>
      <c r="B468" s="1" t="str">
        <f t="shared" si="121"/>
        <v>0.83, Stalk Shredder-Flail 18'</v>
      </c>
      <c r="C468" s="142">
        <v>0.83</v>
      </c>
      <c r="D468" s="138" t="s">
        <v>424</v>
      </c>
      <c r="E468" s="138" t="s">
        <v>343</v>
      </c>
      <c r="F468" s="138" t="s">
        <v>9</v>
      </c>
      <c r="G468" s="138"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x14ac:dyDescent="0.25">
      <c r="A469" s="207">
        <v>482</v>
      </c>
      <c r="B469" s="1" t="str">
        <f t="shared" si="121"/>
        <v>0.84, Stalk Shredder-Flail 20'</v>
      </c>
      <c r="C469" s="142">
        <v>0.84</v>
      </c>
      <c r="D469" s="138" t="s">
        <v>424</v>
      </c>
      <c r="E469" s="138" t="s">
        <v>343</v>
      </c>
      <c r="F469" s="138" t="s">
        <v>8</v>
      </c>
      <c r="G469" s="138" t="str">
        <f t="shared" si="122"/>
        <v>Stalk Shredder-Flail 20'</v>
      </c>
      <c r="H469" s="30">
        <v>30400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862.34160874184499</v>
      </c>
      <c r="W469" s="9">
        <f t="shared" si="125"/>
        <v>4.311708043709225</v>
      </c>
      <c r="X469" s="8">
        <f t="shared" si="126"/>
        <v>5320</v>
      </c>
      <c r="Y469" s="7">
        <f t="shared" si="127"/>
        <v>26.6</v>
      </c>
      <c r="Z469" s="2">
        <f t="shared" si="128"/>
        <v>9120</v>
      </c>
      <c r="AA469" s="2">
        <f t="shared" si="129"/>
        <v>2128</v>
      </c>
      <c r="AB469" s="2">
        <f t="shared" si="130"/>
        <v>19760</v>
      </c>
      <c r="AC469" s="6">
        <f t="shared" si="131"/>
        <v>1778.3999999999999</v>
      </c>
      <c r="AD469" s="6">
        <f t="shared" si="132"/>
        <v>474.24</v>
      </c>
      <c r="AE469" s="6">
        <f t="shared" si="133"/>
        <v>4380.6399999999994</v>
      </c>
      <c r="AF469" s="5">
        <f t="shared" si="134"/>
        <v>21.903199999999998</v>
      </c>
    </row>
    <row r="470" spans="1:32" x14ac:dyDescent="0.25">
      <c r="A470" s="207">
        <v>565</v>
      </c>
      <c r="B470" s="1" t="str">
        <f t="shared" si="121"/>
        <v>0.85, Stalk Shredder-Flail 25'</v>
      </c>
      <c r="C470" s="142">
        <v>0.85</v>
      </c>
      <c r="D470" s="138" t="s">
        <v>424</v>
      </c>
      <c r="E470" s="138" t="s">
        <v>343</v>
      </c>
      <c r="F470" s="138" t="s">
        <v>7</v>
      </c>
      <c r="G470" s="138" t="str">
        <f t="shared" si="122"/>
        <v>Stalk Shredder-Flail 25'</v>
      </c>
      <c r="H470" s="30">
        <v>46400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1316.2056133428159</v>
      </c>
      <c r="W470" s="9">
        <f t="shared" si="125"/>
        <v>6.5810280667140795</v>
      </c>
      <c r="X470" s="8">
        <f t="shared" si="126"/>
        <v>8120</v>
      </c>
      <c r="Y470" s="7">
        <f t="shared" si="127"/>
        <v>40.6</v>
      </c>
      <c r="Z470" s="2">
        <f t="shared" si="128"/>
        <v>13920</v>
      </c>
      <c r="AA470" s="2">
        <f t="shared" si="129"/>
        <v>3248</v>
      </c>
      <c r="AB470" s="2">
        <f t="shared" si="130"/>
        <v>30160</v>
      </c>
      <c r="AC470" s="6">
        <f t="shared" si="131"/>
        <v>2714.4</v>
      </c>
      <c r="AD470" s="6">
        <f t="shared" si="132"/>
        <v>723.84</v>
      </c>
      <c r="AE470" s="6">
        <f t="shared" si="133"/>
        <v>6686.24</v>
      </c>
      <c r="AF470" s="5">
        <f t="shared" si="134"/>
        <v>33.431199999999997</v>
      </c>
    </row>
    <row r="471" spans="1:32" x14ac:dyDescent="0.25">
      <c r="D471" s="138"/>
    </row>
    <row r="472" spans="1:32" x14ac:dyDescent="0.25">
      <c r="D472" s="138"/>
    </row>
    <row r="473" spans="1:32" x14ac:dyDescent="0.25">
      <c r="D473" s="138"/>
    </row>
    <row r="474" spans="1:32" x14ac:dyDescent="0.25">
      <c r="D474" s="138"/>
    </row>
    <row r="475" spans="1:32" x14ac:dyDescent="0.25">
      <c r="D475" s="138"/>
    </row>
    <row r="476" spans="1:32" x14ac:dyDescent="0.25">
      <c r="D476" s="138"/>
    </row>
    <row r="477" spans="1:32" x14ac:dyDescent="0.25">
      <c r="D477" s="138"/>
    </row>
    <row r="478" spans="1:32" x14ac:dyDescent="0.25">
      <c r="D478" s="138"/>
    </row>
    <row r="479" spans="1:32" x14ac:dyDescent="0.25">
      <c r="D479" s="138"/>
    </row>
    <row r="480" spans="1:32" x14ac:dyDescent="0.25">
      <c r="D480" s="138"/>
    </row>
    <row r="481" spans="4:4" x14ac:dyDescent="0.25">
      <c r="D481" s="138"/>
    </row>
    <row r="482" spans="4:4" x14ac:dyDescent="0.25">
      <c r="D482" s="138"/>
    </row>
    <row r="483" spans="4:4" x14ac:dyDescent="0.25">
      <c r="D483" s="138"/>
    </row>
    <row r="484" spans="4:4" x14ac:dyDescent="0.25">
      <c r="D484" s="138"/>
    </row>
    <row r="485" spans="4:4" x14ac:dyDescent="0.25">
      <c r="D485" s="138"/>
    </row>
    <row r="486" spans="4:4" x14ac:dyDescent="0.25">
      <c r="D486" s="138"/>
    </row>
    <row r="487" spans="4:4" x14ac:dyDescent="0.25">
      <c r="D487" s="138"/>
    </row>
    <row r="488" spans="4:4" x14ac:dyDescent="0.25">
      <c r="D488" s="138"/>
    </row>
    <row r="489" spans="4:4" x14ac:dyDescent="0.25">
      <c r="D489" s="138"/>
    </row>
    <row r="490" spans="4:4" x14ac:dyDescent="0.25">
      <c r="D490" s="138"/>
    </row>
    <row r="491" spans="4:4" x14ac:dyDescent="0.25">
      <c r="D491" s="138"/>
    </row>
    <row r="492" spans="4:4" x14ac:dyDescent="0.25">
      <c r="D492" s="138"/>
    </row>
    <row r="510" spans="4:4" x14ac:dyDescent="0.25">
      <c r="D510" s="142" t="s">
        <v>63</v>
      </c>
    </row>
    <row r="511" spans="4:4" x14ac:dyDescent="0.25">
      <c r="D511" s="142" t="s">
        <v>63</v>
      </c>
    </row>
    <row r="512" spans="4:4" x14ac:dyDescent="0.25">
      <c r="D512" s="142" t="s">
        <v>63</v>
      </c>
    </row>
    <row r="513" spans="4:4" x14ac:dyDescent="0.25">
      <c r="D513" s="142" t="s">
        <v>63</v>
      </c>
    </row>
    <row r="514" spans="4:4" x14ac:dyDescent="0.25">
      <c r="D514" s="142" t="s">
        <v>63</v>
      </c>
    </row>
    <row r="515" spans="4:4" x14ac:dyDescent="0.25">
      <c r="D515" s="142" t="s">
        <v>63</v>
      </c>
    </row>
    <row r="516" spans="4:4" x14ac:dyDescent="0.25">
      <c r="D516" s="142" t="s">
        <v>63</v>
      </c>
    </row>
    <row r="517" spans="4:4" x14ac:dyDescent="0.25">
      <c r="D517" s="142" t="s">
        <v>63</v>
      </c>
    </row>
    <row r="518" spans="4:4" x14ac:dyDescent="0.25">
      <c r="D518" s="142" t="s">
        <v>63</v>
      </c>
    </row>
    <row r="519" spans="4:4" x14ac:dyDescent="0.25">
      <c r="D519" s="142" t="s">
        <v>63</v>
      </c>
    </row>
    <row r="520" spans="4:4" x14ac:dyDescent="0.25">
      <c r="D520" s="142" t="s">
        <v>63</v>
      </c>
    </row>
    <row r="521" spans="4:4" x14ac:dyDescent="0.25">
      <c r="D521" s="142" t="s">
        <v>63</v>
      </c>
    </row>
    <row r="522" spans="4:4" x14ac:dyDescent="0.25">
      <c r="D522" s="142" t="s">
        <v>63</v>
      </c>
    </row>
    <row r="523" spans="4:4" x14ac:dyDescent="0.25">
      <c r="D523" s="142" t="s">
        <v>63</v>
      </c>
    </row>
    <row r="524" spans="4:4" x14ac:dyDescent="0.25">
      <c r="D524" s="142" t="s">
        <v>63</v>
      </c>
    </row>
    <row r="525" spans="4:4" x14ac:dyDescent="0.25">
      <c r="D525" s="142" t="s">
        <v>63</v>
      </c>
    </row>
    <row r="526" spans="4:4" x14ac:dyDescent="0.25">
      <c r="D526" s="142" t="s">
        <v>63</v>
      </c>
    </row>
    <row r="527" spans="4:4" x14ac:dyDescent="0.25">
      <c r="D527" s="142" t="s">
        <v>63</v>
      </c>
    </row>
    <row r="528" spans="4:4" x14ac:dyDescent="0.25">
      <c r="D528" s="142" t="s">
        <v>63</v>
      </c>
    </row>
    <row r="529" spans="4:4" x14ac:dyDescent="0.25">
      <c r="D529" s="142" t="s">
        <v>63</v>
      </c>
    </row>
    <row r="530" spans="4:4" x14ac:dyDescent="0.25">
      <c r="D530" s="142" t="s">
        <v>63</v>
      </c>
    </row>
    <row r="531" spans="4:4" x14ac:dyDescent="0.25">
      <c r="D531" s="142" t="s">
        <v>63</v>
      </c>
    </row>
    <row r="532" spans="4:4" x14ac:dyDescent="0.25">
      <c r="D532" s="142" t="s">
        <v>63</v>
      </c>
    </row>
    <row r="533" spans="4:4" x14ac:dyDescent="0.25">
      <c r="D533" s="142" t="s">
        <v>63</v>
      </c>
    </row>
    <row r="534" spans="4:4" x14ac:dyDescent="0.25">
      <c r="D534" s="142" t="s">
        <v>63</v>
      </c>
    </row>
    <row r="535" spans="4:4" x14ac:dyDescent="0.25">
      <c r="D535" s="142" t="s">
        <v>63</v>
      </c>
    </row>
    <row r="536" spans="4:4" x14ac:dyDescent="0.25">
      <c r="D536" s="142" t="s">
        <v>63</v>
      </c>
    </row>
    <row r="537" spans="4:4" x14ac:dyDescent="0.25">
      <c r="D537" s="142" t="s">
        <v>63</v>
      </c>
    </row>
    <row r="538" spans="4:4" x14ac:dyDescent="0.25">
      <c r="D538" s="142" t="s">
        <v>63</v>
      </c>
    </row>
    <row r="539" spans="4:4" x14ac:dyDescent="0.25">
      <c r="D539" s="142" t="s">
        <v>63</v>
      </c>
    </row>
    <row r="540" spans="4:4" x14ac:dyDescent="0.25">
      <c r="D540" s="142" t="s">
        <v>63</v>
      </c>
    </row>
    <row r="541" spans="4:4" x14ac:dyDescent="0.25">
      <c r="D541" s="142" t="s">
        <v>63</v>
      </c>
    </row>
    <row r="542" spans="4:4" x14ac:dyDescent="0.25">
      <c r="D542" s="142" t="s">
        <v>63</v>
      </c>
    </row>
    <row r="543" spans="4:4" x14ac:dyDescent="0.25">
      <c r="D543" s="142" t="s">
        <v>63</v>
      </c>
    </row>
    <row r="544" spans="4:4" x14ac:dyDescent="0.25">
      <c r="D544" s="142" t="s">
        <v>63</v>
      </c>
    </row>
    <row r="545" spans="4:4" x14ac:dyDescent="0.25">
      <c r="D545" s="142" t="s">
        <v>63</v>
      </c>
    </row>
    <row r="546" spans="4:4" x14ac:dyDescent="0.25">
      <c r="D546" s="142" t="s">
        <v>63</v>
      </c>
    </row>
    <row r="547" spans="4:4" x14ac:dyDescent="0.25">
      <c r="D547" s="142" t="s">
        <v>63</v>
      </c>
    </row>
    <row r="548" spans="4:4" x14ac:dyDescent="0.25">
      <c r="D548" s="142" t="s">
        <v>63</v>
      </c>
    </row>
    <row r="549" spans="4:4" x14ac:dyDescent="0.25">
      <c r="D549" s="142" t="s">
        <v>63</v>
      </c>
    </row>
    <row r="550" spans="4:4" x14ac:dyDescent="0.25">
      <c r="D550" s="142" t="s">
        <v>63</v>
      </c>
    </row>
    <row r="551" spans="4:4" x14ac:dyDescent="0.25">
      <c r="D551" s="142" t="s">
        <v>63</v>
      </c>
    </row>
    <row r="552" spans="4:4" x14ac:dyDescent="0.25">
      <c r="D552" s="142" t="s">
        <v>63</v>
      </c>
    </row>
    <row r="553" spans="4:4" x14ac:dyDescent="0.25">
      <c r="D553" s="142" t="s">
        <v>63</v>
      </c>
    </row>
  </sheetData>
  <sortState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workbookViewId="0">
      <pane xSplit="2" ySplit="3" topLeftCell="C10"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 bestFit="1" customWidth="1"/>
    <col min="2" max="2" width="32.140625" style="1" bestFit="1" customWidth="1"/>
    <col min="3" max="3" width="3.140625" style="172" bestFit="1" customWidth="1"/>
    <col min="4" max="4" width="2" style="138" bestFit="1" customWidth="1"/>
    <col min="5" max="5" width="12.42578125" style="138" bestFit="1" customWidth="1"/>
    <col min="6" max="6" width="6.28515625" style="138" bestFit="1" customWidth="1"/>
    <col min="7" max="7" width="17.42578125" style="138" bestFit="1" customWidth="1"/>
    <col min="8" max="8" width="13.85546875" style="239"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202" bestFit="1" customWidth="1"/>
    <col min="29" max="29" width="5" style="202" bestFit="1" customWidth="1"/>
    <col min="30" max="30" width="4.42578125" style="202" bestFit="1" customWidth="1"/>
    <col min="31" max="31" width="5.42578125" style="202" bestFit="1" customWidth="1"/>
    <col min="32" max="16384" width="8.85546875" style="1"/>
  </cols>
  <sheetData>
    <row r="1" spans="1:31" x14ac:dyDescent="0.25">
      <c r="A1" s="318" t="s">
        <v>430</v>
      </c>
      <c r="B1" s="318"/>
      <c r="C1" s="159">
        <v>2</v>
      </c>
      <c r="D1" s="138">
        <v>3</v>
      </c>
      <c r="E1" s="138">
        <v>4</v>
      </c>
      <c r="F1" s="138">
        <v>5</v>
      </c>
      <c r="G1" s="138">
        <v>6</v>
      </c>
      <c r="H1" s="239">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9"/>
      <c r="C2" s="169"/>
      <c r="D2" s="170"/>
      <c r="E2" s="145"/>
      <c r="O2" s="324" t="s">
        <v>160</v>
      </c>
      <c r="P2" s="324"/>
      <c r="Q2" s="317" t="s">
        <v>124</v>
      </c>
      <c r="R2" s="317"/>
    </row>
    <row r="3" spans="1:31" s="15" customFormat="1" ht="10.35" customHeight="1" x14ac:dyDescent="0.2">
      <c r="A3" s="26" t="s">
        <v>423</v>
      </c>
      <c r="B3" s="26" t="s">
        <v>122</v>
      </c>
      <c r="C3" s="171" t="s">
        <v>123</v>
      </c>
      <c r="D3" s="140" t="s">
        <v>425</v>
      </c>
      <c r="E3" s="141" t="s">
        <v>121</v>
      </c>
      <c r="F3" s="141" t="s">
        <v>120</v>
      </c>
      <c r="G3" s="141" t="s">
        <v>426</v>
      </c>
      <c r="H3" s="28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203" t="s">
        <v>433</v>
      </c>
      <c r="AA3" s="203" t="s">
        <v>432</v>
      </c>
      <c r="AB3" s="204" t="s">
        <v>434</v>
      </c>
      <c r="AC3" s="203" t="s">
        <v>435</v>
      </c>
      <c r="AD3" s="203" t="s">
        <v>436</v>
      </c>
      <c r="AE3" s="203" t="s">
        <v>437</v>
      </c>
    </row>
    <row r="4" spans="1:31" x14ac:dyDescent="0.25">
      <c r="B4" s="1" t="str">
        <f>CONCATENATE(C4,D4,E4,F4)</f>
        <v>0.01, Combine (200-249 hp) 240 hp</v>
      </c>
      <c r="C4" s="142">
        <v>0.01</v>
      </c>
      <c r="D4" s="138" t="s">
        <v>424</v>
      </c>
      <c r="E4" s="138" t="s">
        <v>407</v>
      </c>
      <c r="F4" s="138" t="s">
        <v>408</v>
      </c>
      <c r="G4" s="138" t="str">
        <f>CONCATENATE(E4,F4)</f>
        <v>Combine (200-249 hp) 240 hp</v>
      </c>
      <c r="H4" s="239">
        <v>350000</v>
      </c>
      <c r="I4" s="1">
        <v>12.35</v>
      </c>
      <c r="J4" s="1">
        <v>30</v>
      </c>
      <c r="K4" s="1">
        <v>25</v>
      </c>
      <c r="L4" s="1">
        <v>12</v>
      </c>
      <c r="M4" s="1">
        <v>200</v>
      </c>
      <c r="N4" s="1">
        <v>0</v>
      </c>
      <c r="O4" s="11">
        <f>M4*L4</f>
        <v>2400</v>
      </c>
      <c r="P4" s="11">
        <v>0</v>
      </c>
      <c r="Q4" s="8">
        <f>(H4*K4/100)/L4</f>
        <v>7291.666666666667</v>
      </c>
      <c r="R4" s="7">
        <f>Q4/M4</f>
        <v>36.458333333333336</v>
      </c>
      <c r="S4" s="2">
        <f>H4*J4/100</f>
        <v>105000</v>
      </c>
      <c r="T4" s="2">
        <f>(H4-S4)/L4</f>
        <v>20416.666666666668</v>
      </c>
      <c r="U4" s="2">
        <f>(S4+H4)/2</f>
        <v>227500</v>
      </c>
      <c r="V4" s="6">
        <f>U4*intir</f>
        <v>20475</v>
      </c>
      <c r="W4" s="6">
        <f>U4*itr</f>
        <v>5460</v>
      </c>
      <c r="X4" s="6">
        <f>T4+V4+W4</f>
        <v>46351.666666666672</v>
      </c>
      <c r="Y4" s="5">
        <f>X4/M4</f>
        <v>231.75833333333335</v>
      </c>
      <c r="Z4" s="205">
        <f>((1.132-0.165*(L4^0.5)-0.0079*(M4^0.5))^2)*H4</f>
        <v>70466.20522411853</v>
      </c>
      <c r="AA4" s="205">
        <f>(H4-Z4)/L4</f>
        <v>23294.482897990121</v>
      </c>
      <c r="AB4" s="205">
        <f t="shared" ref="AB4:AB43" si="0">(Z4+H4)*intir</f>
        <v>37841.95847017067</v>
      </c>
      <c r="AC4" s="205">
        <f t="shared" ref="AC4:AC43" si="1">(Z4+H4)*itr</f>
        <v>10091.188925378845</v>
      </c>
      <c r="AD4" s="205">
        <f>(AA4+AB4+AC4)/M4</f>
        <v>356.13815146769821</v>
      </c>
      <c r="AE4" s="206">
        <f>AD4-Y4</f>
        <v>124.37981813436485</v>
      </c>
    </row>
    <row r="5" spans="1:31" x14ac:dyDescent="0.25">
      <c r="A5" s="1">
        <v>46</v>
      </c>
      <c r="B5" s="1" t="str">
        <f>CONCATENATE(C5,D5,E5,F5)</f>
        <v>0.02, Combine (250-299 hp) 265 hp</v>
      </c>
      <c r="C5" s="142">
        <v>0.02</v>
      </c>
      <c r="D5" s="138" t="s">
        <v>424</v>
      </c>
      <c r="E5" s="138" t="s">
        <v>204</v>
      </c>
      <c r="F5" s="138" t="s">
        <v>159</v>
      </c>
      <c r="G5" s="138" t="str">
        <f t="shared" ref="G5:G43" si="2">CONCATENATE(E5,F5)</f>
        <v>Combine (250-299 hp) 265 hp</v>
      </c>
      <c r="H5" s="288">
        <v>391000</v>
      </c>
      <c r="I5" s="1">
        <v>13.64</v>
      </c>
      <c r="J5" s="1">
        <v>30</v>
      </c>
      <c r="K5" s="1">
        <v>25</v>
      </c>
      <c r="L5" s="1">
        <v>12</v>
      </c>
      <c r="M5" s="1">
        <v>200</v>
      </c>
      <c r="N5" s="1">
        <v>0</v>
      </c>
      <c r="O5" s="11">
        <f>M5*L5</f>
        <v>2400</v>
      </c>
      <c r="P5" s="11">
        <v>1</v>
      </c>
      <c r="Q5" s="8">
        <f>(H5*K5/100)/L5</f>
        <v>8145.833333333333</v>
      </c>
      <c r="R5" s="7">
        <f>Q5/M5</f>
        <v>40.729166666666664</v>
      </c>
      <c r="S5" s="2">
        <f>H5*J5/100</f>
        <v>117300</v>
      </c>
      <c r="T5" s="2">
        <f>(H5-S5)/L5</f>
        <v>22808.333333333332</v>
      </c>
      <c r="U5" s="2">
        <f>(S5+H5)/2</f>
        <v>254150</v>
      </c>
      <c r="V5" s="6">
        <f>U5*intir</f>
        <v>22873.5</v>
      </c>
      <c r="W5" s="6">
        <f>U5*itr</f>
        <v>6099.6</v>
      </c>
      <c r="X5" s="6">
        <f>T5+V5+W5</f>
        <v>51781.433333333327</v>
      </c>
      <c r="Y5" s="5">
        <f>X5/M5</f>
        <v>258.90716666666663</v>
      </c>
      <c r="Z5" s="205">
        <f t="shared" ref="Z5:Z11" si="3">((1.132-0.165*(L5^0.5)-0.0079*(M5^0.5))^2)*H5</f>
        <v>78720.817836086702</v>
      </c>
      <c r="AA5" s="205">
        <f t="shared" ref="AA5:AA43" si="4">(H5-Z5)/L5</f>
        <v>26023.265180326107</v>
      </c>
      <c r="AB5" s="205">
        <f t="shared" si="0"/>
        <v>42274.873605247805</v>
      </c>
      <c r="AC5" s="205">
        <f t="shared" si="1"/>
        <v>11273.299628066081</v>
      </c>
      <c r="AD5" s="205">
        <f t="shared" ref="AD5:AD43" si="5">(AA5+AB5+AC5)/M5</f>
        <v>397.85719206819994</v>
      </c>
      <c r="AE5" s="206">
        <f t="shared" ref="AE5:AE43" si="6">AD5-Y5</f>
        <v>138.95002540153331</v>
      </c>
    </row>
    <row r="6" spans="1:31" x14ac:dyDescent="0.25">
      <c r="A6" s="1">
        <v>47</v>
      </c>
      <c r="B6" s="1" t="str">
        <f t="shared" ref="B6:B43" si="7">CONCATENATE(C6,D6,E6,F6)</f>
        <v>0.03, Combine (300-349 hp) 325 hp</v>
      </c>
      <c r="C6" s="142">
        <v>0.03</v>
      </c>
      <c r="D6" s="138" t="s">
        <v>424</v>
      </c>
      <c r="E6" s="138" t="s">
        <v>205</v>
      </c>
      <c r="F6" s="138" t="s">
        <v>158</v>
      </c>
      <c r="G6" s="138" t="str">
        <f t="shared" si="2"/>
        <v>Combine (300-349 hp) 325 hp</v>
      </c>
      <c r="H6" s="288">
        <v>395000</v>
      </c>
      <c r="I6" s="1">
        <v>16.73</v>
      </c>
      <c r="J6" s="1">
        <v>30</v>
      </c>
      <c r="K6" s="1">
        <v>25</v>
      </c>
      <c r="L6" s="1">
        <v>12</v>
      </c>
      <c r="M6" s="1">
        <v>300</v>
      </c>
      <c r="N6" s="1">
        <v>0</v>
      </c>
      <c r="O6" s="11">
        <f t="shared" ref="O6:O43" si="8">M6*L6</f>
        <v>3600</v>
      </c>
      <c r="P6" s="11">
        <v>1</v>
      </c>
      <c r="Q6" s="8">
        <f t="shared" ref="Q6:Q43" si="9">(H6*K6/100)/L6</f>
        <v>8229.1666666666661</v>
      </c>
      <c r="R6" s="7">
        <f t="shared" ref="R6:R43" si="10">Q6/M6</f>
        <v>27.430555555555554</v>
      </c>
      <c r="S6" s="2">
        <f t="shared" ref="S6:S43" si="11">H6*J6/100</f>
        <v>118500</v>
      </c>
      <c r="T6" s="2">
        <f t="shared" ref="T6:T43" si="12">(H6-S6)/L6</f>
        <v>23041.666666666668</v>
      </c>
      <c r="U6" s="2">
        <f t="shared" ref="U6:U43" si="13">(S6+H6)/2</f>
        <v>256750</v>
      </c>
      <c r="V6" s="6">
        <f t="shared" ref="V6:V43" si="14">U6*intir</f>
        <v>23107.5</v>
      </c>
      <c r="W6" s="6">
        <f t="shared" ref="W6:W43" si="15">U6*itr</f>
        <v>6162</v>
      </c>
      <c r="X6" s="6">
        <f t="shared" ref="X6:X43" si="16">T6+V6+W6</f>
        <v>52311.166666666672</v>
      </c>
      <c r="Y6" s="5">
        <f t="shared" ref="Y6:Y43" si="17">X6/M6</f>
        <v>174.37055555555557</v>
      </c>
      <c r="Z6" s="205">
        <f t="shared" si="3"/>
        <v>70874.660957187487</v>
      </c>
      <c r="AA6" s="205">
        <f t="shared" si="4"/>
        <v>27010.444920234379</v>
      </c>
      <c r="AB6" s="205">
        <f t="shared" si="0"/>
        <v>41928.719486146874</v>
      </c>
      <c r="AC6" s="205">
        <f t="shared" si="1"/>
        <v>11180.9918629725</v>
      </c>
      <c r="AD6" s="205">
        <f t="shared" si="5"/>
        <v>267.06718756451249</v>
      </c>
      <c r="AE6" s="206">
        <f t="shared" si="6"/>
        <v>92.696632008956925</v>
      </c>
    </row>
    <row r="7" spans="1:31" x14ac:dyDescent="0.25">
      <c r="A7" s="1">
        <v>48</v>
      </c>
      <c r="B7" s="1" t="str">
        <f t="shared" si="7"/>
        <v>0.04, Combine (350-399 hp) 355 hp</v>
      </c>
      <c r="C7" s="142">
        <v>0.04</v>
      </c>
      <c r="D7" s="138" t="s">
        <v>424</v>
      </c>
      <c r="E7" s="138" t="s">
        <v>206</v>
      </c>
      <c r="F7" s="138" t="s">
        <v>157</v>
      </c>
      <c r="G7" s="138" t="str">
        <f t="shared" si="2"/>
        <v>Combine (350-399 hp) 355 hp</v>
      </c>
      <c r="H7" s="288">
        <v>401000</v>
      </c>
      <c r="I7" s="1">
        <v>18.27</v>
      </c>
      <c r="J7" s="1">
        <v>30</v>
      </c>
      <c r="K7" s="1">
        <v>25</v>
      </c>
      <c r="L7" s="1">
        <v>12</v>
      </c>
      <c r="M7" s="1">
        <v>300</v>
      </c>
      <c r="N7" s="1">
        <v>0</v>
      </c>
      <c r="O7" s="11">
        <f t="shared" si="8"/>
        <v>3600</v>
      </c>
      <c r="P7" s="11">
        <v>1</v>
      </c>
      <c r="Q7" s="8">
        <f t="shared" si="9"/>
        <v>8354.1666666666661</v>
      </c>
      <c r="R7" s="7">
        <f t="shared" si="10"/>
        <v>27.847222222222221</v>
      </c>
      <c r="S7" s="2">
        <f t="shared" si="11"/>
        <v>120300</v>
      </c>
      <c r="T7" s="2">
        <f t="shared" si="12"/>
        <v>23391.666666666668</v>
      </c>
      <c r="U7" s="2">
        <f t="shared" si="13"/>
        <v>260650</v>
      </c>
      <c r="V7" s="6">
        <f t="shared" si="14"/>
        <v>23458.5</v>
      </c>
      <c r="W7" s="6">
        <f t="shared" si="15"/>
        <v>6255.6</v>
      </c>
      <c r="X7" s="6">
        <f t="shared" si="16"/>
        <v>53105.76666666667</v>
      </c>
      <c r="Y7" s="5">
        <f t="shared" si="17"/>
        <v>177.01922222222223</v>
      </c>
      <c r="Z7" s="205">
        <f t="shared" si="3"/>
        <v>71951.238085651086</v>
      </c>
      <c r="AA7" s="205">
        <f t="shared" si="4"/>
        <v>27420.730159529077</v>
      </c>
      <c r="AB7" s="205">
        <f t="shared" si="0"/>
        <v>42565.611427708594</v>
      </c>
      <c r="AC7" s="205">
        <f t="shared" si="1"/>
        <v>11350.829714055626</v>
      </c>
      <c r="AD7" s="205">
        <f t="shared" si="5"/>
        <v>271.12390433764432</v>
      </c>
      <c r="AE7" s="206">
        <f t="shared" si="6"/>
        <v>94.104682115422094</v>
      </c>
    </row>
    <row r="8" spans="1:31" x14ac:dyDescent="0.25">
      <c r="A8" s="1">
        <v>62</v>
      </c>
      <c r="B8" s="1" t="str">
        <f t="shared" si="7"/>
        <v>0.05, Combine (400-449 hp) 425 hp</v>
      </c>
      <c r="C8" s="142">
        <v>0.05</v>
      </c>
      <c r="D8" s="138" t="s">
        <v>424</v>
      </c>
      <c r="E8" s="138" t="s">
        <v>207</v>
      </c>
      <c r="F8" s="138" t="s">
        <v>156</v>
      </c>
      <c r="G8" s="138" t="str">
        <f t="shared" si="2"/>
        <v>Combine (400-449 hp) 425 hp</v>
      </c>
      <c r="H8" s="288">
        <v>436000</v>
      </c>
      <c r="I8" s="1">
        <v>21.876000000000001</v>
      </c>
      <c r="J8" s="1">
        <v>30</v>
      </c>
      <c r="K8" s="1">
        <v>25</v>
      </c>
      <c r="L8" s="1">
        <v>12</v>
      </c>
      <c r="M8" s="1">
        <v>300</v>
      </c>
      <c r="N8" s="1">
        <v>0</v>
      </c>
      <c r="O8" s="11">
        <f t="shared" si="8"/>
        <v>3600</v>
      </c>
      <c r="P8" s="11">
        <v>1</v>
      </c>
      <c r="Q8" s="8">
        <f t="shared" si="9"/>
        <v>9083.3333333333339</v>
      </c>
      <c r="R8" s="7">
        <f t="shared" si="10"/>
        <v>30.277777777777779</v>
      </c>
      <c r="S8" s="2">
        <f t="shared" si="11"/>
        <v>130800</v>
      </c>
      <c r="T8" s="2">
        <f t="shared" si="12"/>
        <v>25433.333333333332</v>
      </c>
      <c r="U8" s="2">
        <f t="shared" si="13"/>
        <v>283400</v>
      </c>
      <c r="V8" s="6">
        <f t="shared" si="14"/>
        <v>25506</v>
      </c>
      <c r="W8" s="6">
        <f t="shared" si="15"/>
        <v>6801.6</v>
      </c>
      <c r="X8" s="6">
        <f t="shared" si="16"/>
        <v>57740.933333333327</v>
      </c>
      <c r="Y8" s="5">
        <f t="shared" si="17"/>
        <v>192.46977777777775</v>
      </c>
      <c r="Z8" s="205">
        <f t="shared" si="3"/>
        <v>78231.271335022131</v>
      </c>
      <c r="AA8" s="205">
        <f t="shared" si="4"/>
        <v>29814.060722081489</v>
      </c>
      <c r="AB8" s="205">
        <f t="shared" si="0"/>
        <v>46280.81442015199</v>
      </c>
      <c r="AC8" s="205">
        <f t="shared" si="1"/>
        <v>12341.550512040531</v>
      </c>
      <c r="AD8" s="205">
        <f t="shared" si="5"/>
        <v>294.78808551424669</v>
      </c>
      <c r="AE8" s="206">
        <f t="shared" si="6"/>
        <v>102.31830773646894</v>
      </c>
    </row>
    <row r="9" spans="1:31" x14ac:dyDescent="0.25">
      <c r="A9" s="1">
        <v>63</v>
      </c>
      <c r="B9" s="1" t="str">
        <f t="shared" si="7"/>
        <v>0.06, Combine (450-499 hp) 475 hp</v>
      </c>
      <c r="C9" s="142">
        <v>0.06</v>
      </c>
      <c r="D9" s="138" t="s">
        <v>424</v>
      </c>
      <c r="E9" s="138" t="s">
        <v>242</v>
      </c>
      <c r="F9" s="138" t="s">
        <v>155</v>
      </c>
      <c r="G9" s="138" t="str">
        <f t="shared" si="2"/>
        <v>Combine (450-499 hp) 475 hp</v>
      </c>
      <c r="H9" s="288">
        <v>462000</v>
      </c>
      <c r="I9" s="1">
        <v>24.449000000000002</v>
      </c>
      <c r="J9" s="1">
        <v>30</v>
      </c>
      <c r="K9" s="1">
        <v>25</v>
      </c>
      <c r="L9" s="1">
        <v>12</v>
      </c>
      <c r="M9" s="1">
        <v>300</v>
      </c>
      <c r="N9" s="1">
        <v>0</v>
      </c>
      <c r="O9" s="11">
        <f t="shared" si="8"/>
        <v>3600</v>
      </c>
      <c r="P9" s="11">
        <v>1</v>
      </c>
      <c r="Q9" s="8">
        <f t="shared" si="9"/>
        <v>9625</v>
      </c>
      <c r="R9" s="7">
        <f t="shared" si="10"/>
        <v>32.083333333333336</v>
      </c>
      <c r="S9" s="2">
        <f t="shared" si="11"/>
        <v>138600</v>
      </c>
      <c r="T9" s="2">
        <f t="shared" si="12"/>
        <v>26950</v>
      </c>
      <c r="U9" s="2">
        <f t="shared" si="13"/>
        <v>300300</v>
      </c>
      <c r="V9" s="6">
        <f t="shared" si="14"/>
        <v>27027</v>
      </c>
      <c r="W9" s="6">
        <f t="shared" si="15"/>
        <v>7207.2</v>
      </c>
      <c r="X9" s="6">
        <f t="shared" si="16"/>
        <v>61184.2</v>
      </c>
      <c r="Y9" s="5">
        <f t="shared" si="17"/>
        <v>203.94733333333332</v>
      </c>
      <c r="Z9" s="205">
        <f t="shared" si="3"/>
        <v>82896.438891697762</v>
      </c>
      <c r="AA9" s="205">
        <f t="shared" si="4"/>
        <v>31591.963425691851</v>
      </c>
      <c r="AB9" s="205">
        <f t="shared" si="0"/>
        <v>49040.679500252802</v>
      </c>
      <c r="AC9" s="205">
        <f t="shared" si="1"/>
        <v>13077.514533400747</v>
      </c>
      <c r="AD9" s="205">
        <f t="shared" si="5"/>
        <v>312.36719153115126</v>
      </c>
      <c r="AE9" s="206">
        <f t="shared" si="6"/>
        <v>108.41985819781794</v>
      </c>
    </row>
    <row r="10" spans="1:31" x14ac:dyDescent="0.25">
      <c r="A10" s="1">
        <v>45</v>
      </c>
      <c r="B10" s="1" t="str">
        <f t="shared" si="7"/>
        <v>0.07, Cotton Stripper 173 hp</v>
      </c>
      <c r="C10" s="142">
        <v>7.0000000000000007E-2</v>
      </c>
      <c r="D10" s="138" t="s">
        <v>424</v>
      </c>
      <c r="E10" s="138" t="s">
        <v>208</v>
      </c>
      <c r="F10" s="138" t="s">
        <v>154</v>
      </c>
      <c r="G10" s="138" t="str">
        <f t="shared" si="2"/>
        <v>Cotton Stripper 173 hp</v>
      </c>
      <c r="H10" s="289">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5">
        <f t="shared" si="3"/>
        <v>55162.472826241945</v>
      </c>
      <c r="AA10" s="205">
        <f t="shared" si="4"/>
        <v>15604.690896719756</v>
      </c>
      <c r="AB10" s="205">
        <f t="shared" si="0"/>
        <v>21164.622554361777</v>
      </c>
      <c r="AC10" s="205">
        <f t="shared" si="1"/>
        <v>5643.8993478298071</v>
      </c>
      <c r="AD10" s="205">
        <f t="shared" si="5"/>
        <v>212.06606399455669</v>
      </c>
      <c r="AE10" s="206">
        <f t="shared" si="6"/>
        <v>66.626063994556688</v>
      </c>
    </row>
    <row r="11" spans="1:31" x14ac:dyDescent="0.25">
      <c r="A11" s="1">
        <v>64</v>
      </c>
      <c r="B11" s="1" t="str">
        <f t="shared" si="7"/>
        <v>0.08, Tractor (20-39 hp) MFWD 30</v>
      </c>
      <c r="C11" s="142">
        <v>0.08</v>
      </c>
      <c r="D11" s="138" t="s">
        <v>424</v>
      </c>
      <c r="E11" s="138" t="s">
        <v>243</v>
      </c>
      <c r="F11" s="138" t="s">
        <v>153</v>
      </c>
      <c r="G11" s="138" t="str">
        <f t="shared" si="2"/>
        <v>Tractor (20-39 hp) MFWD 30</v>
      </c>
      <c r="H11" s="233">
        <v>30100</v>
      </c>
      <c r="I11" s="1">
        <v>1.544</v>
      </c>
      <c r="J11" s="1">
        <v>20</v>
      </c>
      <c r="K11" s="1">
        <v>75</v>
      </c>
      <c r="L11" s="1">
        <v>14</v>
      </c>
      <c r="M11" s="1">
        <v>600</v>
      </c>
      <c r="N11" s="1">
        <v>0</v>
      </c>
      <c r="O11" s="11">
        <f t="shared" si="8"/>
        <v>8400</v>
      </c>
      <c r="P11" s="11">
        <v>1</v>
      </c>
      <c r="Q11" s="8">
        <f t="shared" si="9"/>
        <v>1612.5</v>
      </c>
      <c r="R11" s="7">
        <f t="shared" si="10"/>
        <v>2.6875</v>
      </c>
      <c r="S11" s="2">
        <f t="shared" si="11"/>
        <v>6020</v>
      </c>
      <c r="T11" s="2">
        <f t="shared" si="12"/>
        <v>1720</v>
      </c>
      <c r="U11" s="2">
        <f t="shared" si="13"/>
        <v>18060</v>
      </c>
      <c r="V11" s="6">
        <f t="shared" si="14"/>
        <v>1625.3999999999999</v>
      </c>
      <c r="W11" s="6">
        <f t="shared" si="15"/>
        <v>433.44</v>
      </c>
      <c r="X11" s="6">
        <f t="shared" si="16"/>
        <v>3778.8399999999997</v>
      </c>
      <c r="Y11" s="5">
        <f t="shared" si="17"/>
        <v>6.2980666666666663</v>
      </c>
      <c r="Z11" s="205">
        <f t="shared" si="3"/>
        <v>3103.7923794845219</v>
      </c>
      <c r="AA11" s="205">
        <f t="shared" si="4"/>
        <v>1928.3005443225341</v>
      </c>
      <c r="AB11" s="205">
        <f t="shared" si="0"/>
        <v>2988.3413141536066</v>
      </c>
      <c r="AC11" s="205">
        <f t="shared" si="1"/>
        <v>796.8910171076285</v>
      </c>
      <c r="AD11" s="205">
        <f t="shared" si="5"/>
        <v>9.5225547926396157</v>
      </c>
      <c r="AE11" s="206">
        <f t="shared" si="6"/>
        <v>3.2244881259729494</v>
      </c>
    </row>
    <row r="12" spans="1:31" x14ac:dyDescent="0.25">
      <c r="A12" s="1">
        <v>65</v>
      </c>
      <c r="B12" s="1" t="str">
        <f t="shared" si="7"/>
        <v>0.09, Tractor (20-39 hp) MFWD 30</v>
      </c>
      <c r="C12" s="142">
        <v>0.09</v>
      </c>
      <c r="D12" s="138" t="s">
        <v>424</v>
      </c>
      <c r="E12" s="138" t="s">
        <v>243</v>
      </c>
      <c r="F12" s="138" t="s">
        <v>153</v>
      </c>
      <c r="G12" s="138" t="str">
        <f t="shared" si="2"/>
        <v>Tractor (20-39 hp) MFWD 30</v>
      </c>
      <c r="H12" s="233">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5">
        <f>((0.981-0.093*(L12^0.5)-0.0058*(M12^0.5))^2)*H12</f>
        <v>5013.5750431419874</v>
      </c>
      <c r="AA12" s="205">
        <f t="shared" si="4"/>
        <v>1127.6017826327152</v>
      </c>
      <c r="AB12" s="205">
        <f t="shared" si="0"/>
        <v>2323.2217538827786</v>
      </c>
      <c r="AC12" s="205">
        <f t="shared" si="1"/>
        <v>619.52580103540777</v>
      </c>
      <c r="AD12" s="205">
        <f t="shared" si="5"/>
        <v>6.783915562584836</v>
      </c>
      <c r="AE12" s="206">
        <f t="shared" si="6"/>
        <v>2.431763181632455</v>
      </c>
    </row>
    <row r="13" spans="1:31" x14ac:dyDescent="0.25">
      <c r="A13" s="1">
        <v>36</v>
      </c>
      <c r="B13" s="1" t="str">
        <f t="shared" si="7"/>
        <v>0.1, Tractor (40-59 hp) 2WD 50</v>
      </c>
      <c r="C13" s="142">
        <v>0.1</v>
      </c>
      <c r="D13" s="138" t="s">
        <v>424</v>
      </c>
      <c r="E13" s="138" t="s">
        <v>244</v>
      </c>
      <c r="F13" s="138" t="s">
        <v>152</v>
      </c>
      <c r="G13" s="138" t="str">
        <f t="shared" si="2"/>
        <v>Tractor (40-59 hp) 2WD 50</v>
      </c>
      <c r="H13" s="233">
        <v>21700</v>
      </c>
      <c r="I13" s="1">
        <v>2.5735999999999999</v>
      </c>
      <c r="J13" s="1">
        <v>20</v>
      </c>
      <c r="K13" s="1">
        <v>75</v>
      </c>
      <c r="L13" s="1">
        <v>14</v>
      </c>
      <c r="M13" s="1">
        <v>600</v>
      </c>
      <c r="N13" s="1">
        <v>0</v>
      </c>
      <c r="O13" s="11">
        <f t="shared" si="8"/>
        <v>8400</v>
      </c>
      <c r="P13" s="11">
        <v>1</v>
      </c>
      <c r="Q13" s="8">
        <f t="shared" si="9"/>
        <v>1162.5</v>
      </c>
      <c r="R13" s="7">
        <f t="shared" si="10"/>
        <v>1.9375</v>
      </c>
      <c r="S13" s="2">
        <f t="shared" si="11"/>
        <v>4340</v>
      </c>
      <c r="T13" s="2">
        <f t="shared" si="12"/>
        <v>1240</v>
      </c>
      <c r="U13" s="2">
        <f t="shared" si="13"/>
        <v>13020</v>
      </c>
      <c r="V13" s="6">
        <f t="shared" si="14"/>
        <v>1171.8</v>
      </c>
      <c r="W13" s="6">
        <f t="shared" si="15"/>
        <v>312.48</v>
      </c>
      <c r="X13" s="6">
        <f t="shared" si="16"/>
        <v>2724.28</v>
      </c>
      <c r="Y13" s="5">
        <f t="shared" si="17"/>
        <v>4.5404666666666671</v>
      </c>
      <c r="Z13" s="205">
        <f t="shared" ref="Z13:Z20" si="18">((0.981-0.093*(L13^0.5)-0.0058*(M13^0.5))^2)*H13</f>
        <v>5230.5085786625541</v>
      </c>
      <c r="AA13" s="205">
        <f t="shared" si="4"/>
        <v>1176.3922443812462</v>
      </c>
      <c r="AB13" s="205">
        <f t="shared" si="0"/>
        <v>2423.7457720796297</v>
      </c>
      <c r="AC13" s="205">
        <f t="shared" si="1"/>
        <v>646.3322058879013</v>
      </c>
      <c r="AD13" s="205">
        <f t="shared" si="5"/>
        <v>7.0774503705812961</v>
      </c>
      <c r="AE13" s="206">
        <f t="shared" si="6"/>
        <v>2.536983703914629</v>
      </c>
    </row>
    <row r="14" spans="1:31" x14ac:dyDescent="0.25">
      <c r="A14" s="1">
        <v>37</v>
      </c>
      <c r="B14" s="1" t="str">
        <f t="shared" si="7"/>
        <v>0.11, Tractor (40-59 hp) MFWD 50</v>
      </c>
      <c r="C14" s="142">
        <v>0.11</v>
      </c>
      <c r="D14" s="138" t="s">
        <v>424</v>
      </c>
      <c r="E14" s="138" t="s">
        <v>244</v>
      </c>
      <c r="F14" s="138" t="s">
        <v>151</v>
      </c>
      <c r="G14" s="138" t="str">
        <f t="shared" si="2"/>
        <v>Tractor (40-59 hp) MFWD 50</v>
      </c>
      <c r="H14" s="233">
        <v>27200</v>
      </c>
      <c r="I14" s="1">
        <v>2.5735999999999999</v>
      </c>
      <c r="J14" s="1">
        <v>20</v>
      </c>
      <c r="K14" s="1">
        <v>75</v>
      </c>
      <c r="L14" s="1">
        <v>14</v>
      </c>
      <c r="M14" s="1">
        <v>600</v>
      </c>
      <c r="N14" s="1">
        <v>0</v>
      </c>
      <c r="O14" s="11">
        <f t="shared" si="8"/>
        <v>8400</v>
      </c>
      <c r="P14" s="11">
        <v>1</v>
      </c>
      <c r="Q14" s="8">
        <f t="shared" si="9"/>
        <v>1457.1428571428571</v>
      </c>
      <c r="R14" s="7">
        <f t="shared" si="10"/>
        <v>2.4285714285714284</v>
      </c>
      <c r="S14" s="2">
        <f t="shared" si="11"/>
        <v>5440</v>
      </c>
      <c r="T14" s="2">
        <f t="shared" si="12"/>
        <v>1554.2857142857142</v>
      </c>
      <c r="U14" s="2">
        <f t="shared" si="13"/>
        <v>16320</v>
      </c>
      <c r="V14" s="6">
        <f t="shared" si="14"/>
        <v>1468.8</v>
      </c>
      <c r="W14" s="6">
        <f t="shared" si="15"/>
        <v>391.68</v>
      </c>
      <c r="X14" s="6">
        <f t="shared" si="16"/>
        <v>3414.7657142857138</v>
      </c>
      <c r="Y14" s="5">
        <f t="shared" si="17"/>
        <v>5.6912761904761897</v>
      </c>
      <c r="Z14" s="205">
        <f t="shared" si="18"/>
        <v>6556.2135179549068</v>
      </c>
      <c r="AA14" s="205">
        <f t="shared" si="4"/>
        <v>1474.5561772889353</v>
      </c>
      <c r="AB14" s="205">
        <f t="shared" si="0"/>
        <v>3038.0592166159418</v>
      </c>
      <c r="AC14" s="205">
        <f t="shared" si="1"/>
        <v>810.14912443091782</v>
      </c>
      <c r="AD14" s="205">
        <f t="shared" si="5"/>
        <v>8.8712741972263256</v>
      </c>
      <c r="AE14" s="206">
        <f t="shared" si="6"/>
        <v>3.1799980067501359</v>
      </c>
    </row>
    <row r="15" spans="1:31" x14ac:dyDescent="0.25">
      <c r="A15" s="1">
        <v>1</v>
      </c>
      <c r="B15" s="1" t="str">
        <f t="shared" si="7"/>
        <v>0.12, Tractor (40-59 hp) 2WD 50</v>
      </c>
      <c r="C15" s="142">
        <v>0.12</v>
      </c>
      <c r="D15" s="138" t="s">
        <v>424</v>
      </c>
      <c r="E15" s="138" t="s">
        <v>244</v>
      </c>
      <c r="F15" s="138" t="s">
        <v>152</v>
      </c>
      <c r="G15" s="138" t="str">
        <f t="shared" si="2"/>
        <v>Tractor (40-59 hp) 2WD 50</v>
      </c>
      <c r="H15" s="233">
        <v>30900</v>
      </c>
      <c r="I15" s="1">
        <v>2.5735999999999999</v>
      </c>
      <c r="J15" s="1">
        <v>20</v>
      </c>
      <c r="K15" s="1">
        <v>75</v>
      </c>
      <c r="L15" s="1">
        <v>14</v>
      </c>
      <c r="M15" s="1">
        <v>600</v>
      </c>
      <c r="N15" s="1">
        <v>0</v>
      </c>
      <c r="O15" s="11">
        <f t="shared" si="8"/>
        <v>8400</v>
      </c>
      <c r="P15" s="11">
        <v>1</v>
      </c>
      <c r="Q15" s="8">
        <f t="shared" si="9"/>
        <v>1655.3571428571429</v>
      </c>
      <c r="R15" s="7">
        <f t="shared" si="10"/>
        <v>2.7589285714285716</v>
      </c>
      <c r="S15" s="2">
        <f t="shared" si="11"/>
        <v>6180</v>
      </c>
      <c r="T15" s="2">
        <f t="shared" si="12"/>
        <v>1765.7142857142858</v>
      </c>
      <c r="U15" s="2">
        <f t="shared" si="13"/>
        <v>18540</v>
      </c>
      <c r="V15" s="6">
        <f t="shared" si="14"/>
        <v>1668.6</v>
      </c>
      <c r="W15" s="6">
        <f t="shared" si="15"/>
        <v>444.96000000000004</v>
      </c>
      <c r="X15" s="6">
        <f t="shared" si="16"/>
        <v>3879.2742857142857</v>
      </c>
      <c r="Y15" s="5">
        <f t="shared" si="17"/>
        <v>6.4654571428571428</v>
      </c>
      <c r="Z15" s="205">
        <f t="shared" si="18"/>
        <v>7448.0513862061262</v>
      </c>
      <c r="AA15" s="205">
        <f t="shared" si="4"/>
        <v>1675.1391866995623</v>
      </c>
      <c r="AB15" s="205">
        <f t="shared" si="0"/>
        <v>3451.3246247585512</v>
      </c>
      <c r="AC15" s="205">
        <f t="shared" si="1"/>
        <v>920.35323326894706</v>
      </c>
      <c r="AD15" s="205">
        <f t="shared" si="5"/>
        <v>10.078028407878435</v>
      </c>
      <c r="AE15" s="206">
        <f t="shared" si="6"/>
        <v>3.612571265021292</v>
      </c>
    </row>
    <row r="16" spans="1:31" x14ac:dyDescent="0.25">
      <c r="A16" s="1">
        <v>35</v>
      </c>
      <c r="B16" s="1" t="str">
        <f t="shared" si="7"/>
        <v>0.13, Tractor (40-59 hp) MFWD 50</v>
      </c>
      <c r="C16" s="142">
        <v>0.13</v>
      </c>
      <c r="D16" s="138" t="s">
        <v>424</v>
      </c>
      <c r="E16" s="138" t="s">
        <v>244</v>
      </c>
      <c r="F16" s="138" t="s">
        <v>151</v>
      </c>
      <c r="G16" s="138" t="str">
        <f t="shared" si="2"/>
        <v>Tractor (40-59 hp) MFWD 50</v>
      </c>
      <c r="H16" s="233">
        <v>41400</v>
      </c>
      <c r="I16" s="1">
        <v>2.5735999999999999</v>
      </c>
      <c r="J16" s="1">
        <v>20</v>
      </c>
      <c r="K16" s="1">
        <v>75</v>
      </c>
      <c r="L16" s="1">
        <v>14</v>
      </c>
      <c r="M16" s="1">
        <v>600</v>
      </c>
      <c r="N16" s="1">
        <v>0</v>
      </c>
      <c r="O16" s="11">
        <f t="shared" si="8"/>
        <v>8400</v>
      </c>
      <c r="P16" s="11">
        <v>1</v>
      </c>
      <c r="Q16" s="8">
        <f t="shared" si="9"/>
        <v>2217.8571428571427</v>
      </c>
      <c r="R16" s="7">
        <f t="shared" si="10"/>
        <v>3.6964285714285712</v>
      </c>
      <c r="S16" s="2">
        <f t="shared" si="11"/>
        <v>8280</v>
      </c>
      <c r="T16" s="2">
        <f t="shared" si="12"/>
        <v>2365.7142857142858</v>
      </c>
      <c r="U16" s="2">
        <f t="shared" si="13"/>
        <v>24840</v>
      </c>
      <c r="V16" s="6">
        <f t="shared" si="14"/>
        <v>2235.6</v>
      </c>
      <c r="W16" s="6">
        <f t="shared" si="15"/>
        <v>596.16</v>
      </c>
      <c r="X16" s="6">
        <f t="shared" si="16"/>
        <v>5197.4742857142855</v>
      </c>
      <c r="Y16" s="5">
        <f t="shared" si="17"/>
        <v>8.6624571428571429</v>
      </c>
      <c r="Z16" s="205">
        <f t="shared" si="18"/>
        <v>9978.9426339460715</v>
      </c>
      <c r="AA16" s="205">
        <f t="shared" si="4"/>
        <v>2244.3612404324235</v>
      </c>
      <c r="AB16" s="205">
        <f t="shared" si="0"/>
        <v>4624.1048370551462</v>
      </c>
      <c r="AC16" s="205">
        <f t="shared" si="1"/>
        <v>1233.0946232147057</v>
      </c>
      <c r="AD16" s="205">
        <f t="shared" si="5"/>
        <v>13.502601167837126</v>
      </c>
      <c r="AE16" s="206">
        <f t="shared" si="6"/>
        <v>4.840144024979983</v>
      </c>
    </row>
    <row r="17" spans="1:31" x14ac:dyDescent="0.25">
      <c r="A17" s="1">
        <v>38</v>
      </c>
      <c r="B17" s="1" t="str">
        <f t="shared" si="7"/>
        <v>0.14, Tractor (60-89 hp) 2WD 75</v>
      </c>
      <c r="C17" s="142">
        <v>0.14000000000000001</v>
      </c>
      <c r="D17" s="138" t="s">
        <v>424</v>
      </c>
      <c r="E17" s="138" t="s">
        <v>245</v>
      </c>
      <c r="F17" s="138" t="s">
        <v>150</v>
      </c>
      <c r="G17" s="138" t="str">
        <f t="shared" si="2"/>
        <v>Tractor (60-89 hp) 2WD 75</v>
      </c>
      <c r="H17" s="233">
        <v>53200</v>
      </c>
      <c r="I17" s="1">
        <v>3.8603999999999998</v>
      </c>
      <c r="J17" s="1">
        <v>20</v>
      </c>
      <c r="K17" s="1">
        <v>75</v>
      </c>
      <c r="L17" s="1">
        <v>14</v>
      </c>
      <c r="M17" s="1">
        <v>600</v>
      </c>
      <c r="N17" s="1">
        <v>0</v>
      </c>
      <c r="O17" s="11">
        <f t="shared" si="8"/>
        <v>8400</v>
      </c>
      <c r="P17" s="11">
        <v>1</v>
      </c>
      <c r="Q17" s="8">
        <f t="shared" si="9"/>
        <v>2850</v>
      </c>
      <c r="R17" s="7">
        <f t="shared" si="10"/>
        <v>4.75</v>
      </c>
      <c r="S17" s="2">
        <f t="shared" si="11"/>
        <v>10640</v>
      </c>
      <c r="T17" s="2">
        <f t="shared" si="12"/>
        <v>3040</v>
      </c>
      <c r="U17" s="2">
        <f t="shared" si="13"/>
        <v>31920</v>
      </c>
      <c r="V17" s="6">
        <f t="shared" si="14"/>
        <v>2872.7999999999997</v>
      </c>
      <c r="W17" s="6">
        <f t="shared" si="15"/>
        <v>766.08</v>
      </c>
      <c r="X17" s="6">
        <f t="shared" si="16"/>
        <v>6678.8799999999992</v>
      </c>
      <c r="Y17" s="5">
        <f t="shared" si="17"/>
        <v>11.131466666666665</v>
      </c>
      <c r="Z17" s="205">
        <f t="shared" si="18"/>
        <v>12823.182321882392</v>
      </c>
      <c r="AA17" s="205">
        <f t="shared" si="4"/>
        <v>2884.058405579829</v>
      </c>
      <c r="AB17" s="205">
        <f t="shared" si="0"/>
        <v>5942.086408969416</v>
      </c>
      <c r="AC17" s="205">
        <f t="shared" si="1"/>
        <v>1584.5563757251775</v>
      </c>
      <c r="AD17" s="205">
        <f t="shared" si="5"/>
        <v>17.351168650457371</v>
      </c>
      <c r="AE17" s="206">
        <f t="shared" si="6"/>
        <v>6.2197019837907064</v>
      </c>
    </row>
    <row r="18" spans="1:31" x14ac:dyDescent="0.25">
      <c r="A18" s="1">
        <v>40</v>
      </c>
      <c r="B18" s="1" t="str">
        <f t="shared" si="7"/>
        <v>0.15, Tractor (60-89 hp) MFWD 75</v>
      </c>
      <c r="C18" s="142">
        <v>0.15</v>
      </c>
      <c r="D18" s="138" t="s">
        <v>424</v>
      </c>
      <c r="E18" s="138" t="s">
        <v>245</v>
      </c>
      <c r="F18" s="138" t="s">
        <v>149</v>
      </c>
      <c r="G18" s="138" t="str">
        <f t="shared" si="2"/>
        <v>Tractor (60-89 hp) MFWD 75</v>
      </c>
      <c r="H18" s="233">
        <v>57600</v>
      </c>
      <c r="I18" s="1">
        <v>3.8603999999999998</v>
      </c>
      <c r="J18" s="1">
        <v>20</v>
      </c>
      <c r="K18" s="1">
        <v>75</v>
      </c>
      <c r="L18" s="1">
        <v>14</v>
      </c>
      <c r="M18" s="1">
        <v>600</v>
      </c>
      <c r="N18" s="1">
        <v>0</v>
      </c>
      <c r="O18" s="11">
        <f t="shared" si="8"/>
        <v>8400</v>
      </c>
      <c r="P18" s="11">
        <v>1</v>
      </c>
      <c r="Q18" s="8">
        <f t="shared" si="9"/>
        <v>3085.7142857142858</v>
      </c>
      <c r="R18" s="7">
        <f t="shared" si="10"/>
        <v>5.1428571428571432</v>
      </c>
      <c r="S18" s="2">
        <f t="shared" si="11"/>
        <v>11520</v>
      </c>
      <c r="T18" s="2">
        <f t="shared" si="12"/>
        <v>3291.4285714285716</v>
      </c>
      <c r="U18" s="2">
        <f t="shared" si="13"/>
        <v>34560</v>
      </c>
      <c r="V18" s="6">
        <f t="shared" si="14"/>
        <v>3110.4</v>
      </c>
      <c r="W18" s="6">
        <f t="shared" si="15"/>
        <v>829.44</v>
      </c>
      <c r="X18" s="6">
        <f t="shared" si="16"/>
        <v>7231.2685714285726</v>
      </c>
      <c r="Y18" s="5">
        <f t="shared" si="17"/>
        <v>12.052114285714287</v>
      </c>
      <c r="Z18" s="205">
        <f t="shared" si="18"/>
        <v>13883.746273316274</v>
      </c>
      <c r="AA18" s="205">
        <f t="shared" si="4"/>
        <v>3122.5895519059804</v>
      </c>
      <c r="AB18" s="205">
        <f t="shared" si="0"/>
        <v>6433.5371645984642</v>
      </c>
      <c r="AC18" s="205">
        <f t="shared" si="1"/>
        <v>1715.6099105595904</v>
      </c>
      <c r="AD18" s="205">
        <f t="shared" si="5"/>
        <v>18.786227711773389</v>
      </c>
      <c r="AE18" s="206">
        <f t="shared" si="6"/>
        <v>6.7341134260591016</v>
      </c>
    </row>
    <row r="19" spans="1:31" x14ac:dyDescent="0.25">
      <c r="A19" s="1">
        <v>2</v>
      </c>
      <c r="B19" s="1" t="str">
        <f t="shared" si="7"/>
        <v>0.16, Tractor (60-89 hp) 2WD 75</v>
      </c>
      <c r="C19" s="142">
        <v>0.16</v>
      </c>
      <c r="D19" s="138" t="s">
        <v>424</v>
      </c>
      <c r="E19" s="138" t="s">
        <v>245</v>
      </c>
      <c r="F19" s="138" t="s">
        <v>150</v>
      </c>
      <c r="G19" s="138" t="str">
        <f t="shared" si="2"/>
        <v>Tractor (60-89 hp) 2WD 75</v>
      </c>
      <c r="H19" s="233">
        <v>38400</v>
      </c>
      <c r="I19" s="1">
        <v>3.8603999999999998</v>
      </c>
      <c r="J19" s="1">
        <v>20</v>
      </c>
      <c r="K19" s="1">
        <v>75</v>
      </c>
      <c r="L19" s="1">
        <v>14</v>
      </c>
      <c r="M19" s="1">
        <v>600</v>
      </c>
      <c r="N19" s="1">
        <v>0</v>
      </c>
      <c r="O19" s="11">
        <f t="shared" si="8"/>
        <v>8400</v>
      </c>
      <c r="P19" s="11">
        <v>1</v>
      </c>
      <c r="Q19" s="8">
        <f t="shared" si="9"/>
        <v>2057.1428571428573</v>
      </c>
      <c r="R19" s="7">
        <f t="shared" si="10"/>
        <v>3.4285714285714288</v>
      </c>
      <c r="S19" s="2">
        <f t="shared" si="11"/>
        <v>7680</v>
      </c>
      <c r="T19" s="2">
        <f t="shared" si="12"/>
        <v>2194.2857142857142</v>
      </c>
      <c r="U19" s="2">
        <f t="shared" si="13"/>
        <v>23040</v>
      </c>
      <c r="V19" s="6">
        <f t="shared" si="14"/>
        <v>2073.6</v>
      </c>
      <c r="W19" s="6">
        <f t="shared" si="15"/>
        <v>552.96</v>
      </c>
      <c r="X19" s="6">
        <f t="shared" si="16"/>
        <v>4820.8457142857142</v>
      </c>
      <c r="Y19" s="5">
        <f t="shared" si="17"/>
        <v>8.0347428571428576</v>
      </c>
      <c r="Z19" s="205">
        <f t="shared" si="18"/>
        <v>9255.8308488775165</v>
      </c>
      <c r="AA19" s="205">
        <f t="shared" si="4"/>
        <v>2081.7263679373204</v>
      </c>
      <c r="AB19" s="205">
        <f t="shared" si="0"/>
        <v>4289.0247763989764</v>
      </c>
      <c r="AC19" s="205">
        <f t="shared" si="1"/>
        <v>1143.7399403730603</v>
      </c>
      <c r="AD19" s="205">
        <f t="shared" si="5"/>
        <v>12.524151807848929</v>
      </c>
      <c r="AE19" s="206">
        <f t="shared" si="6"/>
        <v>4.4894089507060713</v>
      </c>
    </row>
    <row r="20" spans="1:31" x14ac:dyDescent="0.25">
      <c r="A20" s="1">
        <v>39</v>
      </c>
      <c r="B20" s="1" t="str">
        <f t="shared" si="7"/>
        <v>0.17, Tractor (60-89 hp) MFWD 75</v>
      </c>
      <c r="C20" s="142">
        <v>0.17</v>
      </c>
      <c r="D20" s="138" t="s">
        <v>424</v>
      </c>
      <c r="E20" s="138" t="s">
        <v>245</v>
      </c>
      <c r="F20" s="138" t="s">
        <v>149</v>
      </c>
      <c r="G20" s="138" t="str">
        <f t="shared" si="2"/>
        <v>Tractor (60-89 hp) MFWD 75</v>
      </c>
      <c r="H20" s="233">
        <v>418000</v>
      </c>
      <c r="I20" s="1">
        <v>3.8603999999999998</v>
      </c>
      <c r="J20" s="1">
        <v>20</v>
      </c>
      <c r="K20" s="1">
        <v>75</v>
      </c>
      <c r="L20" s="1">
        <v>14</v>
      </c>
      <c r="M20" s="1">
        <v>600</v>
      </c>
      <c r="N20" s="1">
        <v>0</v>
      </c>
      <c r="O20" s="11">
        <f t="shared" si="8"/>
        <v>8400</v>
      </c>
      <c r="P20" s="11">
        <v>1</v>
      </c>
      <c r="Q20" s="8">
        <f t="shared" si="9"/>
        <v>22392.857142857141</v>
      </c>
      <c r="R20" s="7">
        <f t="shared" si="10"/>
        <v>37.321428571428569</v>
      </c>
      <c r="S20" s="2">
        <f t="shared" si="11"/>
        <v>83600</v>
      </c>
      <c r="T20" s="2">
        <f t="shared" si="12"/>
        <v>23885.714285714286</v>
      </c>
      <c r="U20" s="2">
        <f t="shared" si="13"/>
        <v>250800</v>
      </c>
      <c r="V20" s="6">
        <f t="shared" si="14"/>
        <v>22572</v>
      </c>
      <c r="W20" s="6">
        <f t="shared" si="15"/>
        <v>6019.2</v>
      </c>
      <c r="X20" s="6">
        <f t="shared" si="16"/>
        <v>52476.914285714287</v>
      </c>
      <c r="Y20" s="5">
        <f t="shared" si="17"/>
        <v>87.461523809523811</v>
      </c>
      <c r="Z20" s="205">
        <f t="shared" si="18"/>
        <v>100753.57538621878</v>
      </c>
      <c r="AA20" s="205">
        <f t="shared" si="4"/>
        <v>22660.458900984373</v>
      </c>
      <c r="AB20" s="205">
        <f t="shared" si="0"/>
        <v>46687.82178475969</v>
      </c>
      <c r="AC20" s="205">
        <f t="shared" si="1"/>
        <v>12450.085809269251</v>
      </c>
      <c r="AD20" s="205">
        <f t="shared" si="5"/>
        <v>136.33061082502218</v>
      </c>
      <c r="AE20" s="206">
        <f t="shared" si="6"/>
        <v>48.869087015498366</v>
      </c>
    </row>
    <row r="21" spans="1:31" x14ac:dyDescent="0.25">
      <c r="A21" s="1">
        <v>42</v>
      </c>
      <c r="B21" s="1" t="str">
        <f t="shared" si="7"/>
        <v>0.18, Tractor (90-119 hp) 2WD 105</v>
      </c>
      <c r="C21" s="142">
        <v>0.18</v>
      </c>
      <c r="D21" s="138" t="s">
        <v>424</v>
      </c>
      <c r="E21" s="138" t="s">
        <v>246</v>
      </c>
      <c r="F21" s="138" t="s">
        <v>148</v>
      </c>
      <c r="G21" s="138" t="str">
        <f t="shared" si="2"/>
        <v>Tractor (90-119 hp) 2WD 105</v>
      </c>
      <c r="H21" s="233">
        <v>64600</v>
      </c>
      <c r="I21" s="1">
        <v>5.4046000000000003</v>
      </c>
      <c r="J21" s="1">
        <v>20</v>
      </c>
      <c r="K21" s="1">
        <v>60</v>
      </c>
      <c r="L21" s="1">
        <v>14</v>
      </c>
      <c r="M21" s="1">
        <v>600</v>
      </c>
      <c r="N21" s="1">
        <v>0</v>
      </c>
      <c r="O21" s="11">
        <f t="shared" si="8"/>
        <v>8400</v>
      </c>
      <c r="P21" s="11">
        <v>1</v>
      </c>
      <c r="Q21" s="8">
        <f t="shared" si="9"/>
        <v>2768.5714285714284</v>
      </c>
      <c r="R21" s="7">
        <f t="shared" si="10"/>
        <v>4.6142857142857139</v>
      </c>
      <c r="S21" s="2">
        <f t="shared" si="11"/>
        <v>12920</v>
      </c>
      <c r="T21" s="2">
        <f t="shared" si="12"/>
        <v>3691.4285714285716</v>
      </c>
      <c r="U21" s="2">
        <f t="shared" si="13"/>
        <v>38760</v>
      </c>
      <c r="V21" s="6">
        <f t="shared" si="14"/>
        <v>3488.4</v>
      </c>
      <c r="W21" s="6">
        <f t="shared" si="15"/>
        <v>930.24</v>
      </c>
      <c r="X21" s="6">
        <f t="shared" si="16"/>
        <v>8110.0685714285719</v>
      </c>
      <c r="Y21" s="5">
        <f t="shared" si="17"/>
        <v>13.516780952380953</v>
      </c>
      <c r="Z21" s="205">
        <f>((0.942-0.1*(L21^0.5)-0.0008*(M21^0.5))^2)*H21</f>
        <v>19416.517162446326</v>
      </c>
      <c r="AA21" s="205">
        <f t="shared" si="4"/>
        <v>3227.391631253834</v>
      </c>
      <c r="AB21" s="205">
        <f t="shared" si="0"/>
        <v>7561.4865446201693</v>
      </c>
      <c r="AC21" s="205">
        <f t="shared" si="1"/>
        <v>2016.3964118987119</v>
      </c>
      <c r="AD21" s="205">
        <f t="shared" si="5"/>
        <v>21.342124312954525</v>
      </c>
      <c r="AE21" s="206">
        <f t="shared" si="6"/>
        <v>7.8253433605735712</v>
      </c>
    </row>
    <row r="22" spans="1:31" x14ac:dyDescent="0.25">
      <c r="A22" s="1">
        <v>43</v>
      </c>
      <c r="B22" s="1" t="str">
        <f t="shared" si="7"/>
        <v>0.19, Tractor (90-119 hp) MFWD 105</v>
      </c>
      <c r="C22" s="142">
        <v>0.19</v>
      </c>
      <c r="D22" s="138" t="s">
        <v>424</v>
      </c>
      <c r="E22" s="138" t="s">
        <v>246</v>
      </c>
      <c r="F22" s="138" t="s">
        <v>147</v>
      </c>
      <c r="G22" s="138" t="str">
        <f t="shared" si="2"/>
        <v>Tractor (90-119 hp) MFWD 105</v>
      </c>
      <c r="H22" s="233">
        <v>71900</v>
      </c>
      <c r="I22" s="1">
        <v>5.4046000000000003</v>
      </c>
      <c r="J22" s="1">
        <v>20</v>
      </c>
      <c r="K22" s="1">
        <v>60</v>
      </c>
      <c r="L22" s="1">
        <v>14</v>
      </c>
      <c r="M22" s="1">
        <v>600</v>
      </c>
      <c r="N22" s="1">
        <v>0</v>
      </c>
      <c r="O22" s="11">
        <f t="shared" si="8"/>
        <v>8400</v>
      </c>
      <c r="P22" s="11">
        <v>1</v>
      </c>
      <c r="Q22" s="8">
        <f t="shared" si="9"/>
        <v>3081.4285714285716</v>
      </c>
      <c r="R22" s="7">
        <f t="shared" si="10"/>
        <v>5.1357142857142861</v>
      </c>
      <c r="S22" s="2">
        <f t="shared" si="11"/>
        <v>14380</v>
      </c>
      <c r="T22" s="2">
        <f t="shared" si="12"/>
        <v>4108.5714285714284</v>
      </c>
      <c r="U22" s="2">
        <f t="shared" si="13"/>
        <v>43140</v>
      </c>
      <c r="V22" s="6">
        <f t="shared" si="14"/>
        <v>3882.6</v>
      </c>
      <c r="W22" s="6">
        <f t="shared" si="15"/>
        <v>1035.3600000000001</v>
      </c>
      <c r="X22" s="6">
        <f t="shared" si="16"/>
        <v>9026.5314285714285</v>
      </c>
      <c r="Y22" s="5">
        <f t="shared" si="17"/>
        <v>15.044219047619048</v>
      </c>
      <c r="Z22" s="205">
        <f t="shared" ref="Z22:Z28" si="19">((0.942-0.1*(L22^0.5)-0.0008*(M22^0.5))^2)*H22</f>
        <v>21610.64371485899</v>
      </c>
      <c r="AA22" s="205">
        <f t="shared" si="4"/>
        <v>3592.0968775100723</v>
      </c>
      <c r="AB22" s="205">
        <f t="shared" si="0"/>
        <v>8415.957934337308</v>
      </c>
      <c r="AC22" s="205">
        <f t="shared" si="1"/>
        <v>2244.2554491566157</v>
      </c>
      <c r="AD22" s="205">
        <f t="shared" si="5"/>
        <v>23.753850435006658</v>
      </c>
      <c r="AE22" s="206">
        <f t="shared" si="6"/>
        <v>8.7096313873876099</v>
      </c>
    </row>
    <row r="23" spans="1:31" x14ac:dyDescent="0.25">
      <c r="A23" s="1">
        <v>3</v>
      </c>
      <c r="B23" s="1" t="str">
        <f t="shared" si="7"/>
        <v>0.2, Tractor (90-119 hp) 2WD 105</v>
      </c>
      <c r="C23" s="142">
        <v>0.2</v>
      </c>
      <c r="D23" s="138" t="s">
        <v>424</v>
      </c>
      <c r="E23" s="138" t="s">
        <v>246</v>
      </c>
      <c r="F23" s="138" t="s">
        <v>148</v>
      </c>
      <c r="G23" s="138" t="str">
        <f t="shared" si="2"/>
        <v>Tractor (90-119 hp) 2WD 105</v>
      </c>
      <c r="H23" s="233">
        <v>64600</v>
      </c>
      <c r="I23" s="1">
        <v>5.4046000000000003</v>
      </c>
      <c r="J23" s="1">
        <v>20</v>
      </c>
      <c r="K23" s="1">
        <v>60</v>
      </c>
      <c r="L23" s="1">
        <v>14</v>
      </c>
      <c r="M23" s="1">
        <v>600</v>
      </c>
      <c r="N23" s="1">
        <v>0</v>
      </c>
      <c r="O23" s="11">
        <f t="shared" si="8"/>
        <v>8400</v>
      </c>
      <c r="P23" s="11">
        <v>1</v>
      </c>
      <c r="Q23" s="8">
        <f t="shared" si="9"/>
        <v>2768.5714285714284</v>
      </c>
      <c r="R23" s="7">
        <f t="shared" si="10"/>
        <v>4.6142857142857139</v>
      </c>
      <c r="S23" s="2">
        <f t="shared" si="11"/>
        <v>12920</v>
      </c>
      <c r="T23" s="2">
        <f t="shared" si="12"/>
        <v>3691.4285714285716</v>
      </c>
      <c r="U23" s="2">
        <f t="shared" si="13"/>
        <v>38760</v>
      </c>
      <c r="V23" s="6">
        <f t="shared" si="14"/>
        <v>3488.4</v>
      </c>
      <c r="W23" s="6">
        <f t="shared" si="15"/>
        <v>930.24</v>
      </c>
      <c r="X23" s="6">
        <f t="shared" si="16"/>
        <v>8110.0685714285719</v>
      </c>
      <c r="Y23" s="5">
        <f t="shared" si="17"/>
        <v>13.516780952380953</v>
      </c>
      <c r="Z23" s="205">
        <f t="shared" si="19"/>
        <v>19416.517162446326</v>
      </c>
      <c r="AA23" s="205">
        <f t="shared" si="4"/>
        <v>3227.391631253834</v>
      </c>
      <c r="AB23" s="205">
        <f t="shared" si="0"/>
        <v>7561.4865446201693</v>
      </c>
      <c r="AC23" s="205">
        <f t="shared" si="1"/>
        <v>2016.3964118987119</v>
      </c>
      <c r="AD23" s="205">
        <f t="shared" si="5"/>
        <v>21.342124312954525</v>
      </c>
      <c r="AE23" s="206">
        <f t="shared" si="6"/>
        <v>7.8253433605735712</v>
      </c>
    </row>
    <row r="24" spans="1:31" x14ac:dyDescent="0.25">
      <c r="A24" s="1">
        <v>41</v>
      </c>
      <c r="B24" s="1" t="str">
        <f t="shared" si="7"/>
        <v>0.21, Tractor (90-119 hp) MFWD 105</v>
      </c>
      <c r="C24" s="142">
        <v>0.21</v>
      </c>
      <c r="D24" s="138" t="s">
        <v>424</v>
      </c>
      <c r="E24" s="138" t="s">
        <v>246</v>
      </c>
      <c r="F24" s="138" t="s">
        <v>147</v>
      </c>
      <c r="G24" s="138" t="str">
        <f t="shared" si="2"/>
        <v>Tractor (90-119 hp) MFWD 105</v>
      </c>
      <c r="H24" s="233">
        <v>71900</v>
      </c>
      <c r="I24" s="1">
        <v>5.4046000000000003</v>
      </c>
      <c r="J24" s="1">
        <v>20</v>
      </c>
      <c r="K24" s="1">
        <v>60</v>
      </c>
      <c r="L24" s="1">
        <v>14</v>
      </c>
      <c r="M24" s="1">
        <v>600</v>
      </c>
      <c r="N24" s="1">
        <v>0</v>
      </c>
      <c r="O24" s="11">
        <f t="shared" si="8"/>
        <v>8400</v>
      </c>
      <c r="P24" s="11">
        <v>1</v>
      </c>
      <c r="Q24" s="8">
        <f t="shared" si="9"/>
        <v>3081.4285714285716</v>
      </c>
      <c r="R24" s="7">
        <f t="shared" si="10"/>
        <v>5.1357142857142861</v>
      </c>
      <c r="S24" s="2">
        <f t="shared" si="11"/>
        <v>14380</v>
      </c>
      <c r="T24" s="2">
        <f t="shared" si="12"/>
        <v>4108.5714285714284</v>
      </c>
      <c r="U24" s="2">
        <f t="shared" si="13"/>
        <v>43140</v>
      </c>
      <c r="V24" s="6">
        <f t="shared" si="14"/>
        <v>3882.6</v>
      </c>
      <c r="W24" s="6">
        <f t="shared" si="15"/>
        <v>1035.3600000000001</v>
      </c>
      <c r="X24" s="6">
        <f t="shared" si="16"/>
        <v>9026.5314285714285</v>
      </c>
      <c r="Y24" s="5">
        <f t="shared" si="17"/>
        <v>15.044219047619048</v>
      </c>
      <c r="Z24" s="205">
        <f t="shared" si="19"/>
        <v>21610.64371485899</v>
      </c>
      <c r="AA24" s="205">
        <f t="shared" si="4"/>
        <v>3592.0968775100723</v>
      </c>
      <c r="AB24" s="205">
        <f t="shared" si="0"/>
        <v>8415.957934337308</v>
      </c>
      <c r="AC24" s="205">
        <f t="shared" si="1"/>
        <v>2244.2554491566157</v>
      </c>
      <c r="AD24" s="205">
        <f t="shared" si="5"/>
        <v>23.753850435006658</v>
      </c>
      <c r="AE24" s="206">
        <f t="shared" si="6"/>
        <v>8.7096313873876099</v>
      </c>
    </row>
    <row r="25" spans="1:31" x14ac:dyDescent="0.25">
      <c r="A25" s="1">
        <v>4</v>
      </c>
      <c r="B25" s="1" t="str">
        <f t="shared" si="7"/>
        <v>0.22, Tractor (120-139 hp) 2WD 130</v>
      </c>
      <c r="C25" s="142">
        <v>0.22</v>
      </c>
      <c r="D25" s="138" t="s">
        <v>424</v>
      </c>
      <c r="E25" s="138" t="s">
        <v>247</v>
      </c>
      <c r="F25" s="138" t="s">
        <v>146</v>
      </c>
      <c r="G25" s="138" t="str">
        <f t="shared" si="2"/>
        <v>Tractor (120-139 hp) 2WD 130</v>
      </c>
      <c r="H25" s="288">
        <v>113000</v>
      </c>
      <c r="I25" s="1">
        <v>6.6913999999999998</v>
      </c>
      <c r="J25" s="1">
        <v>20</v>
      </c>
      <c r="K25" s="1">
        <v>60</v>
      </c>
      <c r="L25" s="1">
        <v>14</v>
      </c>
      <c r="M25" s="1">
        <v>600</v>
      </c>
      <c r="N25" s="1">
        <v>0</v>
      </c>
      <c r="O25" s="11">
        <f t="shared" si="8"/>
        <v>8400</v>
      </c>
      <c r="P25" s="11">
        <v>1</v>
      </c>
      <c r="Q25" s="8">
        <f t="shared" si="9"/>
        <v>4842.8571428571431</v>
      </c>
      <c r="R25" s="7">
        <f t="shared" si="10"/>
        <v>8.0714285714285712</v>
      </c>
      <c r="S25" s="2">
        <f t="shared" si="11"/>
        <v>22600</v>
      </c>
      <c r="T25" s="2">
        <f t="shared" si="12"/>
        <v>6457.1428571428569</v>
      </c>
      <c r="U25" s="2">
        <f t="shared" si="13"/>
        <v>67800</v>
      </c>
      <c r="V25" s="6">
        <f t="shared" si="14"/>
        <v>6102</v>
      </c>
      <c r="W25" s="6">
        <f t="shared" si="15"/>
        <v>1627.2</v>
      </c>
      <c r="X25" s="6">
        <f t="shared" si="16"/>
        <v>14186.342857142858</v>
      </c>
      <c r="Y25" s="5">
        <f t="shared" si="17"/>
        <v>23.643904761904764</v>
      </c>
      <c r="Z25" s="205">
        <f t="shared" si="19"/>
        <v>33963.876770223447</v>
      </c>
      <c r="AA25" s="205">
        <f t="shared" si="4"/>
        <v>5645.4373735554682</v>
      </c>
      <c r="AB25" s="205">
        <f t="shared" si="0"/>
        <v>13226.748909320109</v>
      </c>
      <c r="AC25" s="205">
        <f t="shared" si="1"/>
        <v>3527.1330424853622</v>
      </c>
      <c r="AD25" s="205">
        <f t="shared" si="5"/>
        <v>37.332198875601563</v>
      </c>
      <c r="AE25" s="206">
        <f t="shared" si="6"/>
        <v>13.688294113696799</v>
      </c>
    </row>
    <row r="26" spans="1:31" x14ac:dyDescent="0.25">
      <c r="A26" s="1">
        <v>44</v>
      </c>
      <c r="B26" s="1" t="str">
        <f t="shared" si="7"/>
        <v>0.23, Tractor (120-139 hp) MFWD 130</v>
      </c>
      <c r="C26" s="142">
        <v>0.23</v>
      </c>
      <c r="D26" s="138" t="s">
        <v>424</v>
      </c>
      <c r="E26" s="138" t="s">
        <v>247</v>
      </c>
      <c r="F26" s="138" t="s">
        <v>145</v>
      </c>
      <c r="G26" s="138" t="str">
        <f t="shared" si="2"/>
        <v>Tractor (120-139 hp) MFWD 130</v>
      </c>
      <c r="H26" s="288">
        <v>126000</v>
      </c>
      <c r="I26" s="1">
        <v>6.6913999999999998</v>
      </c>
      <c r="J26" s="1">
        <v>20</v>
      </c>
      <c r="K26" s="1">
        <v>60</v>
      </c>
      <c r="L26" s="1">
        <v>14</v>
      </c>
      <c r="M26" s="1">
        <v>600</v>
      </c>
      <c r="N26" s="1">
        <v>0</v>
      </c>
      <c r="O26" s="11">
        <f t="shared" si="8"/>
        <v>8400</v>
      </c>
      <c r="P26" s="11">
        <v>1</v>
      </c>
      <c r="Q26" s="8">
        <f t="shared" si="9"/>
        <v>5400</v>
      </c>
      <c r="R26" s="7">
        <f t="shared" si="10"/>
        <v>9</v>
      </c>
      <c r="S26" s="2">
        <f t="shared" si="11"/>
        <v>25200</v>
      </c>
      <c r="T26" s="2">
        <f t="shared" si="12"/>
        <v>7200</v>
      </c>
      <c r="U26" s="2">
        <f t="shared" si="13"/>
        <v>75600</v>
      </c>
      <c r="V26" s="6">
        <f t="shared" si="14"/>
        <v>6804</v>
      </c>
      <c r="W26" s="6">
        <f t="shared" si="15"/>
        <v>1814.4</v>
      </c>
      <c r="X26" s="6">
        <f t="shared" si="16"/>
        <v>15818.4</v>
      </c>
      <c r="Y26" s="5">
        <f t="shared" si="17"/>
        <v>26.364000000000001</v>
      </c>
      <c r="Z26" s="205">
        <f t="shared" si="19"/>
        <v>37871.225425204902</v>
      </c>
      <c r="AA26" s="205">
        <f t="shared" si="4"/>
        <v>6294.9124696282215</v>
      </c>
      <c r="AB26" s="205">
        <f t="shared" si="0"/>
        <v>14748.41028826844</v>
      </c>
      <c r="AC26" s="205">
        <f t="shared" si="1"/>
        <v>3932.9094102049175</v>
      </c>
      <c r="AD26" s="205">
        <f t="shared" si="5"/>
        <v>41.627053613502632</v>
      </c>
      <c r="AE26" s="206">
        <f t="shared" si="6"/>
        <v>15.263053613502631</v>
      </c>
    </row>
    <row r="27" spans="1:31" x14ac:dyDescent="0.25">
      <c r="A27" s="1">
        <v>5</v>
      </c>
      <c r="B27" s="1" t="str">
        <f t="shared" si="7"/>
        <v>0.24, Tractor (140-159 hp) 2WD 150</v>
      </c>
      <c r="C27" s="142">
        <v>0.24</v>
      </c>
      <c r="D27" s="138" t="s">
        <v>424</v>
      </c>
      <c r="E27" s="138" t="s">
        <v>248</v>
      </c>
      <c r="F27" s="138" t="s">
        <v>144</v>
      </c>
      <c r="G27" s="138" t="str">
        <f t="shared" si="2"/>
        <v>Tractor (140-159 hp) 2WD 150</v>
      </c>
      <c r="H27" s="288">
        <v>111000</v>
      </c>
      <c r="I27" s="1">
        <v>7.7209000000000003</v>
      </c>
      <c r="J27" s="1">
        <v>20</v>
      </c>
      <c r="K27" s="1">
        <v>60</v>
      </c>
      <c r="L27" s="1">
        <v>14</v>
      </c>
      <c r="M27" s="1">
        <v>600</v>
      </c>
      <c r="N27" s="1">
        <v>0</v>
      </c>
      <c r="O27" s="11">
        <f t="shared" si="8"/>
        <v>8400</v>
      </c>
      <c r="P27" s="11">
        <v>1</v>
      </c>
      <c r="Q27" s="8">
        <f t="shared" si="9"/>
        <v>4757.1428571428569</v>
      </c>
      <c r="R27" s="7">
        <f t="shared" si="10"/>
        <v>7.9285714285714279</v>
      </c>
      <c r="S27" s="2">
        <f t="shared" si="11"/>
        <v>22200</v>
      </c>
      <c r="T27" s="2">
        <f t="shared" si="12"/>
        <v>6342.8571428571431</v>
      </c>
      <c r="U27" s="2">
        <f t="shared" si="13"/>
        <v>66600</v>
      </c>
      <c r="V27" s="6">
        <f t="shared" si="14"/>
        <v>5994</v>
      </c>
      <c r="W27" s="6">
        <f t="shared" si="15"/>
        <v>1598.4</v>
      </c>
      <c r="X27" s="6">
        <f t="shared" si="16"/>
        <v>13935.257142857143</v>
      </c>
      <c r="Y27" s="5">
        <f t="shared" si="17"/>
        <v>23.225428571428573</v>
      </c>
      <c r="Z27" s="205">
        <f t="shared" si="19"/>
        <v>33362.746207918608</v>
      </c>
      <c r="AA27" s="205">
        <f t="shared" si="4"/>
        <v>5545.5181280058141</v>
      </c>
      <c r="AB27" s="205">
        <f t="shared" si="0"/>
        <v>12992.647158712676</v>
      </c>
      <c r="AC27" s="205">
        <f t="shared" si="1"/>
        <v>3464.7059089900472</v>
      </c>
      <c r="AD27" s="205">
        <f t="shared" si="5"/>
        <v>36.671451992847558</v>
      </c>
      <c r="AE27" s="206">
        <f t="shared" si="6"/>
        <v>13.446023421418985</v>
      </c>
    </row>
    <row r="28" spans="1:31" x14ac:dyDescent="0.25">
      <c r="A28" s="1">
        <v>18</v>
      </c>
      <c r="B28" s="1" t="str">
        <f t="shared" si="7"/>
        <v>0.25, Tractor (140-159 hp) MFWD 150</v>
      </c>
      <c r="C28" s="142">
        <v>0.25</v>
      </c>
      <c r="D28" s="138" t="s">
        <v>424</v>
      </c>
      <c r="E28" s="138" t="s">
        <v>248</v>
      </c>
      <c r="F28" s="138" t="s">
        <v>143</v>
      </c>
      <c r="G28" s="138" t="str">
        <f t="shared" si="2"/>
        <v>Tractor (140-159 hp) MFWD 150</v>
      </c>
      <c r="H28" s="288">
        <v>143000</v>
      </c>
      <c r="I28" s="1">
        <v>7.7209000000000003</v>
      </c>
      <c r="J28" s="1">
        <v>20</v>
      </c>
      <c r="K28" s="1">
        <v>60</v>
      </c>
      <c r="L28" s="1">
        <v>14</v>
      </c>
      <c r="M28" s="1">
        <v>600</v>
      </c>
      <c r="N28" s="1">
        <v>0</v>
      </c>
      <c r="O28" s="11">
        <f t="shared" si="8"/>
        <v>8400</v>
      </c>
      <c r="P28" s="11">
        <v>1</v>
      </c>
      <c r="Q28" s="8">
        <f t="shared" si="9"/>
        <v>6128.5714285714284</v>
      </c>
      <c r="R28" s="7">
        <f t="shared" si="10"/>
        <v>10.214285714285714</v>
      </c>
      <c r="S28" s="2">
        <f t="shared" si="11"/>
        <v>28600</v>
      </c>
      <c r="T28" s="2">
        <f t="shared" si="12"/>
        <v>8171.4285714285716</v>
      </c>
      <c r="U28" s="2">
        <f t="shared" si="13"/>
        <v>85800</v>
      </c>
      <c r="V28" s="6">
        <f t="shared" si="14"/>
        <v>7722</v>
      </c>
      <c r="W28" s="6">
        <f t="shared" si="15"/>
        <v>2059.1999999999998</v>
      </c>
      <c r="X28" s="6">
        <f t="shared" si="16"/>
        <v>17952.628571428573</v>
      </c>
      <c r="Y28" s="5">
        <f t="shared" si="17"/>
        <v>29.921047619047624</v>
      </c>
      <c r="Z28" s="205">
        <f t="shared" si="19"/>
        <v>42980.835204796043</v>
      </c>
      <c r="AA28" s="205">
        <f t="shared" si="4"/>
        <v>7144.2260568002821</v>
      </c>
      <c r="AB28" s="205">
        <f t="shared" si="0"/>
        <v>16738.275168431643</v>
      </c>
      <c r="AC28" s="205">
        <f t="shared" si="1"/>
        <v>4463.5400449151057</v>
      </c>
      <c r="AD28" s="205">
        <f t="shared" si="5"/>
        <v>47.243402116911717</v>
      </c>
      <c r="AE28" s="206">
        <f t="shared" si="6"/>
        <v>17.322354497864094</v>
      </c>
    </row>
    <row r="29" spans="1:31" x14ac:dyDescent="0.25">
      <c r="A29" s="1">
        <v>6</v>
      </c>
      <c r="B29" s="1" t="str">
        <f t="shared" si="7"/>
        <v>0.26, Tractor (160-179 hp) 2WD 170</v>
      </c>
      <c r="C29" s="142">
        <v>0.26</v>
      </c>
      <c r="D29" s="138" t="s">
        <v>424</v>
      </c>
      <c r="E29" s="138" t="s">
        <v>249</v>
      </c>
      <c r="F29" s="138" t="s">
        <v>142</v>
      </c>
      <c r="G29" s="138" t="str">
        <f t="shared" si="2"/>
        <v>Tractor (160-179 hp) 2WD 170</v>
      </c>
      <c r="H29" s="290">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5">
        <f>((0.976-0.119*(L29^0.5)-0.0019*(M29^0.5))^2)*H29</f>
        <v>35167.80419188393</v>
      </c>
      <c r="AA29" s="205">
        <f t="shared" si="4"/>
        <v>8202.2997005797188</v>
      </c>
      <c r="AB29" s="205">
        <f t="shared" si="0"/>
        <v>16665.102377269555</v>
      </c>
      <c r="AC29" s="205">
        <f t="shared" si="1"/>
        <v>4444.0273006052148</v>
      </c>
      <c r="AD29" s="205">
        <f t="shared" si="5"/>
        <v>48.85238229742415</v>
      </c>
      <c r="AE29" s="206">
        <f t="shared" si="6"/>
        <v>17.466668011709864</v>
      </c>
    </row>
    <row r="30" spans="1:31" x14ac:dyDescent="0.25">
      <c r="A30" s="1">
        <v>19</v>
      </c>
      <c r="B30" s="1" t="str">
        <f t="shared" si="7"/>
        <v>0.27, Tractor (160-179 hp) MFWD 170</v>
      </c>
      <c r="C30" s="142">
        <v>0.27</v>
      </c>
      <c r="D30" s="138" t="s">
        <v>424</v>
      </c>
      <c r="E30" s="138" t="s">
        <v>249</v>
      </c>
      <c r="F30" s="138" t="s">
        <v>141</v>
      </c>
      <c r="G30" s="138" t="str">
        <f t="shared" si="2"/>
        <v>Tractor (160-179 hp) MFWD 170</v>
      </c>
      <c r="H30" s="288">
        <v>160000</v>
      </c>
      <c r="I30" s="1">
        <v>8.7502999999999993</v>
      </c>
      <c r="J30" s="1">
        <v>20</v>
      </c>
      <c r="K30" s="1">
        <v>60</v>
      </c>
      <c r="L30" s="1">
        <v>14</v>
      </c>
      <c r="M30" s="1">
        <v>600</v>
      </c>
      <c r="N30" s="1">
        <v>0</v>
      </c>
      <c r="O30" s="11">
        <f t="shared" si="8"/>
        <v>8400</v>
      </c>
      <c r="P30" s="11">
        <v>1</v>
      </c>
      <c r="Q30" s="8">
        <f t="shared" si="9"/>
        <v>6857.1428571428569</v>
      </c>
      <c r="R30" s="7">
        <f t="shared" si="10"/>
        <v>11.428571428571429</v>
      </c>
      <c r="S30" s="2">
        <f t="shared" si="11"/>
        <v>32000</v>
      </c>
      <c r="T30" s="2">
        <f t="shared" si="12"/>
        <v>9142.8571428571431</v>
      </c>
      <c r="U30" s="2">
        <f t="shared" si="13"/>
        <v>96000</v>
      </c>
      <c r="V30" s="6">
        <f t="shared" si="14"/>
        <v>8640</v>
      </c>
      <c r="W30" s="6">
        <f t="shared" si="15"/>
        <v>2304</v>
      </c>
      <c r="X30" s="6">
        <f t="shared" si="16"/>
        <v>20086.857142857145</v>
      </c>
      <c r="Y30" s="5">
        <f t="shared" si="17"/>
        <v>33.478095238095243</v>
      </c>
      <c r="Z30" s="205">
        <f t="shared" ref="Z30:Z40" si="20">((0.976-0.119*(L30^0.5)-0.0019*(M30^0.5))^2)*H30</f>
        <v>37512.324471342858</v>
      </c>
      <c r="AA30" s="205">
        <f t="shared" si="4"/>
        <v>8749.1196806183671</v>
      </c>
      <c r="AB30" s="205">
        <f t="shared" si="0"/>
        <v>17776.109202420856</v>
      </c>
      <c r="AC30" s="205">
        <f t="shared" si="1"/>
        <v>4740.2957873122286</v>
      </c>
      <c r="AD30" s="205">
        <f t="shared" si="5"/>
        <v>52.109207783919082</v>
      </c>
      <c r="AE30" s="206">
        <f t="shared" si="6"/>
        <v>18.631112545823839</v>
      </c>
    </row>
    <row r="31" spans="1:31" x14ac:dyDescent="0.25">
      <c r="A31" s="1">
        <v>21</v>
      </c>
      <c r="B31" s="1" t="str">
        <f t="shared" si="7"/>
        <v>0.28, Tractor (180-199 hp) MFWD 190</v>
      </c>
      <c r="C31" s="142">
        <v>0.28000000000000003</v>
      </c>
      <c r="D31" s="138" t="s">
        <v>424</v>
      </c>
      <c r="E31" s="138" t="s">
        <v>250</v>
      </c>
      <c r="F31" s="138" t="s">
        <v>140</v>
      </c>
      <c r="G31" s="138" t="str">
        <f t="shared" si="2"/>
        <v>Tractor (180-199 hp) MFWD 190</v>
      </c>
      <c r="H31" s="288">
        <v>194000</v>
      </c>
      <c r="I31" s="1">
        <v>9.7797999999999998</v>
      </c>
      <c r="J31" s="1">
        <v>20</v>
      </c>
      <c r="K31" s="1">
        <v>60</v>
      </c>
      <c r="L31" s="1">
        <v>14</v>
      </c>
      <c r="M31" s="1">
        <v>600</v>
      </c>
      <c r="N31" s="1">
        <v>0</v>
      </c>
      <c r="O31" s="11">
        <f t="shared" si="8"/>
        <v>8400</v>
      </c>
      <c r="P31" s="11">
        <v>1</v>
      </c>
      <c r="Q31" s="8">
        <f t="shared" si="9"/>
        <v>8314.2857142857138</v>
      </c>
      <c r="R31" s="7">
        <f t="shared" si="10"/>
        <v>13.857142857142856</v>
      </c>
      <c r="S31" s="2">
        <f t="shared" si="11"/>
        <v>38800</v>
      </c>
      <c r="T31" s="2">
        <f t="shared" si="12"/>
        <v>11085.714285714286</v>
      </c>
      <c r="U31" s="2">
        <f t="shared" si="13"/>
        <v>116400</v>
      </c>
      <c r="V31" s="6">
        <f>U31*intir</f>
        <v>10476</v>
      </c>
      <c r="W31" s="6">
        <f t="shared" si="15"/>
        <v>2793.6</v>
      </c>
      <c r="X31" s="6">
        <f t="shared" si="16"/>
        <v>24355.314285714285</v>
      </c>
      <c r="Y31" s="5">
        <f t="shared" si="17"/>
        <v>40.592190476190474</v>
      </c>
      <c r="Z31" s="205">
        <f t="shared" si="20"/>
        <v>45483.693421503209</v>
      </c>
      <c r="AA31" s="205">
        <f t="shared" si="4"/>
        <v>10608.307612749772</v>
      </c>
      <c r="AB31" s="205">
        <f t="shared" si="0"/>
        <v>21553.532407935287</v>
      </c>
      <c r="AC31" s="205">
        <f t="shared" si="1"/>
        <v>5747.6086421160771</v>
      </c>
      <c r="AD31" s="205">
        <f t="shared" si="5"/>
        <v>63.182414438001892</v>
      </c>
      <c r="AE31" s="206">
        <f t="shared" si="6"/>
        <v>22.590223961811418</v>
      </c>
    </row>
    <row r="32" spans="1:31" x14ac:dyDescent="0.25">
      <c r="A32" s="1">
        <v>9</v>
      </c>
      <c r="B32" s="1" t="str">
        <f t="shared" si="7"/>
        <v>0.29, Tractor (200-249 hp) MFWD 225</v>
      </c>
      <c r="C32" s="142">
        <v>0.28999999999999998</v>
      </c>
      <c r="D32" s="138" t="s">
        <v>424</v>
      </c>
      <c r="E32" s="138" t="s">
        <v>251</v>
      </c>
      <c r="F32" s="138" t="s">
        <v>139</v>
      </c>
      <c r="G32" s="138" t="str">
        <f t="shared" si="2"/>
        <v>Tractor (200-249 hp) MFWD 225</v>
      </c>
      <c r="H32" s="288">
        <v>233000</v>
      </c>
      <c r="I32" s="1">
        <v>11.581300000000001</v>
      </c>
      <c r="J32" s="1">
        <v>20</v>
      </c>
      <c r="K32" s="1">
        <v>60</v>
      </c>
      <c r="L32" s="1">
        <v>14</v>
      </c>
      <c r="M32" s="1">
        <v>600</v>
      </c>
      <c r="N32" s="1">
        <v>0</v>
      </c>
      <c r="O32" s="11">
        <f t="shared" si="8"/>
        <v>8400</v>
      </c>
      <c r="P32" s="11">
        <v>1</v>
      </c>
      <c r="Q32" s="8">
        <f t="shared" si="9"/>
        <v>9985.7142857142862</v>
      </c>
      <c r="R32" s="7">
        <f t="shared" si="10"/>
        <v>16.642857142857142</v>
      </c>
      <c r="S32" s="2">
        <f t="shared" si="11"/>
        <v>46600</v>
      </c>
      <c r="T32" s="2">
        <f t="shared" si="12"/>
        <v>13314.285714285714</v>
      </c>
      <c r="U32" s="2">
        <f t="shared" si="13"/>
        <v>139800</v>
      </c>
      <c r="V32" s="6">
        <f t="shared" si="14"/>
        <v>12582</v>
      </c>
      <c r="W32" s="6">
        <f t="shared" si="15"/>
        <v>3355.2000000000003</v>
      </c>
      <c r="X32" s="6">
        <f t="shared" si="16"/>
        <v>29251.485714285714</v>
      </c>
      <c r="Y32" s="5">
        <f t="shared" si="17"/>
        <v>48.752476190476187</v>
      </c>
      <c r="Z32" s="205">
        <f t="shared" si="20"/>
        <v>54627.322511393031</v>
      </c>
      <c r="AA32" s="205">
        <f t="shared" si="4"/>
        <v>12740.905534900498</v>
      </c>
      <c r="AB32" s="205">
        <f t="shared" si="0"/>
        <v>25886.459026025375</v>
      </c>
      <c r="AC32" s="205">
        <f t="shared" si="1"/>
        <v>6903.055740273433</v>
      </c>
      <c r="AD32" s="205">
        <f t="shared" si="5"/>
        <v>75.884033835332175</v>
      </c>
      <c r="AE32" s="206">
        <f t="shared" si="6"/>
        <v>27.131557644855988</v>
      </c>
    </row>
    <row r="33" spans="1:31" x14ac:dyDescent="0.25">
      <c r="A33" s="1">
        <v>22</v>
      </c>
      <c r="B33" s="1" t="str">
        <f t="shared" si="7"/>
        <v>0.3, Tractor (200-249 hp) Track 225</v>
      </c>
      <c r="C33" s="142">
        <v>0.3</v>
      </c>
      <c r="D33" s="138" t="s">
        <v>424</v>
      </c>
      <c r="E33" s="138" t="s">
        <v>251</v>
      </c>
      <c r="F33" s="138" t="s">
        <v>138</v>
      </c>
      <c r="G33" s="138" t="str">
        <f t="shared" si="2"/>
        <v>Tractor (200-249 hp) Track 225</v>
      </c>
      <c r="H33" s="289">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5">
        <f t="shared" si="20"/>
        <v>64943.211741012317</v>
      </c>
      <c r="AA33" s="205">
        <f t="shared" si="4"/>
        <v>15146.913447070549</v>
      </c>
      <c r="AB33" s="205">
        <f t="shared" si="0"/>
        <v>30774.889056691103</v>
      </c>
      <c r="AC33" s="205">
        <f t="shared" si="1"/>
        <v>8206.6370817842944</v>
      </c>
      <c r="AD33" s="205">
        <f t="shared" si="5"/>
        <v>90.214065975909904</v>
      </c>
      <c r="AE33" s="206">
        <f t="shared" si="6"/>
        <v>32.255113594957521</v>
      </c>
    </row>
    <row r="34" spans="1:31" x14ac:dyDescent="0.25">
      <c r="A34" s="1">
        <v>23</v>
      </c>
      <c r="B34" s="1" t="str">
        <f t="shared" si="7"/>
        <v>0.31, Tractor (250-349 hp) 4WD 300</v>
      </c>
      <c r="C34" s="142">
        <v>0.31</v>
      </c>
      <c r="D34" s="138" t="s">
        <v>424</v>
      </c>
      <c r="E34" s="138" t="s">
        <v>252</v>
      </c>
      <c r="F34" s="138" t="s">
        <v>137</v>
      </c>
      <c r="G34" s="138" t="str">
        <f t="shared" si="2"/>
        <v>Tractor (250-349 hp) 4WD 300</v>
      </c>
      <c r="H34" s="239">
        <v>314000</v>
      </c>
      <c r="I34" s="1">
        <v>15.441800000000001</v>
      </c>
      <c r="J34" s="1">
        <v>20</v>
      </c>
      <c r="K34" s="1">
        <v>60</v>
      </c>
      <c r="L34" s="1">
        <v>14</v>
      </c>
      <c r="M34" s="1">
        <v>600</v>
      </c>
      <c r="N34" s="1">
        <v>0</v>
      </c>
      <c r="O34" s="11">
        <f t="shared" si="8"/>
        <v>8400</v>
      </c>
      <c r="P34" s="11">
        <v>1</v>
      </c>
      <c r="Q34" s="8">
        <f t="shared" si="9"/>
        <v>13457.142857142857</v>
      </c>
      <c r="R34" s="7">
        <f t="shared" si="10"/>
        <v>22.428571428571427</v>
      </c>
      <c r="S34" s="2">
        <f t="shared" si="11"/>
        <v>62800</v>
      </c>
      <c r="T34" s="2">
        <f t="shared" si="12"/>
        <v>17942.857142857141</v>
      </c>
      <c r="U34" s="2">
        <f t="shared" si="13"/>
        <v>188400</v>
      </c>
      <c r="V34" s="6">
        <f t="shared" si="14"/>
        <v>16956</v>
      </c>
      <c r="W34" s="6">
        <f t="shared" si="15"/>
        <v>4521.6000000000004</v>
      </c>
      <c r="X34" s="6">
        <f t="shared" si="16"/>
        <v>39420.457142857143</v>
      </c>
      <c r="Y34" s="5">
        <f t="shared" si="17"/>
        <v>65.700761904761904</v>
      </c>
      <c r="Z34" s="205">
        <f t="shared" si="20"/>
        <v>73617.936775010356</v>
      </c>
      <c r="AA34" s="205">
        <f t="shared" si="4"/>
        <v>17170.147373213546</v>
      </c>
      <c r="AB34" s="205">
        <f t="shared" si="0"/>
        <v>34885.614309750934</v>
      </c>
      <c r="AC34" s="205">
        <f t="shared" si="1"/>
        <v>9302.8304826002495</v>
      </c>
      <c r="AD34" s="205">
        <f t="shared" si="5"/>
        <v>102.26432027594122</v>
      </c>
      <c r="AE34" s="206">
        <f t="shared" si="6"/>
        <v>36.563558371179312</v>
      </c>
    </row>
    <row r="35" spans="1:31" x14ac:dyDescent="0.25">
      <c r="A35" s="1">
        <v>61</v>
      </c>
      <c r="B35" s="1" t="str">
        <f t="shared" si="7"/>
        <v>0.32, Tractor (250-349 hp) MFWD 300</v>
      </c>
      <c r="C35" s="142">
        <v>0.32</v>
      </c>
      <c r="D35" s="138" t="s">
        <v>424</v>
      </c>
      <c r="E35" s="138" t="s">
        <v>252</v>
      </c>
      <c r="F35" s="138" t="s">
        <v>136</v>
      </c>
      <c r="G35" s="138" t="str">
        <f t="shared" si="2"/>
        <v>Tractor (250-349 hp) MFWD 300</v>
      </c>
      <c r="H35" s="239">
        <v>321000</v>
      </c>
      <c r="I35" s="1">
        <v>15.441800000000001</v>
      </c>
      <c r="J35" s="1">
        <v>20</v>
      </c>
      <c r="K35" s="1">
        <v>60</v>
      </c>
      <c r="L35" s="1">
        <v>14</v>
      </c>
      <c r="M35" s="1">
        <v>600</v>
      </c>
      <c r="N35" s="1">
        <v>0</v>
      </c>
      <c r="O35" s="11">
        <f t="shared" si="8"/>
        <v>8400</v>
      </c>
      <c r="P35" s="11">
        <v>1</v>
      </c>
      <c r="Q35" s="8">
        <f t="shared" si="9"/>
        <v>13757.142857142857</v>
      </c>
      <c r="R35" s="7">
        <f t="shared" si="10"/>
        <v>22.928571428571427</v>
      </c>
      <c r="S35" s="2">
        <f t="shared" si="11"/>
        <v>64200</v>
      </c>
      <c r="T35" s="2">
        <f t="shared" si="12"/>
        <v>18342.857142857141</v>
      </c>
      <c r="U35" s="2">
        <f t="shared" si="13"/>
        <v>192600</v>
      </c>
      <c r="V35" s="6">
        <f t="shared" si="14"/>
        <v>17334</v>
      </c>
      <c r="W35" s="6">
        <f t="shared" si="15"/>
        <v>4622.4000000000005</v>
      </c>
      <c r="X35" s="6">
        <f t="shared" si="16"/>
        <v>40299.257142857146</v>
      </c>
      <c r="Y35" s="5">
        <f t="shared" si="17"/>
        <v>67.165428571428578</v>
      </c>
      <c r="Z35" s="205">
        <f t="shared" si="20"/>
        <v>75259.100970631596</v>
      </c>
      <c r="AA35" s="205">
        <f t="shared" si="4"/>
        <v>17552.921359240601</v>
      </c>
      <c r="AB35" s="205">
        <f t="shared" si="0"/>
        <v>35663.319087356838</v>
      </c>
      <c r="AC35" s="205">
        <f t="shared" si="1"/>
        <v>9510.2184232951586</v>
      </c>
      <c r="AD35" s="205">
        <f t="shared" si="5"/>
        <v>104.54409811648766</v>
      </c>
      <c r="AE35" s="206">
        <f t="shared" si="6"/>
        <v>37.378669545059083</v>
      </c>
    </row>
    <row r="36" spans="1:31" x14ac:dyDescent="0.25">
      <c r="A36" s="1">
        <v>24</v>
      </c>
      <c r="B36" s="1" t="str">
        <f t="shared" si="7"/>
        <v>0.33, Tractor (250-349 hp) Track 300</v>
      </c>
      <c r="C36" s="142">
        <v>0.33</v>
      </c>
      <c r="D36" s="138" t="s">
        <v>424</v>
      </c>
      <c r="E36" s="138" t="s">
        <v>252</v>
      </c>
      <c r="F36" s="138" t="s">
        <v>135</v>
      </c>
      <c r="G36" s="138" t="str">
        <f t="shared" si="2"/>
        <v>Tractor (250-349 hp) Track 300</v>
      </c>
      <c r="H36" s="239">
        <v>329000</v>
      </c>
      <c r="I36" s="1">
        <v>15.441800000000001</v>
      </c>
      <c r="J36" s="1">
        <v>20</v>
      </c>
      <c r="K36" s="1">
        <v>60</v>
      </c>
      <c r="L36" s="1">
        <v>14</v>
      </c>
      <c r="M36" s="1">
        <v>600</v>
      </c>
      <c r="N36" s="1">
        <v>0</v>
      </c>
      <c r="O36" s="11">
        <f t="shared" si="8"/>
        <v>8400</v>
      </c>
      <c r="P36" s="11">
        <v>1</v>
      </c>
      <c r="Q36" s="8">
        <f t="shared" si="9"/>
        <v>14100</v>
      </c>
      <c r="R36" s="7">
        <f t="shared" si="10"/>
        <v>23.5</v>
      </c>
      <c r="S36" s="2">
        <f t="shared" si="11"/>
        <v>65800</v>
      </c>
      <c r="T36" s="2">
        <f t="shared" si="12"/>
        <v>18800</v>
      </c>
      <c r="U36" s="2">
        <f t="shared" si="13"/>
        <v>197400</v>
      </c>
      <c r="V36" s="6">
        <f t="shared" si="14"/>
        <v>17766</v>
      </c>
      <c r="W36" s="6">
        <f t="shared" si="15"/>
        <v>4737.6000000000004</v>
      </c>
      <c r="X36" s="6">
        <f t="shared" si="16"/>
        <v>41303.599999999999</v>
      </c>
      <c r="Y36" s="5">
        <f t="shared" si="17"/>
        <v>68.839333333333329</v>
      </c>
      <c r="Z36" s="205">
        <f t="shared" si="20"/>
        <v>77134.717194198747</v>
      </c>
      <c r="AA36" s="205">
        <f t="shared" si="4"/>
        <v>17990.377343271517</v>
      </c>
      <c r="AB36" s="205">
        <f t="shared" si="0"/>
        <v>36552.124547477884</v>
      </c>
      <c r="AC36" s="205">
        <f t="shared" si="1"/>
        <v>9747.2332126607707</v>
      </c>
      <c r="AD36" s="205">
        <f t="shared" si="5"/>
        <v>107.14955850568363</v>
      </c>
      <c r="AE36" s="206">
        <f t="shared" si="6"/>
        <v>38.3102251723503</v>
      </c>
    </row>
    <row r="37" spans="1:31" x14ac:dyDescent="0.25">
      <c r="A37" s="1">
        <v>25</v>
      </c>
      <c r="B37" s="1" t="str">
        <f t="shared" si="7"/>
        <v>0.34, Tractor (350-449 hp) 4WD 400</v>
      </c>
      <c r="C37" s="142">
        <v>0.34</v>
      </c>
      <c r="D37" s="138" t="s">
        <v>424</v>
      </c>
      <c r="E37" s="138" t="s">
        <v>253</v>
      </c>
      <c r="F37" s="138" t="s">
        <v>134</v>
      </c>
      <c r="G37" s="138" t="str">
        <f t="shared" si="2"/>
        <v>Tractor (350-449 hp) 4WD 400</v>
      </c>
      <c r="H37" s="239">
        <v>366000</v>
      </c>
      <c r="I37" s="1">
        <v>20.588999999999999</v>
      </c>
      <c r="J37" s="1">
        <v>20</v>
      </c>
      <c r="K37" s="1">
        <v>60</v>
      </c>
      <c r="L37" s="1">
        <v>14</v>
      </c>
      <c r="M37" s="1">
        <v>600</v>
      </c>
      <c r="N37" s="1">
        <v>0</v>
      </c>
      <c r="O37" s="11">
        <f t="shared" si="8"/>
        <v>8400</v>
      </c>
      <c r="P37" s="11">
        <v>1</v>
      </c>
      <c r="Q37" s="8">
        <f t="shared" si="9"/>
        <v>15685.714285714286</v>
      </c>
      <c r="R37" s="7">
        <f t="shared" si="10"/>
        <v>26.142857142857142</v>
      </c>
      <c r="S37" s="2">
        <f t="shared" si="11"/>
        <v>73200</v>
      </c>
      <c r="T37" s="2">
        <f t="shared" si="12"/>
        <v>20914.285714285714</v>
      </c>
      <c r="U37" s="2">
        <f t="shared" si="13"/>
        <v>219600</v>
      </c>
      <c r="V37" s="6">
        <f t="shared" si="14"/>
        <v>19764</v>
      </c>
      <c r="W37" s="6">
        <f t="shared" si="15"/>
        <v>5270.4000000000005</v>
      </c>
      <c r="X37" s="6">
        <f t="shared" si="16"/>
        <v>45948.685714285712</v>
      </c>
      <c r="Y37" s="5">
        <f t="shared" si="17"/>
        <v>76.581142857142851</v>
      </c>
      <c r="Z37" s="205">
        <f t="shared" si="20"/>
        <v>85809.442228196785</v>
      </c>
      <c r="AA37" s="205">
        <f t="shared" si="4"/>
        <v>20013.611269414516</v>
      </c>
      <c r="AB37" s="205">
        <f t="shared" si="0"/>
        <v>40662.849800537711</v>
      </c>
      <c r="AC37" s="205">
        <f t="shared" si="1"/>
        <v>10843.426613476722</v>
      </c>
      <c r="AD37" s="205">
        <f t="shared" si="5"/>
        <v>119.19981280571493</v>
      </c>
      <c r="AE37" s="206">
        <f t="shared" si="6"/>
        <v>42.618669948572077</v>
      </c>
    </row>
    <row r="38" spans="1:31" x14ac:dyDescent="0.25">
      <c r="A38" s="1">
        <v>26</v>
      </c>
      <c r="B38" s="1" t="str">
        <f t="shared" si="7"/>
        <v>0.35, Tractor (350-449 hp) Track 400</v>
      </c>
      <c r="C38" s="142">
        <v>0.35</v>
      </c>
      <c r="D38" s="138" t="s">
        <v>424</v>
      </c>
      <c r="E38" s="138" t="s">
        <v>253</v>
      </c>
      <c r="F38" s="138" t="s">
        <v>133</v>
      </c>
      <c r="G38" s="138" t="str">
        <f t="shared" si="2"/>
        <v>Tractor (350-449 hp) Track 400</v>
      </c>
      <c r="H38" s="239">
        <v>453000</v>
      </c>
      <c r="I38" s="1">
        <v>20.588999999999999</v>
      </c>
      <c r="J38" s="1">
        <v>20</v>
      </c>
      <c r="K38" s="1">
        <v>60</v>
      </c>
      <c r="L38" s="1">
        <v>14</v>
      </c>
      <c r="M38" s="1">
        <v>600</v>
      </c>
      <c r="N38" s="1">
        <v>0</v>
      </c>
      <c r="O38" s="11">
        <f t="shared" si="8"/>
        <v>8400</v>
      </c>
      <c r="P38" s="11">
        <v>1</v>
      </c>
      <c r="Q38" s="8">
        <f t="shared" si="9"/>
        <v>19414.285714285714</v>
      </c>
      <c r="R38" s="7">
        <f t="shared" si="10"/>
        <v>32.357142857142854</v>
      </c>
      <c r="S38" s="2">
        <f t="shared" si="11"/>
        <v>90600</v>
      </c>
      <c r="T38" s="2">
        <f t="shared" si="12"/>
        <v>25885.714285714286</v>
      </c>
      <c r="U38" s="2">
        <f t="shared" si="13"/>
        <v>271800</v>
      </c>
      <c r="V38" s="6">
        <f t="shared" si="14"/>
        <v>24462</v>
      </c>
      <c r="W38" s="6">
        <f t="shared" si="15"/>
        <v>6523.2</v>
      </c>
      <c r="X38" s="6">
        <f t="shared" si="16"/>
        <v>56870.914285714287</v>
      </c>
      <c r="Y38" s="5">
        <f t="shared" si="17"/>
        <v>94.784857142857149</v>
      </c>
      <c r="Z38" s="205">
        <f t="shared" si="20"/>
        <v>106206.76865948946</v>
      </c>
      <c r="AA38" s="205">
        <f t="shared" si="4"/>
        <v>24770.945095750754</v>
      </c>
      <c r="AB38" s="205">
        <f t="shared" si="0"/>
        <v>50328.609179354047</v>
      </c>
      <c r="AC38" s="205">
        <f t="shared" si="1"/>
        <v>13420.962447827747</v>
      </c>
      <c r="AD38" s="205">
        <f t="shared" si="5"/>
        <v>147.5341945382209</v>
      </c>
      <c r="AE38" s="206">
        <f t="shared" si="6"/>
        <v>52.749337395363753</v>
      </c>
    </row>
    <row r="39" spans="1:31" x14ac:dyDescent="0.25">
      <c r="A39" s="1">
        <v>56</v>
      </c>
      <c r="B39" s="1" t="str">
        <f t="shared" si="7"/>
        <v>0.36, Tractor (450-550 hp) 4WD 500</v>
      </c>
      <c r="C39" s="142">
        <v>0.36</v>
      </c>
      <c r="D39" s="138" t="s">
        <v>424</v>
      </c>
      <c r="E39" s="138" t="s">
        <v>254</v>
      </c>
      <c r="F39" s="138" t="s">
        <v>132</v>
      </c>
      <c r="G39" s="138" t="str">
        <f t="shared" si="2"/>
        <v>Tractor (450-550 hp) 4WD 500</v>
      </c>
      <c r="H39" s="239">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5">
        <f t="shared" si="20"/>
        <v>96594.235513707856</v>
      </c>
      <c r="AA39" s="205">
        <f t="shared" si="4"/>
        <v>22528.983177592298</v>
      </c>
      <c r="AB39" s="205">
        <f t="shared" si="0"/>
        <v>45773.481196233704</v>
      </c>
      <c r="AC39" s="205">
        <f t="shared" si="1"/>
        <v>12206.261652328989</v>
      </c>
      <c r="AD39" s="205">
        <f t="shared" si="5"/>
        <v>134.18121004359165</v>
      </c>
      <c r="AE39" s="206">
        <f t="shared" si="6"/>
        <v>47.975114805496403</v>
      </c>
    </row>
    <row r="40" spans="1:31" x14ac:dyDescent="0.25">
      <c r="A40" s="1">
        <v>55</v>
      </c>
      <c r="B40" s="1" t="str">
        <f t="shared" si="7"/>
        <v>0.37, Tractor (450-550 hp) Track 500</v>
      </c>
      <c r="C40" s="142">
        <v>0.37</v>
      </c>
      <c r="D40" s="138" t="s">
        <v>424</v>
      </c>
      <c r="E40" s="138" t="s">
        <v>254</v>
      </c>
      <c r="F40" s="138" t="s">
        <v>131</v>
      </c>
      <c r="G40" s="138" t="str">
        <f t="shared" si="2"/>
        <v>Tractor (450-550 hp) Track 500</v>
      </c>
      <c r="H40" s="239">
        <v>470000</v>
      </c>
      <c r="I40" s="1">
        <v>25.736000000000001</v>
      </c>
      <c r="J40" s="1">
        <v>20</v>
      </c>
      <c r="K40" s="1">
        <v>60</v>
      </c>
      <c r="L40" s="1">
        <v>14</v>
      </c>
      <c r="M40" s="1">
        <v>600</v>
      </c>
      <c r="N40" s="1">
        <v>0</v>
      </c>
      <c r="O40" s="11">
        <f t="shared" si="8"/>
        <v>8400</v>
      </c>
      <c r="P40" s="11">
        <v>1</v>
      </c>
      <c r="Q40" s="8">
        <f t="shared" si="9"/>
        <v>20142.857142857141</v>
      </c>
      <c r="R40" s="7">
        <f t="shared" si="10"/>
        <v>33.571428571428569</v>
      </c>
      <c r="S40" s="2">
        <f t="shared" si="11"/>
        <v>94000</v>
      </c>
      <c r="T40" s="2">
        <f t="shared" si="12"/>
        <v>26857.142857142859</v>
      </c>
      <c r="U40" s="2">
        <f t="shared" si="13"/>
        <v>282000</v>
      </c>
      <c r="V40" s="6">
        <f t="shared" si="14"/>
        <v>25380</v>
      </c>
      <c r="W40" s="6">
        <f t="shared" si="15"/>
        <v>6768</v>
      </c>
      <c r="X40" s="6">
        <f t="shared" si="16"/>
        <v>59005.142857142855</v>
      </c>
      <c r="Y40" s="5">
        <f t="shared" si="17"/>
        <v>98.341904761904757</v>
      </c>
      <c r="Z40" s="205">
        <f t="shared" si="20"/>
        <v>110192.45313456963</v>
      </c>
      <c r="AA40" s="205">
        <f t="shared" si="4"/>
        <v>25700.539061816457</v>
      </c>
      <c r="AB40" s="205">
        <f t="shared" si="0"/>
        <v>52217.320782111259</v>
      </c>
      <c r="AC40" s="205">
        <f t="shared" si="1"/>
        <v>13924.618875229669</v>
      </c>
      <c r="AD40" s="205">
        <f t="shared" si="5"/>
        <v>153.07079786526231</v>
      </c>
      <c r="AE40" s="206">
        <f t="shared" si="6"/>
        <v>54.728893103357549</v>
      </c>
    </row>
    <row r="41" spans="1:31" x14ac:dyDescent="0.25">
      <c r="A41" s="1">
        <v>68</v>
      </c>
      <c r="B41" s="1" t="str">
        <f t="shared" si="7"/>
        <v>0.38, Utility Vehicle 500 CC</v>
      </c>
      <c r="C41" s="142">
        <v>0.38</v>
      </c>
      <c r="D41" s="138" t="s">
        <v>424</v>
      </c>
      <c r="E41" s="138" t="s">
        <v>209</v>
      </c>
      <c r="F41" s="138" t="s">
        <v>130</v>
      </c>
      <c r="G41" s="138" t="str">
        <f t="shared" si="2"/>
        <v>Utility Vehicle 500 CC</v>
      </c>
      <c r="H41" s="289">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5">
        <f>((0.786-0.063*(L41^0.5)-0.0033*(M41^0.5))^2)*H41</f>
        <v>2003.5943990583587</v>
      </c>
      <c r="AA41" s="205">
        <f t="shared" si="4"/>
        <v>421.17182863868868</v>
      </c>
      <c r="AB41" s="205">
        <f t="shared" si="0"/>
        <v>891.32349591525224</v>
      </c>
      <c r="AC41" s="205">
        <f t="shared" si="1"/>
        <v>237.6862655774006</v>
      </c>
      <c r="AD41" s="205">
        <f t="shared" si="5"/>
        <v>7.7509079506567078</v>
      </c>
      <c r="AE41" s="206">
        <f t="shared" si="6"/>
        <v>2.8489579506567075</v>
      </c>
    </row>
    <row r="42" spans="1:31" x14ac:dyDescent="0.25">
      <c r="A42" s="1">
        <v>66</v>
      </c>
      <c r="B42" s="1" t="str">
        <f t="shared" si="7"/>
        <v>0.39, Utility Vehicle 600 CC</v>
      </c>
      <c r="C42" s="142">
        <v>0.39</v>
      </c>
      <c r="D42" s="138" t="s">
        <v>424</v>
      </c>
      <c r="E42" s="138" t="s">
        <v>209</v>
      </c>
      <c r="F42" s="138" t="s">
        <v>129</v>
      </c>
      <c r="G42" s="138" t="str">
        <f t="shared" si="2"/>
        <v>Utility Vehicle 600 CC</v>
      </c>
      <c r="H42" s="239">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5">
        <f t="shared" ref="Z42:Z43" si="21">((0.786-0.063*(L42^0.5)-0.0033*(M42^0.5))^2)*H42</f>
        <v>2115.1869984995838</v>
      </c>
      <c r="AA42" s="205">
        <f t="shared" si="4"/>
        <v>444.62950010717259</v>
      </c>
      <c r="AB42" s="205">
        <f t="shared" si="0"/>
        <v>940.96682986496239</v>
      </c>
      <c r="AC42" s="205">
        <f t="shared" si="1"/>
        <v>250.92448796399</v>
      </c>
      <c r="AD42" s="205">
        <f t="shared" si="5"/>
        <v>8.1826040896806251</v>
      </c>
      <c r="AE42" s="206">
        <f t="shared" si="6"/>
        <v>3.007634089680626</v>
      </c>
    </row>
    <row r="43" spans="1:31" x14ac:dyDescent="0.25">
      <c r="A43" s="1">
        <v>67</v>
      </c>
      <c r="B43" s="1" t="str">
        <f t="shared" si="7"/>
        <v>0.4, Utility Vehicle 800 CC</v>
      </c>
      <c r="C43" s="142">
        <v>0.4</v>
      </c>
      <c r="D43" s="138" t="s">
        <v>424</v>
      </c>
      <c r="E43" s="138" t="s">
        <v>209</v>
      </c>
      <c r="F43" s="138" t="s">
        <v>128</v>
      </c>
      <c r="G43" s="138" t="str">
        <f t="shared" si="2"/>
        <v>Utility Vehicle 800 CC</v>
      </c>
      <c r="H43" s="239">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5">
        <f t="shared" si="21"/>
        <v>3094.1584390521489</v>
      </c>
      <c r="AA43" s="205">
        <f t="shared" si="4"/>
        <v>650.41725435341789</v>
      </c>
      <c r="AB43" s="205">
        <f t="shared" si="0"/>
        <v>1376.4742595146934</v>
      </c>
      <c r="AC43" s="205">
        <f t="shared" si="1"/>
        <v>367.05980253725158</v>
      </c>
      <c r="AD43" s="205">
        <f t="shared" si="5"/>
        <v>11.969756582026815</v>
      </c>
      <c r="AE43" s="206">
        <f t="shared" si="6"/>
        <v>4.3996565820268154</v>
      </c>
    </row>
  </sheetData>
  <sortState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88" bestFit="1" customWidth="1"/>
    <col min="2" max="2" width="33.85546875" style="188" bestFit="1" customWidth="1"/>
    <col min="3" max="3" width="3.42578125" style="138" bestFit="1" customWidth="1"/>
    <col min="4" max="4" width="2" style="138" bestFit="1" customWidth="1"/>
    <col min="5" max="5" width="12.42578125" style="138" bestFit="1" customWidth="1"/>
    <col min="6" max="6" width="7" style="138" bestFit="1" customWidth="1"/>
    <col min="7" max="7" width="18.42578125" style="138" bestFit="1" customWidth="1"/>
    <col min="8" max="8" width="10.85546875" style="239" customWidth="1"/>
    <col min="9" max="9" width="6.42578125" style="28" bestFit="1" customWidth="1"/>
    <col min="10" max="11" width="5.42578125" style="188" bestFit="1" customWidth="1"/>
    <col min="12" max="12" width="3" style="188" bestFit="1" customWidth="1"/>
    <col min="13" max="13" width="7.42578125" style="188" bestFit="1" customWidth="1"/>
    <col min="14" max="14" width="5.140625" style="188" bestFit="1" customWidth="1"/>
    <col min="15" max="15" width="5.7109375" style="188" bestFit="1" customWidth="1"/>
    <col min="16" max="16" width="5.28515625" style="188" bestFit="1" customWidth="1"/>
    <col min="17" max="18" width="5.42578125" style="188" bestFit="1" customWidth="1"/>
    <col min="19" max="20" width="5.28515625" style="188" bestFit="1" customWidth="1"/>
    <col min="21" max="22" width="4.42578125" style="188" bestFit="1" customWidth="1"/>
    <col min="23" max="23" width="9.28515625" style="188" bestFit="1" customWidth="1"/>
    <col min="24" max="24" width="8.42578125" style="188" bestFit="1" customWidth="1"/>
    <col min="25" max="25" width="9" style="188" bestFit="1" customWidth="1"/>
    <col min="26" max="26" width="7.7109375" style="5" bestFit="1" customWidth="1"/>
    <col min="27" max="27" width="10" style="188" bestFit="1" customWidth="1"/>
    <col min="28" max="28" width="9" style="188" bestFit="1" customWidth="1"/>
    <col min="29" max="29" width="10" style="188" bestFit="1" customWidth="1"/>
    <col min="30" max="30" width="9" style="188" bestFit="1" customWidth="1"/>
    <col min="31" max="31" width="8.85546875" style="188" bestFit="1" customWidth="1"/>
    <col min="32" max="32" width="9" style="188" bestFit="1" customWidth="1"/>
    <col min="33" max="33" width="8.7109375" style="5" bestFit="1" customWidth="1"/>
    <col min="34" max="16384" width="8.85546875" style="188"/>
  </cols>
  <sheetData>
    <row r="1" spans="1:36" x14ac:dyDescent="0.25">
      <c r="A1" s="318" t="s">
        <v>429</v>
      </c>
      <c r="B1" s="318"/>
      <c r="C1" s="138">
        <v>2</v>
      </c>
      <c r="D1" s="138">
        <v>3</v>
      </c>
      <c r="E1" s="138">
        <v>4</v>
      </c>
      <c r="F1" s="138">
        <v>5</v>
      </c>
      <c r="G1" s="188">
        <v>6</v>
      </c>
      <c r="H1" s="239">
        <v>7</v>
      </c>
      <c r="I1" s="30">
        <v>8</v>
      </c>
      <c r="J1" s="188">
        <v>9</v>
      </c>
      <c r="K1" s="188">
        <v>10</v>
      </c>
      <c r="L1" s="188">
        <v>11</v>
      </c>
      <c r="M1" s="188">
        <v>12</v>
      </c>
      <c r="N1" s="188">
        <v>13</v>
      </c>
      <c r="O1" s="188">
        <v>14</v>
      </c>
      <c r="P1" s="188">
        <v>15</v>
      </c>
      <c r="Q1" s="188">
        <v>16</v>
      </c>
      <c r="R1" s="188">
        <v>17</v>
      </c>
      <c r="S1" s="188">
        <v>18</v>
      </c>
      <c r="T1" s="188">
        <v>19</v>
      </c>
      <c r="U1" s="188">
        <v>20</v>
      </c>
      <c r="V1" s="188">
        <v>21</v>
      </c>
      <c r="W1" s="188">
        <v>22</v>
      </c>
      <c r="X1" s="188">
        <v>23</v>
      </c>
      <c r="Y1" s="188">
        <v>24</v>
      </c>
      <c r="Z1" s="5">
        <v>25</v>
      </c>
      <c r="AA1" s="188">
        <v>26</v>
      </c>
      <c r="AB1" s="188">
        <v>27</v>
      </c>
      <c r="AC1" s="188">
        <v>28</v>
      </c>
      <c r="AD1" s="188">
        <v>29</v>
      </c>
      <c r="AE1" s="188">
        <v>30</v>
      </c>
      <c r="AF1" s="188">
        <v>31</v>
      </c>
      <c r="AG1" s="5">
        <v>32</v>
      </c>
    </row>
    <row r="2" spans="1:36" x14ac:dyDescent="0.25">
      <c r="B2" s="39"/>
      <c r="C2" s="170"/>
      <c r="D2" s="170"/>
      <c r="E2" s="144"/>
      <c r="S2" s="316" t="s">
        <v>125</v>
      </c>
      <c r="T2" s="316"/>
      <c r="U2" s="316"/>
      <c r="V2" s="316"/>
      <c r="W2" s="316"/>
      <c r="X2" s="316"/>
      <c r="Y2" s="317" t="s">
        <v>124</v>
      </c>
      <c r="Z2" s="317"/>
    </row>
    <row r="3" spans="1:36" s="15" customFormat="1" ht="10.35" customHeight="1" x14ac:dyDescent="0.2">
      <c r="A3" s="26" t="s">
        <v>423</v>
      </c>
      <c r="B3" s="26" t="s">
        <v>122</v>
      </c>
      <c r="C3" s="140" t="s">
        <v>123</v>
      </c>
      <c r="D3" s="140" t="s">
        <v>425</v>
      </c>
      <c r="E3" s="141" t="s">
        <v>121</v>
      </c>
      <c r="F3" s="141" t="s">
        <v>120</v>
      </c>
      <c r="G3" s="141" t="s">
        <v>426</v>
      </c>
      <c r="H3" s="28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64" t="s">
        <v>102</v>
      </c>
      <c r="AA3" s="18" t="s">
        <v>101</v>
      </c>
      <c r="AB3" s="18" t="s">
        <v>100</v>
      </c>
      <c r="AC3" s="18" t="s">
        <v>99</v>
      </c>
      <c r="AD3" s="18" t="s">
        <v>98</v>
      </c>
      <c r="AE3" s="17" t="s">
        <v>97</v>
      </c>
      <c r="AF3" s="17" t="s">
        <v>96</v>
      </c>
      <c r="AG3" s="166" t="s">
        <v>95</v>
      </c>
      <c r="AJ3" s="16"/>
    </row>
    <row r="4" spans="1:36" x14ac:dyDescent="0.25">
      <c r="A4" s="188">
        <v>92</v>
      </c>
      <c r="B4" s="188" t="str">
        <f t="shared" ref="B4:B24" si="0">CONCATENATE(C4,D4,E4,F4)</f>
        <v>0.04, Cotton Picker 4R-36 (255)</v>
      </c>
      <c r="C4" s="138">
        <v>0.04</v>
      </c>
      <c r="D4" s="138" t="s">
        <v>424</v>
      </c>
      <c r="E4" s="159" t="s">
        <v>210</v>
      </c>
      <c r="F4" s="159" t="s">
        <v>222</v>
      </c>
      <c r="G4" s="138" t="str">
        <f t="shared" ref="G4:G24" si="1">CONCATENATE(E4,F4)</f>
        <v>Cotton Picker 4R-36 (255)</v>
      </c>
      <c r="H4" s="239">
        <v>268000</v>
      </c>
      <c r="I4" s="28">
        <v>13.12548</v>
      </c>
      <c r="J4" s="32">
        <v>12</v>
      </c>
      <c r="K4" s="31">
        <v>3.6</v>
      </c>
      <c r="L4" s="30">
        <v>70</v>
      </c>
      <c r="M4" s="189">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65">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7">
        <f t="shared" ref="AG4:AG24" si="14">AF4/Q4</f>
        <v>216.54400000000001</v>
      </c>
    </row>
    <row r="5" spans="1:36" x14ac:dyDescent="0.25">
      <c r="A5" s="188">
        <v>45</v>
      </c>
      <c r="B5" s="188" t="str">
        <f t="shared" si="0"/>
        <v>0.05, Cotton Picker 4R-36 (350)</v>
      </c>
      <c r="C5" s="138">
        <v>0.05</v>
      </c>
      <c r="D5" s="138" t="s">
        <v>424</v>
      </c>
      <c r="E5" s="159" t="s">
        <v>210</v>
      </c>
      <c r="F5" s="159" t="s">
        <v>223</v>
      </c>
      <c r="G5" s="138" t="str">
        <f t="shared" si="1"/>
        <v>Cotton Picker 4R-36 (350)</v>
      </c>
      <c r="H5" s="239">
        <v>351000</v>
      </c>
      <c r="I5" s="28">
        <v>18.015000000000001</v>
      </c>
      <c r="J5" s="32">
        <v>12</v>
      </c>
      <c r="K5" s="31">
        <v>3.6</v>
      </c>
      <c r="L5" s="30">
        <v>70</v>
      </c>
      <c r="M5" s="189">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65">
        <f t="shared" si="7"/>
        <v>54.84375</v>
      </c>
      <c r="AA5" s="2">
        <f t="shared" si="8"/>
        <v>105300</v>
      </c>
      <c r="AB5" s="2">
        <f t="shared" si="9"/>
        <v>30712.5</v>
      </c>
      <c r="AC5" s="2">
        <f t="shared" si="10"/>
        <v>228150</v>
      </c>
      <c r="AD5" s="2">
        <f t="shared" si="11"/>
        <v>20533.5</v>
      </c>
      <c r="AE5" s="2">
        <f t="shared" si="12"/>
        <v>5475.6</v>
      </c>
      <c r="AF5" s="2">
        <f t="shared" si="13"/>
        <v>56721.599999999999</v>
      </c>
      <c r="AG5" s="167">
        <f t="shared" si="14"/>
        <v>283.608</v>
      </c>
    </row>
    <row r="6" spans="1:36" s="239" customFormat="1" x14ac:dyDescent="0.25">
      <c r="A6" s="239">
        <v>51</v>
      </c>
      <c r="B6" s="239" t="str">
        <f t="shared" si="0"/>
        <v>0.09, Cotton Picker 6R-36 (355)</v>
      </c>
      <c r="C6" s="240">
        <v>0.09</v>
      </c>
      <c r="D6" s="240" t="s">
        <v>424</v>
      </c>
      <c r="E6" s="260" t="s">
        <v>210</v>
      </c>
      <c r="F6" s="260" t="s">
        <v>226</v>
      </c>
      <c r="G6" s="240" t="str">
        <f t="shared" si="1"/>
        <v>Cotton Picker 6R-36 (355)</v>
      </c>
      <c r="H6" s="239">
        <v>465000</v>
      </c>
      <c r="I6" s="262">
        <v>18.273</v>
      </c>
      <c r="J6" s="263">
        <v>18</v>
      </c>
      <c r="K6" s="264">
        <v>3.6</v>
      </c>
      <c r="L6" s="241">
        <v>70</v>
      </c>
      <c r="M6" s="242">
        <f t="shared" si="2"/>
        <v>0.18187830687830689</v>
      </c>
      <c r="N6" s="261">
        <v>30</v>
      </c>
      <c r="O6" s="261">
        <v>25</v>
      </c>
      <c r="P6" s="261">
        <v>8</v>
      </c>
      <c r="Q6" s="261">
        <v>200</v>
      </c>
      <c r="R6" s="262">
        <v>0</v>
      </c>
      <c r="S6" s="239">
        <f t="shared" si="3"/>
        <v>1600</v>
      </c>
      <c r="T6" s="239">
        <v>1</v>
      </c>
      <c r="U6" s="264">
        <v>0.6</v>
      </c>
      <c r="V6" s="264">
        <v>1.85</v>
      </c>
      <c r="W6" s="243">
        <f t="shared" si="4"/>
        <v>14207.239289498088</v>
      </c>
      <c r="X6" s="243">
        <f t="shared" si="5"/>
        <v>71.03619644749044</v>
      </c>
      <c r="Y6" s="243">
        <f t="shared" si="6"/>
        <v>14531.25</v>
      </c>
      <c r="Z6" s="265">
        <f t="shared" si="7"/>
        <v>72.65625</v>
      </c>
      <c r="AA6" s="243">
        <f t="shared" si="8"/>
        <v>139500</v>
      </c>
      <c r="AB6" s="243">
        <f t="shared" si="9"/>
        <v>40687.5</v>
      </c>
      <c r="AC6" s="243">
        <f t="shared" si="10"/>
        <v>302250</v>
      </c>
      <c r="AD6" s="243">
        <f t="shared" si="11"/>
        <v>27202.5</v>
      </c>
      <c r="AE6" s="243">
        <f t="shared" si="12"/>
        <v>7254</v>
      </c>
      <c r="AF6" s="243">
        <f t="shared" si="13"/>
        <v>75144</v>
      </c>
      <c r="AG6" s="265">
        <f t="shared" si="14"/>
        <v>375.72</v>
      </c>
    </row>
    <row r="7" spans="1:36" x14ac:dyDescent="0.25">
      <c r="A7" s="188">
        <v>102</v>
      </c>
      <c r="B7" s="188" t="str">
        <f t="shared" si="0"/>
        <v>0.1, Cotton Picker/Module 4R-36 (365)</v>
      </c>
      <c r="C7" s="138">
        <v>0.1</v>
      </c>
      <c r="D7" s="138" t="s">
        <v>424</v>
      </c>
      <c r="E7" s="159" t="s">
        <v>211</v>
      </c>
      <c r="F7" s="159" t="s">
        <v>549</v>
      </c>
      <c r="G7" s="138" t="str">
        <f t="shared" si="1"/>
        <v>Cotton Picker/Module 4R-36 (365)</v>
      </c>
      <c r="H7" s="239">
        <v>536000</v>
      </c>
      <c r="I7" s="28">
        <v>18.786999999999999</v>
      </c>
      <c r="J7" s="32">
        <v>12</v>
      </c>
      <c r="K7" s="31">
        <v>3.6</v>
      </c>
      <c r="L7" s="30">
        <v>70</v>
      </c>
      <c r="M7" s="189">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65">
        <f t="shared" si="7"/>
        <v>83.75</v>
      </c>
      <c r="AA7" s="2">
        <f t="shared" si="8"/>
        <v>160800</v>
      </c>
      <c r="AB7" s="2">
        <f t="shared" si="9"/>
        <v>46900</v>
      </c>
      <c r="AC7" s="2">
        <f t="shared" si="10"/>
        <v>348400</v>
      </c>
      <c r="AD7" s="2">
        <f t="shared" si="11"/>
        <v>31356</v>
      </c>
      <c r="AE7" s="2">
        <f t="shared" si="12"/>
        <v>8361.6</v>
      </c>
      <c r="AF7" s="2">
        <f t="shared" si="13"/>
        <v>86617.600000000006</v>
      </c>
      <c r="AG7" s="167">
        <f t="shared" si="14"/>
        <v>433.08800000000002</v>
      </c>
    </row>
    <row r="8" spans="1:36" x14ac:dyDescent="0.25">
      <c r="A8" s="188">
        <v>55</v>
      </c>
      <c r="B8" s="188" t="str">
        <f t="shared" si="0"/>
        <v>0.13, Cotton Picker/Module 6R-36 (365)</v>
      </c>
      <c r="C8" s="138">
        <v>0.13</v>
      </c>
      <c r="D8" s="138" t="s">
        <v>424</v>
      </c>
      <c r="E8" s="159" t="s">
        <v>211</v>
      </c>
      <c r="F8" s="159" t="s">
        <v>227</v>
      </c>
      <c r="G8" s="138" t="str">
        <f t="shared" si="1"/>
        <v>Cotton Picker/Module 6R-36 (365)</v>
      </c>
      <c r="H8" s="239">
        <v>536000</v>
      </c>
      <c r="I8" s="28">
        <v>18.786999999999999</v>
      </c>
      <c r="J8" s="32">
        <v>18</v>
      </c>
      <c r="K8" s="31">
        <v>3.6</v>
      </c>
      <c r="L8" s="30">
        <v>70</v>
      </c>
      <c r="M8" s="189">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65">
        <f t="shared" si="7"/>
        <v>83.75</v>
      </c>
      <c r="AA8" s="2">
        <f t="shared" si="8"/>
        <v>160800</v>
      </c>
      <c r="AB8" s="2">
        <f t="shared" si="9"/>
        <v>46900</v>
      </c>
      <c r="AC8" s="2">
        <f t="shared" si="10"/>
        <v>348400</v>
      </c>
      <c r="AD8" s="2">
        <f t="shared" si="11"/>
        <v>31356</v>
      </c>
      <c r="AE8" s="2">
        <f t="shared" si="12"/>
        <v>8361.6</v>
      </c>
      <c r="AF8" s="2">
        <f t="shared" si="13"/>
        <v>86617.600000000006</v>
      </c>
      <c r="AG8" s="167">
        <f t="shared" si="14"/>
        <v>433.08800000000002</v>
      </c>
    </row>
    <row r="9" spans="1:36" s="239" customFormat="1" x14ac:dyDescent="0.25">
      <c r="A9" s="239">
        <v>84</v>
      </c>
      <c r="B9" s="239" t="str">
        <f t="shared" si="0"/>
        <v>0.14, Cotton Picker/Module 6R-36 (500)</v>
      </c>
      <c r="C9" s="240">
        <v>0.14000000000000001</v>
      </c>
      <c r="D9" s="240" t="s">
        <v>424</v>
      </c>
      <c r="E9" s="260" t="s">
        <v>211</v>
      </c>
      <c r="F9" s="260" t="s">
        <v>228</v>
      </c>
      <c r="G9" s="240" t="str">
        <f t="shared" si="1"/>
        <v>Cotton Picker/Module 6R-36 (500)</v>
      </c>
      <c r="H9" s="239">
        <v>800800</v>
      </c>
      <c r="I9" s="262">
        <v>25.736000000000001</v>
      </c>
      <c r="J9" s="263">
        <v>18</v>
      </c>
      <c r="K9" s="264">
        <v>3.6</v>
      </c>
      <c r="L9" s="241">
        <v>70</v>
      </c>
      <c r="M9" s="242">
        <f t="shared" si="2"/>
        <v>0.18187830687830689</v>
      </c>
      <c r="N9" s="261">
        <v>30</v>
      </c>
      <c r="O9" s="261">
        <v>25</v>
      </c>
      <c r="P9" s="261">
        <v>8</v>
      </c>
      <c r="Q9" s="261">
        <v>200</v>
      </c>
      <c r="R9" s="262">
        <v>0</v>
      </c>
      <c r="S9" s="239">
        <f t="shared" si="3"/>
        <v>1600</v>
      </c>
      <c r="T9" s="239">
        <v>1</v>
      </c>
      <c r="U9" s="264">
        <v>0.6</v>
      </c>
      <c r="V9" s="264">
        <v>1.85</v>
      </c>
      <c r="W9" s="243">
        <f t="shared" si="4"/>
        <v>24467.004780709827</v>
      </c>
      <c r="X9" s="243">
        <f t="shared" si="5"/>
        <v>122.33502390354914</v>
      </c>
      <c r="Y9" s="243">
        <f t="shared" si="6"/>
        <v>25025</v>
      </c>
      <c r="Z9" s="265">
        <f t="shared" si="7"/>
        <v>125.125</v>
      </c>
      <c r="AA9" s="243">
        <f t="shared" si="8"/>
        <v>240240</v>
      </c>
      <c r="AB9" s="243">
        <f t="shared" si="9"/>
        <v>70070</v>
      </c>
      <c r="AC9" s="243">
        <f t="shared" si="10"/>
        <v>520520</v>
      </c>
      <c r="AD9" s="243">
        <f t="shared" si="11"/>
        <v>46846.799999999996</v>
      </c>
      <c r="AE9" s="243">
        <f t="shared" si="12"/>
        <v>12492.48</v>
      </c>
      <c r="AF9" s="243">
        <f t="shared" si="13"/>
        <v>129409.27999999998</v>
      </c>
      <c r="AG9" s="265">
        <f t="shared" si="14"/>
        <v>647.04639999999995</v>
      </c>
    </row>
    <row r="10" spans="1:36" x14ac:dyDescent="0.25">
      <c r="A10" s="188">
        <v>107</v>
      </c>
      <c r="B10" s="188" t="str">
        <f t="shared" si="0"/>
        <v xml:space="preserve">0.15, Backhoe 2WD Cab </v>
      </c>
      <c r="C10" s="138">
        <v>0.15</v>
      </c>
      <c r="D10" s="138" t="s">
        <v>424</v>
      </c>
      <c r="E10" s="159" t="s">
        <v>439</v>
      </c>
      <c r="F10" s="159" t="s">
        <v>438</v>
      </c>
      <c r="G10" s="138" t="str">
        <f t="shared" si="1"/>
        <v xml:space="preserve">Backhoe 2WD Cab </v>
      </c>
      <c r="H10" s="289">
        <v>86000</v>
      </c>
      <c r="I10" s="28">
        <v>2.125</v>
      </c>
      <c r="J10" s="32">
        <v>2</v>
      </c>
      <c r="K10" s="31">
        <v>10</v>
      </c>
      <c r="L10" s="30">
        <v>80</v>
      </c>
      <c r="M10" s="189">
        <f t="shared" si="2"/>
        <v>0.515625</v>
      </c>
      <c r="N10" s="29">
        <v>30</v>
      </c>
      <c r="O10" s="29">
        <v>15</v>
      </c>
      <c r="P10" s="29">
        <v>15</v>
      </c>
      <c r="Q10" s="29">
        <v>150</v>
      </c>
      <c r="R10" s="28">
        <v>0</v>
      </c>
      <c r="S10" s="11">
        <f t="shared" si="3"/>
        <v>2250</v>
      </c>
      <c r="T10" s="11">
        <v>1</v>
      </c>
      <c r="U10" s="12">
        <v>0.7</v>
      </c>
      <c r="V10" s="12">
        <v>2.25</v>
      </c>
      <c r="W10" s="27">
        <f t="shared" si="4"/>
        <v>842.95001773724346</v>
      </c>
      <c r="X10" s="208">
        <f t="shared" si="5"/>
        <v>5.6196667849149566</v>
      </c>
      <c r="Y10" s="8">
        <f t="shared" si="6"/>
        <v>860</v>
      </c>
      <c r="Z10" s="165">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7">
        <f>AF10/Q10</f>
        <v>69.239555555555569</v>
      </c>
    </row>
    <row r="11" spans="1:36" x14ac:dyDescent="0.25">
      <c r="A11" s="188">
        <v>22</v>
      </c>
      <c r="B11" s="188" t="str">
        <f t="shared" si="0"/>
        <v>0.16, Dry Applicator SP 70' 300 cu ft</v>
      </c>
      <c r="C11" s="138">
        <v>0.16</v>
      </c>
      <c r="D11" s="138" t="s">
        <v>424</v>
      </c>
      <c r="E11" s="159" t="s">
        <v>212</v>
      </c>
      <c r="F11" s="159" t="s">
        <v>229</v>
      </c>
      <c r="G11" s="138" t="str">
        <f t="shared" si="1"/>
        <v>Dry Applicator SP 70' 300 cu ft</v>
      </c>
      <c r="H11" s="239">
        <v>365000</v>
      </c>
      <c r="I11" s="28">
        <v>16.984999999999999</v>
      </c>
      <c r="J11" s="32">
        <v>70</v>
      </c>
      <c r="K11" s="31">
        <v>12</v>
      </c>
      <c r="L11" s="30">
        <v>65</v>
      </c>
      <c r="M11" s="189">
        <f t="shared" si="2"/>
        <v>1.5109890109890108E-2</v>
      </c>
      <c r="N11" s="29">
        <v>30</v>
      </c>
      <c r="O11" s="29">
        <v>15</v>
      </c>
      <c r="P11" s="29">
        <v>8</v>
      </c>
      <c r="Q11" s="29">
        <v>350</v>
      </c>
      <c r="R11" s="28">
        <v>0</v>
      </c>
      <c r="S11" s="11">
        <f t="shared" si="3"/>
        <v>2800</v>
      </c>
      <c r="T11" s="11">
        <v>1</v>
      </c>
      <c r="U11" s="12">
        <v>0.4</v>
      </c>
      <c r="V11" s="12">
        <v>1.4</v>
      </c>
      <c r="W11" s="27">
        <f t="shared" si="4"/>
        <v>33577.481452099484</v>
      </c>
      <c r="X11" s="27">
        <f t="shared" si="5"/>
        <v>95.935661291712819</v>
      </c>
      <c r="Y11" s="8">
        <f t="shared" si="6"/>
        <v>6843.75</v>
      </c>
      <c r="Z11" s="165">
        <f t="shared" si="7"/>
        <v>19.553571428571427</v>
      </c>
      <c r="AA11" s="2">
        <f t="shared" si="8"/>
        <v>109500</v>
      </c>
      <c r="AB11" s="2">
        <f t="shared" si="9"/>
        <v>31937.5</v>
      </c>
      <c r="AC11" s="2">
        <f t="shared" si="10"/>
        <v>237250</v>
      </c>
      <c r="AD11" s="2">
        <f t="shared" si="11"/>
        <v>21352.5</v>
      </c>
      <c r="AE11" s="2">
        <f t="shared" si="12"/>
        <v>5694</v>
      </c>
      <c r="AF11" s="2">
        <f t="shared" si="13"/>
        <v>58984</v>
      </c>
      <c r="AG11" s="167">
        <f t="shared" si="14"/>
        <v>168.52571428571429</v>
      </c>
    </row>
    <row r="12" spans="1:36" x14ac:dyDescent="0.25">
      <c r="A12" s="188">
        <v>85</v>
      </c>
      <c r="B12" s="188" t="str">
        <f t="shared" si="0"/>
        <v>0.17, Sprayer  110 Gal 30' 50 hp</v>
      </c>
      <c r="C12" s="138">
        <v>0.17</v>
      </c>
      <c r="D12" s="138" t="s">
        <v>424</v>
      </c>
      <c r="E12" s="159" t="s">
        <v>213</v>
      </c>
      <c r="F12" s="159" t="s">
        <v>230</v>
      </c>
      <c r="G12" s="138" t="str">
        <f t="shared" si="1"/>
        <v>Sprayer  110 Gal 30' 50 hp</v>
      </c>
      <c r="H12" s="289">
        <v>50000</v>
      </c>
      <c r="I12" s="28">
        <v>2.419</v>
      </c>
      <c r="J12" s="32">
        <v>30</v>
      </c>
      <c r="K12" s="31">
        <v>12</v>
      </c>
      <c r="L12" s="30">
        <v>65</v>
      </c>
      <c r="M12" s="189">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65">
        <f t="shared" si="7"/>
        <v>2.6785714285714284</v>
      </c>
      <c r="AA12" s="2">
        <f t="shared" si="8"/>
        <v>15000</v>
      </c>
      <c r="AB12" s="2">
        <f t="shared" si="9"/>
        <v>4375</v>
      </c>
      <c r="AC12" s="2">
        <f t="shared" si="10"/>
        <v>32500</v>
      </c>
      <c r="AD12" s="2">
        <f t="shared" si="11"/>
        <v>2925</v>
      </c>
      <c r="AE12" s="2">
        <f t="shared" si="12"/>
        <v>780</v>
      </c>
      <c r="AF12" s="2">
        <f t="shared" si="13"/>
        <v>8080</v>
      </c>
      <c r="AG12" s="167">
        <f t="shared" si="14"/>
        <v>23.085714285714285</v>
      </c>
    </row>
    <row r="13" spans="1:36" x14ac:dyDescent="0.25">
      <c r="A13" s="13">
        <v>72</v>
      </c>
      <c r="B13" s="188" t="str">
        <f t="shared" si="0"/>
        <v>0.18, Sprayer  300-450 gal 60' 125 hp</v>
      </c>
      <c r="C13" s="138">
        <v>0.18</v>
      </c>
      <c r="D13" s="138" t="s">
        <v>424</v>
      </c>
      <c r="E13" s="160" t="s">
        <v>214</v>
      </c>
      <c r="F13" s="160" t="s">
        <v>231</v>
      </c>
      <c r="G13" s="138" t="str">
        <f t="shared" si="1"/>
        <v>Sprayer  300-450 gal 60' 125 hp</v>
      </c>
      <c r="H13" s="289">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65">
        <f t="shared" si="7"/>
        <v>6.2678571428571432</v>
      </c>
      <c r="AA13" s="33">
        <f t="shared" si="8"/>
        <v>35100</v>
      </c>
      <c r="AB13" s="33">
        <f t="shared" si="9"/>
        <v>10237.5</v>
      </c>
      <c r="AC13" s="33">
        <f t="shared" si="10"/>
        <v>76050</v>
      </c>
      <c r="AD13" s="2">
        <f t="shared" si="11"/>
        <v>6844.5</v>
      </c>
      <c r="AE13" s="33">
        <f t="shared" si="12"/>
        <v>1825.2</v>
      </c>
      <c r="AF13" s="33">
        <f t="shared" si="13"/>
        <v>18907.2</v>
      </c>
      <c r="AG13" s="168">
        <f t="shared" si="14"/>
        <v>54.020571428571429</v>
      </c>
    </row>
    <row r="14" spans="1:36" x14ac:dyDescent="0.25">
      <c r="A14" s="188">
        <v>99</v>
      </c>
      <c r="B14" s="188" t="str">
        <f t="shared" si="0"/>
        <v>0.19, Sprayer  300-450 gal 80' 125 hp</v>
      </c>
      <c r="C14" s="138">
        <v>0.19</v>
      </c>
      <c r="D14" s="138" t="s">
        <v>424</v>
      </c>
      <c r="E14" s="159" t="s">
        <v>214</v>
      </c>
      <c r="F14" s="159" t="s">
        <v>232</v>
      </c>
      <c r="G14" s="138" t="str">
        <f t="shared" si="1"/>
        <v>Sprayer  300-450 gal 80' 125 hp</v>
      </c>
      <c r="H14" s="289">
        <v>120000</v>
      </c>
      <c r="I14" s="28">
        <v>6.4340000000000002</v>
      </c>
      <c r="J14" s="32">
        <v>80</v>
      </c>
      <c r="K14" s="31">
        <v>12</v>
      </c>
      <c r="L14" s="30">
        <v>65</v>
      </c>
      <c r="M14" s="189">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65">
        <f t="shared" si="7"/>
        <v>6.4285714285714288</v>
      </c>
      <c r="AA14" s="2">
        <f t="shared" si="8"/>
        <v>36000</v>
      </c>
      <c r="AB14" s="2">
        <f t="shared" si="9"/>
        <v>10500</v>
      </c>
      <c r="AC14" s="2">
        <f t="shared" si="10"/>
        <v>78000</v>
      </c>
      <c r="AD14" s="2">
        <f t="shared" si="11"/>
        <v>7020</v>
      </c>
      <c r="AE14" s="2">
        <f t="shared" si="12"/>
        <v>1872</v>
      </c>
      <c r="AF14" s="2">
        <f t="shared" si="13"/>
        <v>19392</v>
      </c>
      <c r="AG14" s="167">
        <f t="shared" si="14"/>
        <v>55.405714285714289</v>
      </c>
    </row>
    <row r="15" spans="1:36" x14ac:dyDescent="0.25">
      <c r="A15" s="188">
        <v>48</v>
      </c>
      <c r="B15" s="188" t="str">
        <f t="shared" si="0"/>
        <v>0.2, Sprayer  600-750 gal 60' 175 hp</v>
      </c>
      <c r="C15" s="138">
        <v>0.2</v>
      </c>
      <c r="D15" s="138" t="s">
        <v>424</v>
      </c>
      <c r="E15" s="159" t="s">
        <v>215</v>
      </c>
      <c r="F15" s="159" t="s">
        <v>233</v>
      </c>
      <c r="G15" s="138" t="str">
        <f t="shared" si="1"/>
        <v>Sprayer  600-750 gal 60' 175 hp</v>
      </c>
      <c r="H15" s="233">
        <v>216000</v>
      </c>
      <c r="I15" s="28">
        <v>9</v>
      </c>
      <c r="J15" s="32">
        <v>60</v>
      </c>
      <c r="K15" s="31">
        <v>12</v>
      </c>
      <c r="L15" s="30">
        <v>65</v>
      </c>
      <c r="M15" s="189">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65">
        <f t="shared" si="7"/>
        <v>11.571428571428571</v>
      </c>
      <c r="AA15" s="2">
        <f t="shared" si="8"/>
        <v>64800</v>
      </c>
      <c r="AB15" s="2">
        <f t="shared" si="9"/>
        <v>18900</v>
      </c>
      <c r="AC15" s="2">
        <f t="shared" si="10"/>
        <v>140400</v>
      </c>
      <c r="AD15" s="2">
        <f t="shared" si="11"/>
        <v>12636</v>
      </c>
      <c r="AE15" s="2">
        <f t="shared" si="12"/>
        <v>3369.6</v>
      </c>
      <c r="AF15" s="2">
        <f t="shared" si="13"/>
        <v>34905.599999999999</v>
      </c>
      <c r="AG15" s="167">
        <f t="shared" si="14"/>
        <v>99.730285714285714</v>
      </c>
    </row>
    <row r="16" spans="1:36" x14ac:dyDescent="0.25">
      <c r="A16" s="188">
        <v>104</v>
      </c>
      <c r="B16" s="188" t="str">
        <f t="shared" si="0"/>
        <v>0.21, Sprayer  600-825 gal 80' 175 hp</v>
      </c>
      <c r="C16" s="138">
        <v>0.21</v>
      </c>
      <c r="D16" s="138" t="s">
        <v>424</v>
      </c>
      <c r="E16" s="159" t="s">
        <v>216</v>
      </c>
      <c r="F16" s="159" t="s">
        <v>234</v>
      </c>
      <c r="G16" s="138" t="str">
        <f t="shared" si="1"/>
        <v>Sprayer  600-825 gal 80' 175 hp</v>
      </c>
      <c r="H16" s="233">
        <v>225000</v>
      </c>
      <c r="I16" s="28">
        <v>11.811999999999999</v>
      </c>
      <c r="J16" s="32">
        <v>80</v>
      </c>
      <c r="K16" s="31">
        <v>12</v>
      </c>
      <c r="L16" s="30">
        <v>65</v>
      </c>
      <c r="M16" s="189">
        <f t="shared" si="2"/>
        <v>1.3221153846153846E-2</v>
      </c>
      <c r="N16" s="29">
        <v>30</v>
      </c>
      <c r="O16" s="29">
        <v>15</v>
      </c>
      <c r="P16" s="29">
        <v>8</v>
      </c>
      <c r="Q16" s="29">
        <v>350</v>
      </c>
      <c r="R16" s="28">
        <v>0</v>
      </c>
      <c r="S16" s="11">
        <f t="shared" si="3"/>
        <v>2800</v>
      </c>
      <c r="T16" s="11">
        <v>1</v>
      </c>
      <c r="U16" s="12">
        <v>0.2</v>
      </c>
      <c r="V16" s="12">
        <v>2.25</v>
      </c>
      <c r="W16" s="27">
        <f t="shared" si="4"/>
        <v>4239.9976273154389</v>
      </c>
      <c r="X16" s="27">
        <f t="shared" si="5"/>
        <v>12.114278935186968</v>
      </c>
      <c r="Y16" s="8">
        <f t="shared" si="6"/>
        <v>4218.75</v>
      </c>
      <c r="Z16" s="165">
        <f t="shared" si="7"/>
        <v>12.053571428571429</v>
      </c>
      <c r="AA16" s="2">
        <f t="shared" si="8"/>
        <v>67500</v>
      </c>
      <c r="AB16" s="2">
        <f t="shared" si="9"/>
        <v>19687.5</v>
      </c>
      <c r="AC16" s="2">
        <f t="shared" si="10"/>
        <v>146250</v>
      </c>
      <c r="AD16" s="2">
        <f t="shared" si="11"/>
        <v>13162.5</v>
      </c>
      <c r="AE16" s="2">
        <f t="shared" si="12"/>
        <v>3510</v>
      </c>
      <c r="AF16" s="2">
        <f t="shared" si="13"/>
        <v>36360</v>
      </c>
      <c r="AG16" s="167">
        <f t="shared" si="14"/>
        <v>103.88571428571429</v>
      </c>
    </row>
    <row r="17" spans="1:33" x14ac:dyDescent="0.25">
      <c r="A17" s="188">
        <v>31</v>
      </c>
      <c r="B17" s="188" t="str">
        <f t="shared" si="0"/>
        <v>0.22, Sprayer  600-825 gal 90' 250 hp</v>
      </c>
      <c r="C17" s="138">
        <v>0.22</v>
      </c>
      <c r="D17" s="138" t="s">
        <v>424</v>
      </c>
      <c r="E17" s="159" t="s">
        <v>216</v>
      </c>
      <c r="F17" s="159" t="s">
        <v>235</v>
      </c>
      <c r="G17" s="138" t="str">
        <f t="shared" si="1"/>
        <v>Sprayer  600-825 gal 90' 250 hp</v>
      </c>
      <c r="H17" s="233">
        <v>322000</v>
      </c>
      <c r="I17" s="28">
        <v>12.739000000000001</v>
      </c>
      <c r="J17" s="32">
        <v>90</v>
      </c>
      <c r="K17" s="31">
        <v>12</v>
      </c>
      <c r="L17" s="30">
        <v>65</v>
      </c>
      <c r="M17" s="189">
        <f t="shared" si="2"/>
        <v>1.1752136752136752E-2</v>
      </c>
      <c r="N17" s="29">
        <v>30</v>
      </c>
      <c r="O17" s="29">
        <v>15</v>
      </c>
      <c r="P17" s="29">
        <v>8</v>
      </c>
      <c r="Q17" s="29">
        <v>350</v>
      </c>
      <c r="R17" s="28">
        <v>0</v>
      </c>
      <c r="S17" s="11">
        <f t="shared" si="3"/>
        <v>2800</v>
      </c>
      <c r="T17" s="11">
        <v>1</v>
      </c>
      <c r="U17" s="12">
        <v>0.2</v>
      </c>
      <c r="V17" s="12">
        <v>2.25</v>
      </c>
      <c r="W17" s="27">
        <f t="shared" si="4"/>
        <v>6067.9077155358718</v>
      </c>
      <c r="X17" s="27">
        <f t="shared" si="5"/>
        <v>17.336879187245348</v>
      </c>
      <c r="Y17" s="8">
        <f t="shared" si="6"/>
        <v>6037.5</v>
      </c>
      <c r="Z17" s="165">
        <f t="shared" si="7"/>
        <v>17.25</v>
      </c>
      <c r="AA17" s="2">
        <f t="shared" si="8"/>
        <v>96600</v>
      </c>
      <c r="AB17" s="2">
        <f t="shared" si="9"/>
        <v>28175</v>
      </c>
      <c r="AC17" s="2">
        <f t="shared" si="10"/>
        <v>209300</v>
      </c>
      <c r="AD17" s="2">
        <f t="shared" si="11"/>
        <v>18837</v>
      </c>
      <c r="AE17" s="2">
        <f t="shared" si="12"/>
        <v>5023.2</v>
      </c>
      <c r="AF17" s="2">
        <f t="shared" si="13"/>
        <v>52035.199999999997</v>
      </c>
      <c r="AG17" s="167">
        <f t="shared" si="14"/>
        <v>148.672</v>
      </c>
    </row>
    <row r="18" spans="1:33" x14ac:dyDescent="0.25">
      <c r="A18" s="188">
        <v>93</v>
      </c>
      <c r="B18" s="188" t="str">
        <f t="shared" si="0"/>
        <v>0.23, Sprayer  800 gal 80' 250 hp</v>
      </c>
      <c r="C18" s="138">
        <v>0.23</v>
      </c>
      <c r="D18" s="138" t="s">
        <v>424</v>
      </c>
      <c r="E18" s="159" t="s">
        <v>217</v>
      </c>
      <c r="F18" s="159" t="s">
        <v>236</v>
      </c>
      <c r="G18" s="138" t="str">
        <f t="shared" si="1"/>
        <v>Sprayer  800 gal 80' 250 hp</v>
      </c>
      <c r="H18" s="233">
        <v>292000</v>
      </c>
      <c r="I18" s="28">
        <v>12.8681</v>
      </c>
      <c r="J18" s="32">
        <v>80</v>
      </c>
      <c r="K18" s="31">
        <v>12</v>
      </c>
      <c r="L18" s="30">
        <v>65</v>
      </c>
      <c r="M18" s="189">
        <f t="shared" si="2"/>
        <v>1.3221153846153846E-2</v>
      </c>
      <c r="N18" s="29">
        <v>30</v>
      </c>
      <c r="O18" s="29">
        <v>15</v>
      </c>
      <c r="P18" s="29">
        <v>8</v>
      </c>
      <c r="Q18" s="29">
        <v>350</v>
      </c>
      <c r="R18" s="28">
        <v>0</v>
      </c>
      <c r="S18" s="11">
        <f t="shared" si="3"/>
        <v>2800</v>
      </c>
      <c r="T18" s="11">
        <v>1</v>
      </c>
      <c r="U18" s="12">
        <v>0.2</v>
      </c>
      <c r="V18" s="12">
        <v>2.25</v>
      </c>
      <c r="W18" s="27">
        <f t="shared" si="4"/>
        <v>5502.5746985604801</v>
      </c>
      <c r="X18" s="27">
        <f t="shared" si="5"/>
        <v>15.721641995887087</v>
      </c>
      <c r="Y18" s="8">
        <f t="shared" si="6"/>
        <v>5475</v>
      </c>
      <c r="Z18" s="165">
        <f t="shared" si="7"/>
        <v>15.642857142857142</v>
      </c>
      <c r="AA18" s="2">
        <f t="shared" si="8"/>
        <v>87600</v>
      </c>
      <c r="AB18" s="2">
        <f t="shared" si="9"/>
        <v>25550</v>
      </c>
      <c r="AC18" s="2">
        <f t="shared" si="10"/>
        <v>189800</v>
      </c>
      <c r="AD18" s="2">
        <f t="shared" si="11"/>
        <v>17082</v>
      </c>
      <c r="AE18" s="2">
        <f t="shared" si="12"/>
        <v>4555.2</v>
      </c>
      <c r="AF18" s="2">
        <f t="shared" si="13"/>
        <v>47187.199999999997</v>
      </c>
      <c r="AG18" s="167">
        <f t="shared" si="14"/>
        <v>134.82057142857141</v>
      </c>
    </row>
    <row r="19" spans="1:33" x14ac:dyDescent="0.25">
      <c r="A19" s="188">
        <v>56</v>
      </c>
      <c r="B19" s="188" t="str">
        <f t="shared" si="0"/>
        <v>0.24, Sprayer  800 gal 100' 250 hp</v>
      </c>
      <c r="C19" s="138">
        <v>0.24</v>
      </c>
      <c r="D19" s="138" t="s">
        <v>424</v>
      </c>
      <c r="E19" s="159" t="s">
        <v>217</v>
      </c>
      <c r="F19" s="159" t="s">
        <v>237</v>
      </c>
      <c r="G19" s="138" t="str">
        <f t="shared" si="1"/>
        <v>Sprayer  800 gal 100' 250 hp</v>
      </c>
      <c r="H19" s="233">
        <v>324000</v>
      </c>
      <c r="I19" s="28">
        <v>14.154</v>
      </c>
      <c r="J19" s="32">
        <v>100</v>
      </c>
      <c r="K19" s="31">
        <v>12</v>
      </c>
      <c r="L19" s="30">
        <v>65</v>
      </c>
      <c r="M19" s="189">
        <f t="shared" si="2"/>
        <v>1.0576923076923078E-2</v>
      </c>
      <c r="N19" s="29">
        <v>30</v>
      </c>
      <c r="O19" s="29">
        <v>15</v>
      </c>
      <c r="P19" s="29">
        <v>8</v>
      </c>
      <c r="Q19" s="29">
        <v>350</v>
      </c>
      <c r="R19" s="28">
        <v>0</v>
      </c>
      <c r="S19" s="11">
        <f t="shared" si="3"/>
        <v>2800</v>
      </c>
      <c r="T19" s="11">
        <v>1</v>
      </c>
      <c r="U19" s="12">
        <v>0.2</v>
      </c>
      <c r="V19" s="12">
        <v>2.25</v>
      </c>
      <c r="W19" s="27">
        <f t="shared" si="4"/>
        <v>6105.5965833342316</v>
      </c>
      <c r="X19" s="27">
        <f t="shared" si="5"/>
        <v>17.444561666669234</v>
      </c>
      <c r="Y19" s="8">
        <f t="shared" si="6"/>
        <v>6075</v>
      </c>
      <c r="Z19" s="165">
        <f t="shared" si="7"/>
        <v>17.357142857142858</v>
      </c>
      <c r="AA19" s="2">
        <f t="shared" si="8"/>
        <v>97200</v>
      </c>
      <c r="AB19" s="2">
        <f t="shared" si="9"/>
        <v>28350</v>
      </c>
      <c r="AC19" s="2">
        <f t="shared" si="10"/>
        <v>210600</v>
      </c>
      <c r="AD19" s="2">
        <f t="shared" si="11"/>
        <v>18954</v>
      </c>
      <c r="AE19" s="2">
        <f t="shared" si="12"/>
        <v>5054.4000000000005</v>
      </c>
      <c r="AF19" s="2">
        <f t="shared" si="13"/>
        <v>52358.400000000001</v>
      </c>
      <c r="AG19" s="167">
        <f t="shared" si="14"/>
        <v>149.59542857142858</v>
      </c>
    </row>
    <row r="20" spans="1:33" x14ac:dyDescent="0.25">
      <c r="A20" s="188">
        <v>101</v>
      </c>
      <c r="B20" s="188" t="str">
        <f t="shared" si="0"/>
        <v>0.25, Sprayer 1000-1400 gal 90' 275 hp</v>
      </c>
      <c r="C20" s="138">
        <v>0.25</v>
      </c>
      <c r="D20" s="138" t="s">
        <v>424</v>
      </c>
      <c r="E20" s="159" t="s">
        <v>218</v>
      </c>
      <c r="F20" s="159" t="s">
        <v>238</v>
      </c>
      <c r="G20" s="138" t="str">
        <f t="shared" si="1"/>
        <v>Sprayer 1000-1400 gal 90' 275 hp</v>
      </c>
      <c r="H20" s="233">
        <v>322000</v>
      </c>
      <c r="I20" s="28">
        <v>14.154</v>
      </c>
      <c r="J20" s="32">
        <v>90</v>
      </c>
      <c r="K20" s="31">
        <v>12</v>
      </c>
      <c r="L20" s="30">
        <v>65</v>
      </c>
      <c r="M20" s="189">
        <f t="shared" si="2"/>
        <v>1.1752136752136752E-2</v>
      </c>
      <c r="N20" s="29">
        <v>30</v>
      </c>
      <c r="O20" s="29">
        <v>15</v>
      </c>
      <c r="P20" s="29">
        <v>8</v>
      </c>
      <c r="Q20" s="29">
        <v>350</v>
      </c>
      <c r="R20" s="28">
        <v>0</v>
      </c>
      <c r="S20" s="11">
        <f t="shared" si="3"/>
        <v>2800</v>
      </c>
      <c r="T20" s="11">
        <v>1</v>
      </c>
      <c r="U20" s="12">
        <v>0.2</v>
      </c>
      <c r="V20" s="12">
        <v>2.25</v>
      </c>
      <c r="W20" s="27">
        <f t="shared" si="4"/>
        <v>6067.9077155358718</v>
      </c>
      <c r="X20" s="27">
        <f t="shared" si="5"/>
        <v>17.336879187245348</v>
      </c>
      <c r="Y20" s="8">
        <f t="shared" si="6"/>
        <v>6037.5</v>
      </c>
      <c r="Z20" s="165">
        <f t="shared" si="7"/>
        <v>17.25</v>
      </c>
      <c r="AA20" s="2">
        <f t="shared" si="8"/>
        <v>96600</v>
      </c>
      <c r="AB20" s="2">
        <f t="shared" si="9"/>
        <v>28175</v>
      </c>
      <c r="AC20" s="2">
        <f t="shared" si="10"/>
        <v>209300</v>
      </c>
      <c r="AD20" s="2">
        <f t="shared" si="11"/>
        <v>18837</v>
      </c>
      <c r="AE20" s="2">
        <f t="shared" si="12"/>
        <v>5023.2</v>
      </c>
      <c r="AF20" s="2">
        <f t="shared" si="13"/>
        <v>52035.199999999997</v>
      </c>
      <c r="AG20" s="167">
        <f t="shared" si="14"/>
        <v>148.672</v>
      </c>
    </row>
    <row r="21" spans="1:33" x14ac:dyDescent="0.25">
      <c r="A21" s="188">
        <v>103</v>
      </c>
      <c r="B21" s="188" t="str">
        <f t="shared" si="0"/>
        <v>0.26, Sprayer 1000 gal 100' 300 hp</v>
      </c>
      <c r="C21" s="138">
        <v>0.26</v>
      </c>
      <c r="D21" s="138" t="s">
        <v>424</v>
      </c>
      <c r="E21" s="159" t="s">
        <v>219</v>
      </c>
      <c r="F21" s="159" t="s">
        <v>239</v>
      </c>
      <c r="G21" s="138" t="str">
        <f t="shared" si="1"/>
        <v>Sprayer 1000 gal 100' 300 hp</v>
      </c>
      <c r="H21" s="233">
        <v>365000</v>
      </c>
      <c r="I21" s="28">
        <v>15.441000000000001</v>
      </c>
      <c r="J21" s="32">
        <v>100</v>
      </c>
      <c r="K21" s="31">
        <v>12</v>
      </c>
      <c r="L21" s="30">
        <v>65</v>
      </c>
      <c r="M21" s="189">
        <f t="shared" si="2"/>
        <v>1.0576923076923078E-2</v>
      </c>
      <c r="N21" s="29">
        <v>30</v>
      </c>
      <c r="O21" s="29">
        <v>15</v>
      </c>
      <c r="P21" s="29">
        <v>8</v>
      </c>
      <c r="Q21" s="29">
        <v>350</v>
      </c>
      <c r="R21" s="28">
        <v>0</v>
      </c>
      <c r="S21" s="11">
        <f t="shared" si="3"/>
        <v>2800</v>
      </c>
      <c r="T21" s="11">
        <v>1</v>
      </c>
      <c r="U21" s="12">
        <v>0.2</v>
      </c>
      <c r="V21" s="12">
        <v>2.25</v>
      </c>
      <c r="W21" s="27">
        <f t="shared" si="4"/>
        <v>6878.2183732006006</v>
      </c>
      <c r="X21" s="27">
        <f t="shared" si="5"/>
        <v>19.652052494858857</v>
      </c>
      <c r="Y21" s="8">
        <f t="shared" si="6"/>
        <v>6843.75</v>
      </c>
      <c r="Z21" s="165">
        <f t="shared" si="7"/>
        <v>19.553571428571427</v>
      </c>
      <c r="AA21" s="2">
        <f t="shared" si="8"/>
        <v>109500</v>
      </c>
      <c r="AB21" s="2">
        <f t="shared" si="9"/>
        <v>31937.5</v>
      </c>
      <c r="AC21" s="2">
        <f t="shared" si="10"/>
        <v>237250</v>
      </c>
      <c r="AD21" s="2">
        <f t="shared" si="11"/>
        <v>21352.5</v>
      </c>
      <c r="AE21" s="2">
        <f t="shared" si="12"/>
        <v>5694</v>
      </c>
      <c r="AF21" s="2">
        <f t="shared" si="13"/>
        <v>58984</v>
      </c>
      <c r="AG21" s="167">
        <f t="shared" si="14"/>
        <v>168.52571428571429</v>
      </c>
    </row>
    <row r="22" spans="1:33" x14ac:dyDescent="0.25">
      <c r="A22" s="188">
        <v>87</v>
      </c>
      <c r="B22" s="188" t="str">
        <f t="shared" si="0"/>
        <v>0.27, Sprayer 1200+ gal 120' 300 hp</v>
      </c>
      <c r="C22" s="138">
        <v>0.27</v>
      </c>
      <c r="D22" s="138" t="s">
        <v>424</v>
      </c>
      <c r="E22" s="159" t="s">
        <v>220</v>
      </c>
      <c r="F22" s="159" t="s">
        <v>240</v>
      </c>
      <c r="G22" s="138" t="str">
        <f t="shared" si="1"/>
        <v>Sprayer 1200+ gal 120' 300 hp</v>
      </c>
      <c r="H22" s="233">
        <v>392000</v>
      </c>
      <c r="I22" s="28">
        <v>15.442</v>
      </c>
      <c r="J22" s="32">
        <v>120</v>
      </c>
      <c r="K22" s="31">
        <v>12</v>
      </c>
      <c r="L22" s="30">
        <v>65</v>
      </c>
      <c r="M22" s="189">
        <f t="shared" si="2"/>
        <v>8.814102564102564E-3</v>
      </c>
      <c r="N22" s="29">
        <v>30</v>
      </c>
      <c r="O22" s="29">
        <v>15</v>
      </c>
      <c r="P22" s="29">
        <v>8</v>
      </c>
      <c r="Q22" s="29">
        <v>350</v>
      </c>
      <c r="R22" s="28">
        <v>0</v>
      </c>
      <c r="S22" s="11">
        <f t="shared" si="3"/>
        <v>2800</v>
      </c>
      <c r="T22" s="11">
        <v>1</v>
      </c>
      <c r="U22" s="12">
        <v>0.2</v>
      </c>
      <c r="V22" s="12">
        <v>2.25</v>
      </c>
      <c r="W22" s="27">
        <f t="shared" si="4"/>
        <v>7387.0180884784531</v>
      </c>
      <c r="X22" s="27">
        <f t="shared" si="5"/>
        <v>21.105765967081293</v>
      </c>
      <c r="Y22" s="8">
        <f t="shared" si="6"/>
        <v>7350</v>
      </c>
      <c r="Z22" s="165">
        <f t="shared" si="7"/>
        <v>21</v>
      </c>
      <c r="AA22" s="2">
        <f t="shared" si="8"/>
        <v>117600</v>
      </c>
      <c r="AB22" s="2">
        <f t="shared" si="9"/>
        <v>34300</v>
      </c>
      <c r="AC22" s="2">
        <f t="shared" si="10"/>
        <v>254800</v>
      </c>
      <c r="AD22" s="2">
        <f t="shared" si="11"/>
        <v>22932</v>
      </c>
      <c r="AE22" s="2">
        <f t="shared" si="12"/>
        <v>6115.2</v>
      </c>
      <c r="AF22" s="2">
        <f t="shared" si="13"/>
        <v>63347.199999999997</v>
      </c>
      <c r="AG22" s="167">
        <f t="shared" si="14"/>
        <v>180.99199999999999</v>
      </c>
    </row>
    <row r="23" spans="1:33" x14ac:dyDescent="0.25">
      <c r="A23" s="188">
        <v>83</v>
      </c>
      <c r="B23" s="188" t="str">
        <f t="shared" si="0"/>
        <v>0.28, Utility Vehicle 75" rope wic</v>
      </c>
      <c r="C23" s="138">
        <v>0.28000000000000003</v>
      </c>
      <c r="D23" s="138" t="s">
        <v>424</v>
      </c>
      <c r="E23" s="159" t="s">
        <v>209</v>
      </c>
      <c r="F23" s="159" t="s">
        <v>241</v>
      </c>
      <c r="G23" s="138" t="str">
        <f t="shared" si="1"/>
        <v>Utility Vehicle 75" rope wic</v>
      </c>
      <c r="H23" s="289">
        <v>9700</v>
      </c>
      <c r="I23" s="28">
        <v>0.4</v>
      </c>
      <c r="J23" s="32">
        <v>6.2</v>
      </c>
      <c r="K23" s="31">
        <v>12</v>
      </c>
      <c r="L23" s="30">
        <v>65</v>
      </c>
      <c r="M23" s="189">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65">
        <f t="shared" si="7"/>
        <v>1.515625</v>
      </c>
      <c r="AA23" s="2">
        <f t="shared" si="8"/>
        <v>2910</v>
      </c>
      <c r="AB23" s="2">
        <f t="shared" si="9"/>
        <v>848.75</v>
      </c>
      <c r="AC23" s="2">
        <f t="shared" si="10"/>
        <v>6305</v>
      </c>
      <c r="AD23" s="2">
        <f t="shared" si="11"/>
        <v>567.44999999999993</v>
      </c>
      <c r="AE23" s="2">
        <f t="shared" si="12"/>
        <v>151.32</v>
      </c>
      <c r="AF23" s="2">
        <f t="shared" si="13"/>
        <v>1567.5199999999998</v>
      </c>
      <c r="AG23" s="167">
        <f t="shared" si="14"/>
        <v>7.8375999999999983</v>
      </c>
    </row>
    <row r="24" spans="1:33" x14ac:dyDescent="0.25">
      <c r="A24" s="188">
        <v>54</v>
      </c>
      <c r="B24" s="188" t="str">
        <f t="shared" si="0"/>
        <v>0.29, Utility Vehicle 20'</v>
      </c>
      <c r="C24" s="138">
        <v>0.28999999999999998</v>
      </c>
      <c r="D24" s="138" t="s">
        <v>424</v>
      </c>
      <c r="E24" s="159" t="s">
        <v>209</v>
      </c>
      <c r="F24" s="159" t="s">
        <v>8</v>
      </c>
      <c r="G24" s="138" t="str">
        <f t="shared" si="1"/>
        <v>Utility Vehicle 20'</v>
      </c>
      <c r="H24" s="289">
        <v>12200</v>
      </c>
      <c r="I24" s="28">
        <v>0.5</v>
      </c>
      <c r="J24" s="32">
        <v>20</v>
      </c>
      <c r="K24" s="31">
        <v>12</v>
      </c>
      <c r="L24" s="30">
        <v>65</v>
      </c>
      <c r="M24" s="189">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65">
        <f t="shared" si="7"/>
        <v>1.90625</v>
      </c>
      <c r="AA24" s="2">
        <f t="shared" si="8"/>
        <v>3660</v>
      </c>
      <c r="AB24" s="2">
        <f t="shared" si="9"/>
        <v>1067.5</v>
      </c>
      <c r="AC24" s="2">
        <f t="shared" si="10"/>
        <v>7930</v>
      </c>
      <c r="AD24" s="2">
        <f t="shared" si="11"/>
        <v>713.69999999999993</v>
      </c>
      <c r="AE24" s="2">
        <f t="shared" si="12"/>
        <v>190.32</v>
      </c>
      <c r="AF24" s="2">
        <f t="shared" si="13"/>
        <v>1971.5199999999998</v>
      </c>
      <c r="AG24" s="167">
        <f t="shared" si="14"/>
        <v>9.8575999999999979</v>
      </c>
    </row>
    <row r="25" spans="1:33" x14ac:dyDescent="0.25">
      <c r="D25" s="138" t="s">
        <v>424</v>
      </c>
      <c r="G25" s="138" t="str">
        <f t="shared" ref="G25:G35" si="15">CONCATENATE(E25,F25)</f>
        <v/>
      </c>
    </row>
    <row r="26" spans="1:33" x14ac:dyDescent="0.25">
      <c r="D26" s="138" t="s">
        <v>424</v>
      </c>
      <c r="G26" s="138" t="str">
        <f t="shared" si="15"/>
        <v/>
      </c>
    </row>
    <row r="27" spans="1:33" x14ac:dyDescent="0.25">
      <c r="D27" s="138" t="s">
        <v>424</v>
      </c>
      <c r="G27" s="138" t="str">
        <f t="shared" si="15"/>
        <v/>
      </c>
    </row>
    <row r="28" spans="1:33" x14ac:dyDescent="0.25">
      <c r="D28" s="138" t="s">
        <v>424</v>
      </c>
      <c r="G28" s="138" t="str">
        <f t="shared" si="15"/>
        <v/>
      </c>
    </row>
    <row r="29" spans="1:33" x14ac:dyDescent="0.25">
      <c r="D29" s="138" t="s">
        <v>424</v>
      </c>
      <c r="G29" s="138" t="str">
        <f t="shared" si="15"/>
        <v/>
      </c>
    </row>
    <row r="30" spans="1:33" x14ac:dyDescent="0.25">
      <c r="D30" s="138" t="s">
        <v>424</v>
      </c>
      <c r="G30" s="138" t="str">
        <f t="shared" si="15"/>
        <v/>
      </c>
    </row>
    <row r="31" spans="1:33" x14ac:dyDescent="0.25">
      <c r="D31" s="138" t="s">
        <v>424</v>
      </c>
      <c r="G31" s="138" t="str">
        <f t="shared" si="15"/>
        <v/>
      </c>
    </row>
    <row r="32" spans="1:33" x14ac:dyDescent="0.25">
      <c r="C32" s="188"/>
      <c r="D32" s="138" t="s">
        <v>424</v>
      </c>
      <c r="G32" s="138" t="str">
        <f t="shared" si="15"/>
        <v/>
      </c>
      <c r="I32" s="188"/>
      <c r="Z32" s="188"/>
      <c r="AG32" s="188"/>
    </row>
    <row r="33" spans="3:33" x14ac:dyDescent="0.25">
      <c r="C33" s="188"/>
      <c r="D33" s="138" t="s">
        <v>424</v>
      </c>
      <c r="G33" s="138" t="str">
        <f t="shared" si="15"/>
        <v/>
      </c>
      <c r="I33" s="188"/>
      <c r="Z33" s="188"/>
      <c r="AG33" s="188"/>
    </row>
    <row r="34" spans="3:33" x14ac:dyDescent="0.25">
      <c r="C34" s="188"/>
      <c r="D34" s="138" t="s">
        <v>424</v>
      </c>
      <c r="G34" s="138" t="str">
        <f t="shared" si="15"/>
        <v/>
      </c>
      <c r="I34" s="188"/>
      <c r="Z34" s="188"/>
      <c r="AG34" s="188"/>
    </row>
    <row r="35" spans="3:33" x14ac:dyDescent="0.25">
      <c r="C35" s="188"/>
      <c r="D35" s="138" t="s">
        <v>424</v>
      </c>
      <c r="G35" s="138" t="str">
        <f t="shared" si="15"/>
        <v/>
      </c>
      <c r="I35" s="188"/>
      <c r="Z35" s="188"/>
      <c r="AG35" s="188"/>
    </row>
    <row r="36" spans="3:33" x14ac:dyDescent="0.25">
      <c r="C36" s="188"/>
      <c r="I36" s="188"/>
      <c r="Z36" s="188"/>
      <c r="AG36" s="188"/>
    </row>
    <row r="37" spans="3:33" x14ac:dyDescent="0.25">
      <c r="C37" s="188"/>
      <c r="I37" s="188"/>
      <c r="Z37" s="188"/>
      <c r="AG37" s="188"/>
    </row>
    <row r="38" spans="3:33" x14ac:dyDescent="0.25">
      <c r="C38" s="188"/>
      <c r="I38" s="188"/>
      <c r="Z38" s="188"/>
      <c r="AG38" s="188"/>
    </row>
    <row r="39" spans="3:33" x14ac:dyDescent="0.25">
      <c r="C39" s="188"/>
      <c r="I39" s="188"/>
      <c r="Z39" s="188"/>
      <c r="AG39" s="188"/>
    </row>
    <row r="40" spans="3:33" x14ac:dyDescent="0.25">
      <c r="C40" s="188"/>
      <c r="I40" s="188"/>
      <c r="Z40" s="188"/>
      <c r="AG40" s="188"/>
    </row>
    <row r="41" spans="3:33" x14ac:dyDescent="0.25">
      <c r="C41" s="188"/>
      <c r="I41" s="188"/>
      <c r="Z41" s="188"/>
      <c r="AG41" s="188"/>
    </row>
    <row r="42" spans="3:33" x14ac:dyDescent="0.25">
      <c r="C42" s="188"/>
      <c r="I42" s="188"/>
      <c r="Z42" s="188"/>
      <c r="AG42" s="188"/>
    </row>
    <row r="43" spans="3:33" x14ac:dyDescent="0.25">
      <c r="C43" s="188"/>
      <c r="I43" s="188"/>
      <c r="Z43" s="188"/>
      <c r="AG43" s="188"/>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Yangxuan Liu</cp:lastModifiedBy>
  <cp:lastPrinted>2019-09-05T19:20:49Z</cp:lastPrinted>
  <dcterms:created xsi:type="dcterms:W3CDTF">2010-11-24T19:49:39Z</dcterms:created>
  <dcterms:modified xsi:type="dcterms:W3CDTF">2021-01-25T17:11:50Z</dcterms:modified>
</cp:coreProperties>
</file>