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35" windowHeight="3705" activeTab="0"/>
  </bookViews>
  <sheets>
    <sheet name="Bud" sheetId="1" r:id="rId1"/>
    <sheet name="Yr1" sheetId="2" r:id="rId2"/>
    <sheet name="Yr2" sheetId="3" r:id="rId3"/>
    <sheet name="Yr3" sheetId="4" r:id="rId4"/>
    <sheet name="Chem" sheetId="5" r:id="rId5"/>
    <sheet name="Mach" sheetId="6" r:id="rId6"/>
    <sheet name="FxdCost" sheetId="7" r:id="rId7"/>
    <sheet name="Drip" sheetId="8" r:id="rId8"/>
    <sheet name="SSet" sheetId="9" r:id="rId9"/>
    <sheet name="Returns" sheetId="10" r:id="rId10"/>
    <sheet name="K" sheetId="11" r:id="rId11"/>
    <sheet name="L" sheetId="12" r:id="rId12"/>
  </sheets>
  <definedNames>
    <definedName name="\AUTOEXEC">'Bud'!$W$147:$W$149</definedName>
    <definedName name="\C">'Bud'!$I$163:$I$203</definedName>
    <definedName name="\T">'Bud'!$C$163:$C$203</definedName>
    <definedName name="\V">'Bud'!$O$147:$O$187</definedName>
    <definedName name="\X">'Bud'!$F$163:$F$203</definedName>
    <definedName name="\Y">'Bud'!$L$147:$L$187</definedName>
    <definedName name="\Z">'Bud'!$R$147:$R$187</definedName>
    <definedName name="ENR">'Bud'!$P$89:$P$89</definedName>
    <definedName name="ENR_MNR">'Bud'!$P$89:$P$89</definedName>
    <definedName name="ETR">'Bud'!$N$88:$N$88</definedName>
    <definedName name="EXPP">'Bud'!$P$70:$P$70</definedName>
    <definedName name="EXPY">'Bud'!$N$70:$N$70</definedName>
    <definedName name="MEDP">'Bud'!$G$14:$G$14</definedName>
    <definedName name="MEDY">'Bud'!$G$13:$G$13</definedName>
    <definedName name="MNR">'Bud'!$N$90:$N$90</definedName>
    <definedName name="MTC">'Bud'!$P$88:$P$88</definedName>
    <definedName name="MTCV">'Bud'!$P$88:$P$88</definedName>
    <definedName name="MTR">'Bud'!$N$89:$N$89</definedName>
    <definedName name="_xlnm.Print_Area" localSheetId="4">'Chem'!$A$1:$H$51</definedName>
    <definedName name="_xlnm.Print_Area" localSheetId="6">'FxdCost'!$A$1:$K$52</definedName>
    <definedName name="_xlnm.Print_Area" localSheetId="3">'Yr3'!$A$1:$S$48</definedName>
    <definedName name="STRHH">'Bud'!$N$84:$N$84</definedName>
    <definedName name="STRHL">'Bud'!$N$85:$N$85</definedName>
    <definedName name="STRLH">'Bud'!$P$85:$P$85</definedName>
    <definedName name="STRLL">'Bud'!$P$84:$P$84</definedName>
    <definedName name="STRO">'Bud'!$N$86:$N$86</definedName>
    <definedName name="STRP">'Bud'!$P$86:$P$86</definedName>
    <definedName name="UNIT">'Bud'!$I$9:$I$9</definedName>
    <definedName name="UNITCOST">'Bud'!$I$58:$I$58</definedName>
  </definedNames>
  <calcPr fullCalcOnLoad="1"/>
</workbook>
</file>

<file path=xl/sharedStrings.xml><?xml version="1.0" encoding="utf-8"?>
<sst xmlns="http://schemas.openxmlformats.org/spreadsheetml/2006/main" count="963" uniqueCount="467">
  <si>
    <t/>
  </si>
  <si>
    <t xml:space="preserve"> </t>
  </si>
  <si>
    <t xml:space="preserve">  </t>
  </si>
  <si>
    <t xml:space="preserve">          RISK RATED RETURNS OVER TOTAL COSTS</t>
  </si>
  <si>
    <t xml:space="preserve">         (Total Cost Budget)</t>
  </si>
  <si>
    <t xml:space="preserve">        *Number of acres =</t>
  </si>
  <si>
    <t xml:space="preserve">      The installation and initial investment cost per acre would vary with system size, design, PVC pipe and</t>
  </si>
  <si>
    <t xml:space="preserve">     certain installation</t>
  </si>
  <si>
    <t xml:space="preserve">     well &amp; pump already in use for other purposes.  Well may or may not be required for </t>
  </si>
  <si>
    <t xml:space="preserve">    Must match budget Entries</t>
  </si>
  <si>
    <t xml:space="preserve">    RABBITEYE BLUEBERRY - DRIP IRRIGATION</t>
  </si>
  <si>
    <t xml:space="preserve">  (standby charge) per year </t>
  </si>
  <si>
    <t xml:space="preserve">  ACRES</t>
  </si>
  <si>
    <t xml:space="preserve">  Best P</t>
  </si>
  <si>
    <t xml:space="preserve">  Best Y</t>
  </si>
  <si>
    <t xml:space="preserve">  Demand (standby charge) per YEAR</t>
  </si>
  <si>
    <t xml:space="preserve">  ENR</t>
  </si>
  <si>
    <t xml:space="preserve">  ENR-MNR</t>
  </si>
  <si>
    <t xml:space="preserve">  ETR</t>
  </si>
  <si>
    <t xml:space="preserve">  Exp. P</t>
  </si>
  <si>
    <t xml:space="preserve">  Exp. Y</t>
  </si>
  <si>
    <t xml:space="preserve">  Expected</t>
  </si>
  <si>
    <t xml:space="preserve">  Med. P</t>
  </si>
  <si>
    <t xml:space="preserve">  Med. Y</t>
  </si>
  <si>
    <t xml:space="preserve">  MNR</t>
  </si>
  <si>
    <t xml:space="preserve">  MP</t>
  </si>
  <si>
    <t xml:space="preserve">  MTC</t>
  </si>
  <si>
    <t xml:space="preserve">  MTR</t>
  </si>
  <si>
    <t xml:space="preserve">  MY</t>
  </si>
  <si>
    <t xml:space="preserve">  Opt. P</t>
  </si>
  <si>
    <t xml:space="preserve">  Opt. Y</t>
  </si>
  <si>
    <t xml:space="preserve">  Optimistic</t>
  </si>
  <si>
    <t xml:space="preserve">  Pess. P</t>
  </si>
  <si>
    <t xml:space="preserve">  Pess. Y</t>
  </si>
  <si>
    <t xml:space="preserve">  Pessimistic</t>
  </si>
  <si>
    <t xml:space="preserve">  Rate $ per KWH</t>
  </si>
  <si>
    <t xml:space="preserve">  SPO</t>
  </si>
  <si>
    <t xml:space="preserve">  SPP</t>
  </si>
  <si>
    <t xml:space="preserve">  STRHH</t>
  </si>
  <si>
    <t xml:space="preserve">  STRHL</t>
  </si>
  <si>
    <t xml:space="preserve">  STRLH</t>
  </si>
  <si>
    <t xml:space="preserve">  STRLL</t>
  </si>
  <si>
    <t xml:space="preserve">  STRO</t>
  </si>
  <si>
    <t xml:space="preserve">  STRP</t>
  </si>
  <si>
    <t xml:space="preserve">  SYO</t>
  </si>
  <si>
    <t xml:space="preserve">  SYP</t>
  </si>
  <si>
    <t xml:space="preserve">  VPO</t>
  </si>
  <si>
    <t xml:space="preserve">  VPP</t>
  </si>
  <si>
    <t xml:space="preserve">  VTRHH</t>
  </si>
  <si>
    <t xml:space="preserve">  VTRHL</t>
  </si>
  <si>
    <t xml:space="preserve">  VTRLH</t>
  </si>
  <si>
    <t xml:space="preserve">  VTRLL</t>
  </si>
  <si>
    <t xml:space="preserve">  VYO</t>
  </si>
  <si>
    <t xml:space="preserve">  VYP</t>
  </si>
  <si>
    <t xml:space="preserve">  Worst P</t>
  </si>
  <si>
    <t xml:space="preserve">  Worst Y</t>
  </si>
  <si>
    <t xml:space="preserve"> Item</t>
  </si>
  <si>
    <t xml:space="preserve"> Operation</t>
  </si>
  <si>
    <t>$</t>
  </si>
  <si>
    <t>$Amt/ac</t>
  </si>
  <si>
    <t>%</t>
  </si>
  <si>
    <t>($)</t>
  </si>
  <si>
    <t>(ft.)</t>
  </si>
  <si>
    <t>(Gal.)</t>
  </si>
  <si>
    <t>(Hr.)</t>
  </si>
  <si>
    <t>(mph)</t>
  </si>
  <si>
    <t>****</t>
  </si>
  <si>
    <t>*Returns($)</t>
  </si>
  <si>
    <t>::</t>
  </si>
  <si>
    <t xml:space="preserve">1/  Normally irrigation/ freeze protection initial investment would cost the grower $2500 to $3000 per acre.  </t>
  </si>
  <si>
    <t>1/ Quantity discounts may affect prices.</t>
  </si>
  <si>
    <t>1/yr</t>
  </si>
  <si>
    <t>12/yr</t>
  </si>
  <si>
    <t xml:space="preserve">2/ Motor size (hp)/initial cost depends on the farm size and/or acreage or the existence of a </t>
  </si>
  <si>
    <t>2/yr</t>
  </si>
  <si>
    <t xml:space="preserve">2/yr </t>
  </si>
  <si>
    <t>3/ Frost protection would be in overhead irrigation budget</t>
  </si>
  <si>
    <t>3/yr</t>
  </si>
  <si>
    <t>4/yr</t>
  </si>
  <si>
    <t>5/yr</t>
  </si>
  <si>
    <t>8/yr</t>
  </si>
  <si>
    <t>Acre</t>
  </si>
  <si>
    <t>Acres</t>
  </si>
  <si>
    <t>ACRES</t>
  </si>
  <si>
    <t>ACRES IN SYSTEM</t>
  </si>
  <si>
    <t>Air Blast</t>
  </si>
  <si>
    <t>Amt/Ac.</t>
  </si>
  <si>
    <t>ANNUAL ENERGY COST</t>
  </si>
  <si>
    <t>ANNUAL ENERGY COST 3/</t>
  </si>
  <si>
    <t>ANNUAL ENERGY COST PER ACRE</t>
  </si>
  <si>
    <t>ANNUAL FIXED COSTS PER ACRE</t>
  </si>
  <si>
    <t>ANNUAL PUMPING HOURS</t>
  </si>
  <si>
    <t>Appl</t>
  </si>
  <si>
    <t>Appl.</t>
  </si>
  <si>
    <t>Appli</t>
  </si>
  <si>
    <t>Application</t>
  </si>
  <si>
    <t>BASED ON</t>
  </si>
  <si>
    <t>Bedding</t>
  </si>
  <si>
    <t>Best</t>
  </si>
  <si>
    <t>Botrytis (Elevate 50 WDG)</t>
  </si>
  <si>
    <t>Breaking aisles</t>
  </si>
  <si>
    <t>Calculation of NR and for Z values</t>
  </si>
  <si>
    <t>Calculations</t>
  </si>
  <si>
    <t>Chances</t>
  </si>
  <si>
    <t>CHANCES FOR PROFIT =</t>
  </si>
  <si>
    <t>Check valve</t>
  </si>
  <si>
    <t>Chopping</t>
  </si>
  <si>
    <t>Cooling, Handling &amp; Brokerage (15%)</t>
  </si>
  <si>
    <t>Copper sulfate</t>
  </si>
  <si>
    <t>Cost</t>
  </si>
  <si>
    <t>Crop</t>
  </si>
  <si>
    <t>Custom Packing</t>
  </si>
  <si>
    <t>Cut off valve</t>
  </si>
  <si>
    <t>Deprec.</t>
  </si>
  <si>
    <t>DEPREC.</t>
  </si>
  <si>
    <t>DEPTH OF WELL IN FEET</t>
  </si>
  <si>
    <t>Disk</t>
  </si>
  <si>
    <t>Ditching and drainage</t>
  </si>
  <si>
    <t>Dump wagon</t>
  </si>
  <si>
    <t>Effic.</t>
  </si>
  <si>
    <t>ELECTRICITY</t>
  </si>
  <si>
    <t>Equip.</t>
  </si>
  <si>
    <t>EXPECTED</t>
  </si>
  <si>
    <t>EXPECTED RETURNS FROM TOTAL ACREAGE</t>
  </si>
  <si>
    <t>FC/Ac</t>
  </si>
  <si>
    <t>FERT (10-10-10, banded)</t>
  </si>
  <si>
    <t>Fertilizer (Fertigation)</t>
  </si>
  <si>
    <t>Fertilizer (Liquid)</t>
  </si>
  <si>
    <t xml:space="preserve">Fertilizer (liquid) </t>
  </si>
  <si>
    <t>Fertilizer 1/</t>
  </si>
  <si>
    <t>Fertilizer tank (1500 gallon)</t>
  </si>
  <si>
    <t>Fertilizers</t>
  </si>
  <si>
    <t xml:space="preserve">Fertilizers </t>
  </si>
  <si>
    <t>Field</t>
  </si>
  <si>
    <t>Filter</t>
  </si>
  <si>
    <t>FILTER &amp; AUTO</t>
  </si>
  <si>
    <t>FIXED COSTS</t>
  </si>
  <si>
    <t>FIXED COSTS per ACRE</t>
  </si>
  <si>
    <t>fl.oz.</t>
  </si>
  <si>
    <t>For</t>
  </si>
  <si>
    <t>Fuel</t>
  </si>
  <si>
    <t>Fuel/hr</t>
  </si>
  <si>
    <t>Fungicide</t>
  </si>
  <si>
    <t>Fungicide (Indar 75WSP)</t>
  </si>
  <si>
    <t>Fungicides</t>
  </si>
  <si>
    <t>Gal</t>
  </si>
  <si>
    <t>Gross Establishment Cost per Acre</t>
  </si>
  <si>
    <t>Harrowing</t>
  </si>
  <si>
    <t>Harvest</t>
  </si>
  <si>
    <t>Harvester</t>
  </si>
  <si>
    <t xml:space="preserve">Harvesting </t>
  </si>
  <si>
    <t>Harvesting &amp; Marketing Costs</t>
  </si>
  <si>
    <t>Hour</t>
  </si>
  <si>
    <t>Hrs</t>
  </si>
  <si>
    <t>Ibs</t>
  </si>
  <si>
    <t>In reality , the higher fixed costs may begin earlier or later.</t>
  </si>
  <si>
    <t>Insect &amp; Disease Control</t>
  </si>
  <si>
    <t>Insecticide</t>
  </si>
  <si>
    <t>Insecticide (sevin 4L)</t>
  </si>
  <si>
    <t>Insecticides</t>
  </si>
  <si>
    <t>Installation</t>
  </si>
  <si>
    <t>INSTALLATION</t>
  </si>
  <si>
    <t>Installation and Labor</t>
  </si>
  <si>
    <t>Int</t>
  </si>
  <si>
    <t>Interest</t>
  </si>
  <si>
    <t>INTEREST</t>
  </si>
  <si>
    <t>INTEREST ON INVESTMENT CAPITAL</t>
  </si>
  <si>
    <t>Interest on Oper. Costs</t>
  </si>
  <si>
    <t>INTEREST RATE</t>
  </si>
  <si>
    <t>INVESTMENT</t>
  </si>
  <si>
    <t>INVESTMENT AND ANNUAL FIXED COSTS</t>
  </si>
  <si>
    <t>Irrigation</t>
  </si>
  <si>
    <t>Item</t>
  </si>
  <si>
    <t>Labor</t>
  </si>
  <si>
    <t xml:space="preserve">Labor </t>
  </si>
  <si>
    <t>Land prep 1/</t>
  </si>
  <si>
    <t>lbs</t>
  </si>
  <si>
    <t>Leaf Spots (Aliette WDG)</t>
  </si>
  <si>
    <t>Less Return From Receipts</t>
  </si>
  <si>
    <t>Life</t>
  </si>
  <si>
    <t>Mach</t>
  </si>
  <si>
    <t>MARKETED</t>
  </si>
  <si>
    <t xml:space="preserve">Mechanical topping </t>
  </si>
  <si>
    <t>Median</t>
  </si>
  <si>
    <t>Meter base</t>
  </si>
  <si>
    <t xml:space="preserve">Milled Pine Bark </t>
  </si>
  <si>
    <t>Misc</t>
  </si>
  <si>
    <t>MISC.</t>
  </si>
  <si>
    <t>MOTOR SIZE (HP)</t>
  </si>
  <si>
    <t>MOTOR SIZE (HP) 2/</t>
  </si>
  <si>
    <t>Mower</t>
  </si>
  <si>
    <t xml:space="preserve">Mummy Berry (Captan 50W) </t>
  </si>
  <si>
    <t>Net return levels (TOP ROW);</t>
  </si>
  <si>
    <t>Number</t>
  </si>
  <si>
    <t>OPERATING COST PER ACRE PER YEAR</t>
  </si>
  <si>
    <t>OPERATING COSTS</t>
  </si>
  <si>
    <t>Opt</t>
  </si>
  <si>
    <t>Other</t>
  </si>
  <si>
    <t>Over</t>
  </si>
  <si>
    <t>Overhead &amp; Management</t>
  </si>
  <si>
    <t>Ozs</t>
  </si>
  <si>
    <t>Per</t>
  </si>
  <si>
    <t>Percent</t>
  </si>
  <si>
    <t>Pess</t>
  </si>
  <si>
    <t>Pest &amp; Disease Control</t>
  </si>
  <si>
    <t>Phytophthora root rot (Ridomil Gold 4EC)</t>
  </si>
  <si>
    <t>PIPE &amp; FITTINGS 1/</t>
  </si>
  <si>
    <t>Planting</t>
  </si>
  <si>
    <t>Planting labor</t>
  </si>
  <si>
    <t>Plants</t>
  </si>
  <si>
    <t>Post Harvest Fert (18-46-0)</t>
  </si>
  <si>
    <t>Post-emergence</t>
  </si>
  <si>
    <t>Post-emergence (select 2 EC)</t>
  </si>
  <si>
    <t xml:space="preserve">Pre-emergence </t>
  </si>
  <si>
    <t>Pre-emergence (oryzlin)</t>
  </si>
  <si>
    <t>Pre-emergence (Simazine 4F)</t>
  </si>
  <si>
    <t>Pre-emergence (Solicam 80 WDG)</t>
  </si>
  <si>
    <t>Pre-Harvest</t>
  </si>
  <si>
    <t>Pre-Harvest Variable Costs</t>
  </si>
  <si>
    <t>Preplant weed Control</t>
  </si>
  <si>
    <t>Preplant Weed Control</t>
  </si>
  <si>
    <t>Price</t>
  </si>
  <si>
    <t>PRICE</t>
  </si>
  <si>
    <t>PRICE OF TUBING($/1000)</t>
  </si>
  <si>
    <t>Pruning</t>
  </si>
  <si>
    <t xml:space="preserve">Pruning     </t>
  </si>
  <si>
    <t>pt</t>
  </si>
  <si>
    <t>Pump &amp; Motor (electric)</t>
  </si>
  <si>
    <t>PUMP &amp; MOTOR 3/</t>
  </si>
  <si>
    <t>Purchase</t>
  </si>
  <si>
    <t>Qts</t>
  </si>
  <si>
    <t>Quant.</t>
  </si>
  <si>
    <t>Quantity</t>
  </si>
  <si>
    <t>Repairs</t>
  </si>
  <si>
    <t>REPAIRS</t>
  </si>
  <si>
    <t>Return over</t>
  </si>
  <si>
    <t>RETURNS</t>
  </si>
  <si>
    <t>Rots (Abound)</t>
  </si>
  <si>
    <t xml:space="preserve">Roundup   </t>
  </si>
  <si>
    <t>Roundup row middles (6' band)</t>
  </si>
  <si>
    <t>ROW WIDTH IN FEET</t>
  </si>
  <si>
    <t>Rpr/hr</t>
  </si>
  <si>
    <t xml:space="preserve">Salvage </t>
  </si>
  <si>
    <t>Shaker</t>
  </si>
  <si>
    <t>SPACING</t>
  </si>
  <si>
    <t>Speed</t>
  </si>
  <si>
    <t>Sprayer</t>
  </si>
  <si>
    <t>Stumping, pushing, burning 2/</t>
  </si>
  <si>
    <t>Sweeper/Blower</t>
  </si>
  <si>
    <t>TAXES &amp; INS.</t>
  </si>
  <si>
    <t>TAXES &amp; INSURANCE</t>
  </si>
  <si>
    <t>The chances of obtaining this level or less (BOTTOM ROW).</t>
  </si>
  <si>
    <t>The chances of obtaining this level or more (MIDDLE ROW); and</t>
  </si>
  <si>
    <t>This example assumes very good management practices.</t>
  </si>
  <si>
    <t xml:space="preserve">This year fixed costs for the mature orchard was used. </t>
  </si>
  <si>
    <t>Times</t>
  </si>
  <si>
    <t>Ton</t>
  </si>
  <si>
    <t>Total</t>
  </si>
  <si>
    <t>TOTAL</t>
  </si>
  <si>
    <t>TOTAL ANNUAL COSTS PER ACRE</t>
  </si>
  <si>
    <t>TOTAL ANNUAL DEBT  PAYMENT PER ACRE</t>
  </si>
  <si>
    <t>TOTAL ANNUAL FIXED COSTS</t>
  </si>
  <si>
    <t>TOTAL ANNUAL FIXED COSTS PER ACRE</t>
  </si>
  <si>
    <t>Total budgeted cost per acre</t>
  </si>
  <si>
    <t>Total Cost</t>
  </si>
  <si>
    <t>Total Establishment Costs</t>
  </si>
  <si>
    <t>Total Fixed Costs</t>
  </si>
  <si>
    <t>Total Gross Returns Per Acre</t>
  </si>
  <si>
    <t>Total Harvest</t>
  </si>
  <si>
    <t>Total Harvesting &amp; Marketing Costs</t>
  </si>
  <si>
    <t>Total Harvesting and Marketing Costs</t>
  </si>
  <si>
    <t>Total Investment</t>
  </si>
  <si>
    <t>TOTAL INVESTMENT</t>
  </si>
  <si>
    <t>Total Operating Cost</t>
  </si>
  <si>
    <t>Total Operations Costs</t>
  </si>
  <si>
    <t>Total Pre-Harvest</t>
  </si>
  <si>
    <t>Total Variable Costs</t>
  </si>
  <si>
    <t>Total Variable, Harvesting &amp; Marketing Costs</t>
  </si>
  <si>
    <t>Tractor  &amp; Equipment</t>
  </si>
  <si>
    <t>Tractor  &amp; sprayer</t>
  </si>
  <si>
    <t>Tractor &amp; sprayer</t>
  </si>
  <si>
    <t>Tractor &amp; sprayor</t>
  </si>
  <si>
    <t>Tractor &amp; spreader</t>
  </si>
  <si>
    <t>Tractor and equipment</t>
  </si>
  <si>
    <t>Tractor and Equipment</t>
  </si>
  <si>
    <t>Tractor,75(2)</t>
  </si>
  <si>
    <t>Tractor125</t>
  </si>
  <si>
    <t>Truck</t>
  </si>
  <si>
    <t>TUBING</t>
  </si>
  <si>
    <t>Unit</t>
  </si>
  <si>
    <t>Use</t>
  </si>
  <si>
    <t>Used</t>
  </si>
  <si>
    <t>Value</t>
  </si>
  <si>
    <t>Var. Cost</t>
  </si>
  <si>
    <t>Variable Costs</t>
  </si>
  <si>
    <t>VOLUME</t>
  </si>
  <si>
    <t>Wagon (used)</t>
  </si>
  <si>
    <t>Water tank</t>
  </si>
  <si>
    <t>Weed Control</t>
  </si>
  <si>
    <t>Weed Control (4' Band)</t>
  </si>
  <si>
    <t>Well (4") (50 gal/minute/acre)</t>
  </si>
  <si>
    <t>WELL (4") 2/</t>
  </si>
  <si>
    <t>Width</t>
  </si>
  <si>
    <t>Worst</t>
  </si>
  <si>
    <t>Year</t>
  </si>
  <si>
    <t>YEARS</t>
  </si>
  <si>
    <t>YEARS TUBING IS TO BE USED</t>
  </si>
  <si>
    <t>Yield</t>
  </si>
  <si>
    <t>YIELD/AC</t>
  </si>
  <si>
    <t>yr</t>
  </si>
  <si>
    <t>Yr</t>
  </si>
  <si>
    <t>Yrs.</t>
  </si>
  <si>
    <t>Plants (3' x 12')</t>
  </si>
  <si>
    <t>6/yr</t>
  </si>
  <si>
    <t xml:space="preserve">Pipe &amp; Fittings </t>
  </si>
  <si>
    <t xml:space="preserve">Sprinklers </t>
  </si>
  <si>
    <t>Well (8") (600 Gals/min)</t>
  </si>
  <si>
    <t xml:space="preserve"> 1st Year Estimated Establishment And Maintenance Cost Per Acre </t>
  </si>
  <si>
    <t xml:space="preserve">Quant. </t>
  </si>
  <si>
    <t>Amount</t>
  </si>
  <si>
    <t xml:space="preserve">            2nd Year Estimated And Maintenance Cost Per Acre </t>
  </si>
  <si>
    <t>Operating Costs</t>
  </si>
  <si>
    <t xml:space="preserve">Total Operating Costs </t>
  </si>
  <si>
    <t xml:space="preserve">Fixed Costs </t>
  </si>
  <si>
    <t xml:space="preserve">Total Fixed Costs </t>
  </si>
  <si>
    <t xml:space="preserve">Gross Establishment Cost Per Acre </t>
  </si>
  <si>
    <t>Total Establishment Cost Per Acre</t>
  </si>
  <si>
    <t>Pruning  (manual) (3' X 12')</t>
  </si>
  <si>
    <t>Sensitivity Analysis for Price and Yields</t>
  </si>
  <si>
    <t>Expected</t>
  </si>
  <si>
    <t>13/yr</t>
  </si>
  <si>
    <t xml:space="preserve">Phosphate (DAP or MAP) </t>
  </si>
  <si>
    <t>Break-Even (BE) Costs Per Lb.</t>
  </si>
  <si>
    <t xml:space="preserve">Total Variable Costs (VC) </t>
  </si>
  <si>
    <t>Total Establishment Cost/ Returns Per Acre</t>
  </si>
  <si>
    <t xml:space="preserve">                                 BASE BUDGETED NET REVENUE =</t>
  </si>
  <si>
    <t xml:space="preserve">Tractor &amp; Equipment </t>
  </si>
  <si>
    <t>GROWERS ARE EXPECTED TO INPUT THEIR ACTUAL DATA HERE</t>
  </si>
  <si>
    <t>THIS BUDGET IS INTERACTIVE</t>
  </si>
  <si>
    <t>Disclaimer:</t>
  </si>
  <si>
    <t>This budget is only a guideline.  Production practices, yields, selling and input prices vary significantly</t>
  </si>
  <si>
    <t>between growers, researchers, states, regions and nationally.  Growers are advised to enter their actual</t>
  </si>
  <si>
    <t xml:space="preserve">yields, selling and input price data.  </t>
  </si>
  <si>
    <t>$-Net</t>
  </si>
  <si>
    <t>Returns</t>
  </si>
  <si>
    <t xml:space="preserve">  BEH&amp;MC</t>
  </si>
  <si>
    <t>*********************************************************</t>
  </si>
  <si>
    <t>********************************************************</t>
  </si>
  <si>
    <t>**********************************************************</t>
  </si>
  <si>
    <t xml:space="preserve">                                          </t>
  </si>
  <si>
    <t>************************************************************</t>
  </si>
  <si>
    <t xml:space="preserve"> GROWERS ARE EXPECTED TO INPUT THEIR ACTUAL DATA HERE</t>
  </si>
  <si>
    <t>Quant</t>
  </si>
  <si>
    <t xml:space="preserve">            3rd Year Estimated And Maintenance Cost Per Acre </t>
  </si>
  <si>
    <t xml:space="preserve"> Labor</t>
  </si>
  <si>
    <t>Herbicide</t>
  </si>
  <si>
    <t>Rotary Mower</t>
  </si>
  <si>
    <t>Shake</t>
  </si>
  <si>
    <t>Sweep</t>
  </si>
  <si>
    <t>Haul</t>
  </si>
  <si>
    <t>Tax &amp;</t>
  </si>
  <si>
    <t>Ins</t>
  </si>
  <si>
    <t>IRRIGATION: 2 (Enter 0 for none, 1 for drip, 2 for Solid Set)</t>
  </si>
  <si>
    <t>* These prices are for new equipments. Used equipments could be purchased.</t>
  </si>
  <si>
    <t>10 by 10</t>
  </si>
  <si>
    <t>Operations</t>
  </si>
  <si>
    <t>Demand (standby charge) per YEAR</t>
  </si>
  <si>
    <t>Rate $ per KWH</t>
  </si>
  <si>
    <t>Years</t>
  </si>
  <si>
    <t>New</t>
  </si>
  <si>
    <t>Deprec</t>
  </si>
  <si>
    <t>Tax $</t>
  </si>
  <si>
    <t>Insurance</t>
  </si>
  <si>
    <t>SPRINKLER SPACING</t>
  </si>
  <si>
    <t>40 by 48</t>
  </si>
  <si>
    <t xml:space="preserve">  FC&amp;PHVC</t>
  </si>
  <si>
    <t xml:space="preserve">Sensitivity Risk Rated Returns Over Total Cost  </t>
  </si>
  <si>
    <t>Mark Rows</t>
  </si>
  <si>
    <t>Hand labor</t>
  </si>
  <si>
    <t xml:space="preserve">Soil test </t>
  </si>
  <si>
    <t>Lime</t>
  </si>
  <si>
    <t>Sub-soiler (1 shank)</t>
  </si>
  <si>
    <t>Chisel plow (8 ft.)</t>
  </si>
  <si>
    <t>Disk harrow (6 ft.)</t>
  </si>
  <si>
    <t>Trailer utility (10 ft.)</t>
  </si>
  <si>
    <t>Muscadine vine</t>
  </si>
  <si>
    <t>Each</t>
  </si>
  <si>
    <t>Plastic twine</t>
  </si>
  <si>
    <t>Hr</t>
  </si>
  <si>
    <t>Build Trellis Grapes</t>
  </si>
  <si>
    <t>End post wine grapes</t>
  </si>
  <si>
    <t>Wood post (3.5' x 6.5')</t>
  </si>
  <si>
    <t>Wire-wine grape (3,630 ft.)</t>
  </si>
  <si>
    <t>Grow tubes</t>
  </si>
  <si>
    <t>Wire links</t>
  </si>
  <si>
    <t>Wire vises</t>
  </si>
  <si>
    <t>Manual labor</t>
  </si>
  <si>
    <t>Gage wire</t>
  </si>
  <si>
    <t>Trickles</t>
  </si>
  <si>
    <t>Tubing (5/4", 13,311.21 ft.)</t>
  </si>
  <si>
    <t>Amm. Nitrate (34%)</t>
  </si>
  <si>
    <t>Rotary cutter 6 ft. (mow b/w rows)</t>
  </si>
  <si>
    <t>Side Dresser 1R 3ft. (34-0-0)</t>
  </si>
  <si>
    <t xml:space="preserve">Train &amp; stake </t>
  </si>
  <si>
    <t>Spray (broadcast 27')</t>
  </si>
  <si>
    <t>Rovral 4F (pt.)</t>
  </si>
  <si>
    <t>Side Dressing</t>
  </si>
  <si>
    <t>Fertilizer (34-0-0)</t>
  </si>
  <si>
    <t xml:space="preserve">Insecticide Spray (BC &amp; Band) </t>
  </si>
  <si>
    <t>Liquid lime sulfur</t>
  </si>
  <si>
    <t>Replant grapes</t>
  </si>
  <si>
    <t>Pruning &amp; Training</t>
  </si>
  <si>
    <t>Rotary Cutter (6 ft.)(Mow b/t rows)</t>
  </si>
  <si>
    <t>Trellis repair</t>
  </si>
  <si>
    <t>Pruning &amp; training</t>
  </si>
  <si>
    <t xml:space="preserve">Weedicide </t>
  </si>
  <si>
    <t>Sprayer 12 ft. (BC &amp; Band)</t>
  </si>
  <si>
    <t>Rotary Cutter (6 ft)(mow b/t rows)</t>
  </si>
  <si>
    <t>Fertilizers (34-0-0)</t>
  </si>
  <si>
    <t>Muscadine lug</t>
  </si>
  <si>
    <t>Cooling, Handling &amp; Brokerage (08%)</t>
  </si>
  <si>
    <t>Tractor &amp; sprayer (BC &amp; Wand, 12 ft.)</t>
  </si>
  <si>
    <t>Spot spray</t>
  </si>
  <si>
    <t>Pruning and training</t>
  </si>
  <si>
    <t>Rotary cutter (mow b/w rows)</t>
  </si>
  <si>
    <t>Tractor (MFWD 75 Hp)</t>
  </si>
  <si>
    <t>Utility Vehicle (4x4)</t>
  </si>
  <si>
    <t>Side Dresser (1R 3Ft; 2WD 75 Hp)</t>
  </si>
  <si>
    <t>Disk Harrow (10 ft.; MFWD 50 Hp)</t>
  </si>
  <si>
    <t>Trailer fruit (4' x 6'; trip 4 x 4)</t>
  </si>
  <si>
    <t>Sprayer (BC &amp; Wand; 12 ft 4 x 4)</t>
  </si>
  <si>
    <t>Sprayer (Broadcast; 27'; 2WD 50 Hp)</t>
  </si>
  <si>
    <t>Rotary Mower (6'; MFWD 50 Hp)</t>
  </si>
  <si>
    <t>Trailer utility (10 ft.; 2WD 50 Hp)</t>
  </si>
  <si>
    <t>Sub-soiler (shank; 2WD 75 Hp)</t>
  </si>
  <si>
    <t>Chisel plow (8 ft.; 2WD 75 Hp)</t>
  </si>
  <si>
    <t xml:space="preserve">           ANNUAL FIXED MACHINERY COSTS FOR MUSCADINE         </t>
  </si>
  <si>
    <t>Georgia Muscadine Grapes Using Single Trellis System</t>
  </si>
  <si>
    <t>Muscadine Grapes Budget Using Single Curtain Trellis System and Irrigation</t>
  </si>
  <si>
    <t>Total Pre-Variable Costs</t>
  </si>
  <si>
    <t>Fertilizer (10-10-10)</t>
  </si>
  <si>
    <t>Herbicides application</t>
  </si>
  <si>
    <t>Leaf analysis</t>
  </si>
  <si>
    <t xml:space="preserve">Herbicide </t>
  </si>
  <si>
    <t xml:space="preserve">IN GEORGIA USING SINGLE TRELLIS SYSTEM </t>
  </si>
  <si>
    <t xml:space="preserve">DRIP IRRIGATION FOR MUSCADINE GRAPES PRODUCTION </t>
  </si>
  <si>
    <t>*Yield (tons/acre)</t>
  </si>
  <si>
    <t>*$Price/ton</t>
  </si>
  <si>
    <t xml:space="preserve">  Extension Economist and Irwin Co. Agents, University of Georgia</t>
  </si>
  <si>
    <t>Prepared By Esendugue Greg Fonsah, Saurav Raj Kunwar  and Phillip Edwards</t>
  </si>
  <si>
    <t>CHEMICALS FOR MUSCADINE PRODUCTION IN GEORGIA</t>
  </si>
  <si>
    <t>ESTIMATING MACHINERY OPERATING COSTS FOR MUSCADINE IN GEORGIA</t>
  </si>
  <si>
    <t>Solid Set Irrigation - Muscadine 1/-</t>
  </si>
  <si>
    <t xml:space="preserve">     The initial investment for this example is $857.42 per acre based on only a 10 acre system.</t>
  </si>
  <si>
    <t xml:space="preserve">       the desired output.  Georgia growers prefer drip so solid set was not included in our calculations.</t>
  </si>
  <si>
    <t xml:space="preserve">MUSCADINE BUDGET IN GEORGIA RETURNS </t>
  </si>
  <si>
    <t xml:space="preserve">Cooling, Handling &amp; Brokerage </t>
  </si>
  <si>
    <t>BE Pre-harvest variable cost per ton ($)</t>
  </si>
  <si>
    <t>BE Harvest &amp; marketing cost per ton ($)</t>
  </si>
  <si>
    <t xml:space="preserve">BE Fixed costs per ton ($)               </t>
  </si>
  <si>
    <t>BE Total budgeted cost per ton ($).</t>
  </si>
  <si>
    <t>BE Yields (ton)</t>
  </si>
  <si>
    <t>Prices/Ton</t>
  </si>
  <si>
    <t>MUSCADINE BUDGET - 2021</t>
  </si>
  <si>
    <t xml:space="preserve">of Producing Muscadine Grapes Using Single Trellis System -2021  </t>
  </si>
  <si>
    <t>Georgia Muscadine using single curtain trellis system  -  2021</t>
  </si>
  <si>
    <t>Georgia Muscadine Grapes Using Single Curtain Trellis System  -  2021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</si>
</sst>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0.0%"/>
    <numFmt numFmtId="166" formatCode="[$$-409]\ #,##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\,\ yyyy"/>
    <numFmt numFmtId="177" formatCode="[$-409]h:mm:ss\ AM/PM"/>
    <numFmt numFmtId="178" formatCode="&quot;$&quot;#,##0.00"/>
    <numFmt numFmtId="179" formatCode="[$$-409]\ #,##0.0"/>
  </numFmts>
  <fonts count="6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0"/>
      <color indexed="15"/>
      <name val="Arial"/>
      <family val="2"/>
    </font>
    <font>
      <sz val="10"/>
      <color indexed="15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u val="single"/>
      <sz val="10"/>
      <color indexed="24"/>
      <name val="Arial"/>
      <family val="2"/>
    </font>
    <font>
      <sz val="11"/>
      <color indexed="36"/>
      <name val="Calibri"/>
      <family val="2"/>
    </font>
    <font>
      <b/>
      <sz val="15"/>
      <color indexed="50"/>
      <name val="Calibri"/>
      <family val="2"/>
    </font>
    <font>
      <b/>
      <sz val="13"/>
      <color indexed="50"/>
      <name val="Calibri"/>
      <family val="2"/>
    </font>
    <font>
      <b/>
      <sz val="11"/>
      <color indexed="50"/>
      <name val="Calibri"/>
      <family val="2"/>
    </font>
    <font>
      <u val="single"/>
      <sz val="10"/>
      <color indexed="19"/>
      <name val="Arial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sz val="18"/>
      <color indexed="50"/>
      <name val="Calibri Light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11"/>
      <name val="Arial"/>
      <family val="2"/>
    </font>
    <font>
      <sz val="10"/>
      <color indexed="11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1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>
        <color indexed="9"/>
      </right>
      <top>
        <color indexed="9"/>
      </top>
      <bottom style="thick">
        <color indexed="9"/>
      </bottom>
    </border>
    <border>
      <left style="thin">
        <color indexed="9"/>
      </left>
      <right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9"/>
      </right>
      <top style="thin"/>
      <bottom style="double"/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1" applyNumberFormat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0" fontId="0" fillId="33" borderId="7" applyNumberFormat="0" applyFont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80">
    <xf numFmtId="0" fontId="0" fillId="2" borderId="0" xfId="0" applyFill="1" applyAlignment="1">
      <alignment/>
    </xf>
    <xf numFmtId="0" fontId="0" fillId="0" borderId="0" xfId="0" applyAlignment="1">
      <alignment/>
    </xf>
    <xf numFmtId="3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2" fontId="0" fillId="2" borderId="0" xfId="0" applyNumberFormat="1" applyFill="1" applyAlignment="1">
      <alignment horizontal="center"/>
    </xf>
    <xf numFmtId="2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2" fontId="3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9" fontId="0" fillId="2" borderId="0" xfId="0" applyNumberFormat="1" applyFill="1" applyAlignment="1">
      <alignment horizontal="right"/>
    </xf>
    <xf numFmtId="164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right"/>
    </xf>
    <xf numFmtId="0" fontId="3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centerContinuous"/>
    </xf>
    <xf numFmtId="1" fontId="3" fillId="2" borderId="0" xfId="0" applyNumberFormat="1" applyFont="1" applyFill="1" applyAlignment="1">
      <alignment horizontal="center"/>
    </xf>
    <xf numFmtId="2" fontId="0" fillId="0" borderId="0" xfId="0" applyNumberFormat="1" applyAlignment="1">
      <alignment horizontal="right"/>
    </xf>
    <xf numFmtId="2" fontId="0" fillId="2" borderId="10" xfId="0" applyNumberFormat="1" applyFill="1" applyBorder="1" applyAlignment="1">
      <alignment/>
    </xf>
    <xf numFmtId="0" fontId="0" fillId="2" borderId="0" xfId="0" applyFill="1" applyAlignment="1">
      <alignment horizontal="right"/>
    </xf>
    <xf numFmtId="164" fontId="0" fillId="2" borderId="0" xfId="0" applyNumberForma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left"/>
    </xf>
    <xf numFmtId="2" fontId="3" fillId="2" borderId="11" xfId="0" applyNumberFormat="1" applyFont="1" applyFill="1" applyBorder="1" applyAlignment="1">
      <alignment horizontal="centerContinuous"/>
    </xf>
    <xf numFmtId="2" fontId="6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/>
    </xf>
    <xf numFmtId="2" fontId="3" fillId="2" borderId="12" xfId="0" applyNumberFormat="1" applyFont="1" applyFill="1" applyBorder="1" applyAlignment="1">
      <alignment horizontal="centerContinuous"/>
    </xf>
    <xf numFmtId="3" fontId="3" fillId="2" borderId="13" xfId="0" applyNumberFormat="1" applyFont="1" applyFill="1" applyBorder="1" applyAlignment="1">
      <alignment horizontal="centerContinuous"/>
    </xf>
    <xf numFmtId="4" fontId="0" fillId="2" borderId="0" xfId="0" applyNumberFormat="1" applyFill="1" applyAlignment="1">
      <alignment/>
    </xf>
    <xf numFmtId="0" fontId="3" fillId="2" borderId="0" xfId="0" applyFont="1" applyFill="1" applyAlignment="1">
      <alignment horizontal="left"/>
    </xf>
    <xf numFmtId="1" fontId="0" fillId="0" borderId="0" xfId="0" applyNumberFormat="1" applyAlignment="1">
      <alignment horizontal="center"/>
    </xf>
    <xf numFmtId="10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left"/>
    </xf>
    <xf numFmtId="1" fontId="0" fillId="2" borderId="0" xfId="0" applyNumberFormat="1" applyFill="1" applyAlignment="1">
      <alignment horizontal="right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54" fillId="2" borderId="0" xfId="0" applyFont="1" applyFill="1" applyAlignment="1">
      <alignment/>
    </xf>
    <xf numFmtId="0" fontId="55" fillId="2" borderId="0" xfId="0" applyFont="1" applyFill="1" applyAlignment="1">
      <alignment/>
    </xf>
    <xf numFmtId="2" fontId="54" fillId="2" borderId="0" xfId="0" applyNumberFormat="1" applyFont="1" applyFill="1" applyAlignment="1">
      <alignment/>
    </xf>
    <xf numFmtId="2" fontId="55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Border="1" applyAlignment="1">
      <alignment horizontal="center"/>
    </xf>
    <xf numFmtId="1" fontId="3" fillId="2" borderId="14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/>
    </xf>
    <xf numFmtId="1" fontId="3" fillId="2" borderId="0" xfId="0" applyNumberFormat="1" applyFont="1" applyFill="1" applyAlignment="1">
      <alignment/>
    </xf>
    <xf numFmtId="0" fontId="0" fillId="2" borderId="15" xfId="0" applyFill="1" applyBorder="1" applyAlignment="1">
      <alignment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164" fontId="3" fillId="2" borderId="14" xfId="0" applyNumberFormat="1" applyFont="1" applyFill="1" applyBorder="1" applyAlignment="1">
      <alignment horizontal="right"/>
    </xf>
    <xf numFmtId="166" fontId="3" fillId="2" borderId="14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/>
    </xf>
    <xf numFmtId="1" fontId="3" fillId="2" borderId="14" xfId="0" applyNumberFormat="1" applyFont="1" applyFill="1" applyBorder="1" applyAlignment="1">
      <alignment/>
    </xf>
    <xf numFmtId="2" fontId="3" fillId="2" borderId="14" xfId="0" applyNumberFormat="1" applyFon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9" fontId="7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2" fontId="0" fillId="2" borderId="0" xfId="0" applyNumberFormat="1" applyFill="1" applyBorder="1" applyAlignment="1">
      <alignment/>
    </xf>
    <xf numFmtId="0" fontId="3" fillId="2" borderId="15" xfId="0" applyFont="1" applyFill="1" applyBorder="1" applyAlignment="1">
      <alignment horizontal="center"/>
    </xf>
    <xf numFmtId="0" fontId="55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2" fontId="3" fillId="2" borderId="0" xfId="0" applyNumberFormat="1" applyFont="1" applyFill="1" applyBorder="1" applyAlignment="1">
      <alignment/>
    </xf>
    <xf numFmtId="3" fontId="3" fillId="2" borderId="14" xfId="0" applyNumberFormat="1" applyFont="1" applyFill="1" applyBorder="1" applyAlignment="1">
      <alignment horizontal="center"/>
    </xf>
    <xf numFmtId="9" fontId="3" fillId="2" borderId="14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/>
    </xf>
    <xf numFmtId="0" fontId="0" fillId="2" borderId="15" xfId="0" applyFill="1" applyBorder="1" applyAlignment="1">
      <alignment horizontal="right"/>
    </xf>
    <xf numFmtId="0" fontId="0" fillId="2" borderId="15" xfId="0" applyFont="1" applyFill="1" applyBorder="1" applyAlignment="1">
      <alignment/>
    </xf>
    <xf numFmtId="2" fontId="0" fillId="2" borderId="15" xfId="0" applyNumberFormat="1" applyFill="1" applyBorder="1" applyAlignment="1">
      <alignment horizontal="right"/>
    </xf>
    <xf numFmtId="2" fontId="0" fillId="2" borderId="15" xfId="0" applyNumberFormat="1" applyFont="1" applyFill="1" applyBorder="1" applyAlignment="1">
      <alignment horizontal="right"/>
    </xf>
    <xf numFmtId="0" fontId="0" fillId="2" borderId="15" xfId="0" applyFill="1" applyBorder="1" applyAlignment="1">
      <alignment horizontal="center"/>
    </xf>
    <xf numFmtId="0" fontId="55" fillId="34" borderId="0" xfId="0" applyFont="1" applyFill="1" applyAlignment="1">
      <alignment vertical="center"/>
    </xf>
    <xf numFmtId="165" fontId="0" fillId="2" borderId="0" xfId="0" applyNumberFormat="1" applyFill="1" applyAlignment="1">
      <alignment horizontal="center"/>
    </xf>
    <xf numFmtId="0" fontId="56" fillId="2" borderId="0" xfId="0" applyFont="1" applyFill="1" applyAlignment="1">
      <alignment/>
    </xf>
    <xf numFmtId="0" fontId="57" fillId="2" borderId="0" xfId="0" applyFont="1" applyFill="1" applyAlignment="1">
      <alignment/>
    </xf>
    <xf numFmtId="0" fontId="2" fillId="2" borderId="0" xfId="0" applyFont="1" applyFill="1" applyAlignment="1">
      <alignment/>
    </xf>
    <xf numFmtId="2" fontId="3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2" fontId="8" fillId="2" borderId="16" xfId="0" applyNumberFormat="1" applyFont="1" applyFill="1" applyBorder="1" applyAlignment="1">
      <alignment horizontal="right"/>
    </xf>
    <xf numFmtId="2" fontId="8" fillId="2" borderId="17" xfId="0" applyNumberFormat="1" applyFont="1" applyFill="1" applyBorder="1" applyAlignment="1">
      <alignment horizontal="right"/>
    </xf>
    <xf numFmtId="2" fontId="3" fillId="2" borderId="0" xfId="0" applyNumberFormat="1" applyFont="1" applyFill="1" applyAlignment="1">
      <alignment/>
    </xf>
    <xf numFmtId="2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2" fontId="3" fillId="2" borderId="0" xfId="0" applyNumberFormat="1" applyFont="1" applyFill="1" applyAlignment="1">
      <alignment horizontal="left"/>
    </xf>
    <xf numFmtId="1" fontId="3" fillId="2" borderId="0" xfId="0" applyNumberFormat="1" applyFont="1" applyFill="1" applyAlignment="1">
      <alignment horizontal="left"/>
    </xf>
    <xf numFmtId="2" fontId="0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right"/>
    </xf>
    <xf numFmtId="179" fontId="3" fillId="2" borderId="18" xfId="0" applyNumberFormat="1" applyFont="1" applyFill="1" applyBorder="1" applyAlignment="1">
      <alignment horizontal="center"/>
    </xf>
    <xf numFmtId="166" fontId="3" fillId="2" borderId="18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1" fontId="3" fillId="2" borderId="14" xfId="0" applyNumberFormat="1" applyFont="1" applyFill="1" applyBorder="1" applyAlignment="1">
      <alignment horizontal="center"/>
    </xf>
    <xf numFmtId="2" fontId="0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/>
    </xf>
    <xf numFmtId="164" fontId="0" fillId="2" borderId="0" xfId="0" applyNumberFormat="1" applyFont="1" applyFill="1" applyAlignment="1">
      <alignment horizontal="center"/>
    </xf>
    <xf numFmtId="0" fontId="54" fillId="2" borderId="0" xfId="0" applyFont="1" applyFill="1" applyAlignment="1">
      <alignment/>
    </xf>
    <xf numFmtId="2" fontId="54" fillId="2" borderId="0" xfId="0" applyNumberFormat="1" applyFont="1" applyFill="1" applyAlignment="1">
      <alignment/>
    </xf>
    <xf numFmtId="2" fontId="0" fillId="2" borderId="0" xfId="0" applyNumberFormat="1" applyFont="1" applyFill="1" applyAlignment="1">
      <alignment/>
    </xf>
    <xf numFmtId="2" fontId="3" fillId="2" borderId="19" xfId="0" applyNumberFormat="1" applyFont="1" applyFill="1" applyBorder="1" applyAlignment="1">
      <alignment/>
    </xf>
    <xf numFmtId="0" fontId="54" fillId="2" borderId="0" xfId="0" applyFont="1" applyFill="1" applyAlignment="1">
      <alignment horizontal="left"/>
    </xf>
    <xf numFmtId="2" fontId="54" fillId="2" borderId="0" xfId="0" applyNumberFormat="1" applyFont="1" applyFill="1" applyAlignment="1">
      <alignment horizontal="right"/>
    </xf>
    <xf numFmtId="0" fontId="54" fillId="2" borderId="0" xfId="0" applyFont="1" applyFill="1" applyAlignment="1">
      <alignment horizontal="right"/>
    </xf>
    <xf numFmtId="2" fontId="0" fillId="2" borderId="0" xfId="0" applyNumberFormat="1" applyFont="1" applyFill="1" applyAlignment="1">
      <alignment horizontal="right"/>
    </xf>
    <xf numFmtId="2" fontId="8" fillId="2" borderId="0" xfId="0" applyNumberFormat="1" applyFont="1" applyFill="1" applyBorder="1" applyAlignment="1">
      <alignment horizontal="right"/>
    </xf>
    <xf numFmtId="2" fontId="3" fillId="2" borderId="19" xfId="0" applyNumberFormat="1" applyFont="1" applyFill="1" applyBorder="1" applyAlignment="1">
      <alignment horizontal="right"/>
    </xf>
    <xf numFmtId="2" fontId="8" fillId="2" borderId="20" xfId="0" applyNumberFormat="1" applyFont="1" applyFill="1" applyBorder="1" applyAlignment="1">
      <alignment horizontal="right"/>
    </xf>
    <xf numFmtId="0" fontId="0" fillId="2" borderId="21" xfId="0" applyFill="1" applyBorder="1" applyAlignment="1">
      <alignment horizontal="right"/>
    </xf>
    <xf numFmtId="2" fontId="0" fillId="2" borderId="21" xfId="0" applyNumberFormat="1" applyFill="1" applyBorder="1" applyAlignment="1">
      <alignment horizontal="right"/>
    </xf>
    <xf numFmtId="0" fontId="55" fillId="2" borderId="0" xfId="0" applyFont="1" applyFill="1" applyAlignment="1">
      <alignment horizontal="right"/>
    </xf>
    <xf numFmtId="0" fontId="0" fillId="2" borderId="0" xfId="0" applyFont="1" applyFill="1" applyAlignment="1">
      <alignment horizontal="right"/>
    </xf>
    <xf numFmtId="2" fontId="3" fillId="2" borderId="0" xfId="0" applyNumberFormat="1" applyFont="1" applyFill="1" applyAlignment="1">
      <alignment horizontal="right"/>
    </xf>
    <xf numFmtId="2" fontId="3" fillId="2" borderId="2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54" fillId="2" borderId="0" xfId="0" applyFont="1" applyFill="1" applyAlignment="1">
      <alignment horizontal="center"/>
    </xf>
    <xf numFmtId="2" fontId="55" fillId="2" borderId="23" xfId="0" applyNumberFormat="1" applyFont="1" applyFill="1" applyBorder="1" applyAlignment="1">
      <alignment horizontal="right"/>
    </xf>
    <xf numFmtId="9" fontId="0" fillId="2" borderId="0" xfId="0" applyNumberFormat="1" applyFont="1" applyFill="1" applyAlignment="1">
      <alignment horizontal="right"/>
    </xf>
    <xf numFmtId="1" fontId="0" fillId="2" borderId="0" xfId="0" applyNumberFormat="1" applyFont="1" applyFill="1" applyAlignment="1">
      <alignment horizontal="right"/>
    </xf>
    <xf numFmtId="2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 horizontal="right"/>
    </xf>
    <xf numFmtId="9" fontId="0" fillId="2" borderId="0" xfId="0" applyNumberFormat="1" applyFill="1" applyAlignment="1">
      <alignment horizontal="center"/>
    </xf>
    <xf numFmtId="2" fontId="55" fillId="2" borderId="0" xfId="0" applyNumberFormat="1" applyFont="1" applyFill="1" applyBorder="1" applyAlignment="1">
      <alignment horizontal="right"/>
    </xf>
    <xf numFmtId="2" fontId="3" fillId="2" borderId="24" xfId="0" applyNumberFormat="1" applyFont="1" applyFill="1" applyBorder="1" applyAlignment="1">
      <alignment horizontal="right"/>
    </xf>
    <xf numFmtId="2" fontId="3" fillId="2" borderId="14" xfId="0" applyNumberFormat="1" applyFont="1" applyFill="1" applyBorder="1" applyAlignment="1">
      <alignment horizontal="right"/>
    </xf>
    <xf numFmtId="2" fontId="3" fillId="2" borderId="18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58" fillId="2" borderId="15" xfId="0" applyFont="1" applyFill="1" applyBorder="1" applyAlignment="1">
      <alignment horizontal="center"/>
    </xf>
    <xf numFmtId="0" fontId="59" fillId="2" borderId="15" xfId="0" applyFont="1" applyFill="1" applyBorder="1" applyAlignment="1">
      <alignment horizontal="center"/>
    </xf>
    <xf numFmtId="3" fontId="0" fillId="2" borderId="15" xfId="0" applyNumberFormat="1" applyFont="1" applyFill="1" applyBorder="1" applyAlignment="1">
      <alignment horizontal="center"/>
    </xf>
    <xf numFmtId="0" fontId="55" fillId="2" borderId="15" xfId="0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/>
    </xf>
    <xf numFmtId="3" fontId="3" fillId="2" borderId="15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25" xfId="0" applyFill="1" applyBorder="1" applyAlignment="1">
      <alignment/>
    </xf>
    <xf numFmtId="1" fontId="0" fillId="2" borderId="0" xfId="0" applyNumberFormat="1" applyFill="1" applyBorder="1" applyAlignment="1">
      <alignment horizontal="center"/>
    </xf>
    <xf numFmtId="1" fontId="0" fillId="2" borderId="25" xfId="0" applyNumberForma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2" fontId="0" fillId="2" borderId="25" xfId="0" applyNumberFormat="1" applyFill="1" applyBorder="1" applyAlignment="1">
      <alignment horizontal="center"/>
    </xf>
    <xf numFmtId="2" fontId="0" fillId="2" borderId="15" xfId="0" applyNumberFormat="1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5" fillId="34" borderId="0" xfId="0" applyFont="1" applyFill="1" applyAlignment="1">
      <alignment vertical="center"/>
    </xf>
    <xf numFmtId="0" fontId="56" fillId="2" borderId="0" xfId="0" applyFont="1" applyFill="1" applyAlignment="1">
      <alignment horizontal="center"/>
    </xf>
    <xf numFmtId="0" fontId="60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/>
    </xf>
    <xf numFmtId="2" fontId="5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1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10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center"/>
    </xf>
    <xf numFmtId="2" fontId="0" fillId="2" borderId="0" xfId="0" applyNumberFormat="1" applyFont="1" applyFill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0" fillId="2" borderId="14" xfId="0" applyNumberFormat="1" applyFont="1" applyFill="1" applyBorder="1" applyAlignment="1">
      <alignment horizontal="center"/>
    </xf>
    <xf numFmtId="2" fontId="0" fillId="2" borderId="14" xfId="0" applyNumberFormat="1" applyFont="1" applyFill="1" applyBorder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FF00"/>
      <rgbColor rgb="000000FF"/>
      <rgbColor rgb="0000FFFF"/>
      <rgbColor rgb="00FF00FF"/>
      <rgbColor rgb="00000080"/>
      <rgbColor rgb="00FFFFFF"/>
      <rgbColor rgb="00B0B0FF"/>
      <rgbColor rgb="00C890FF"/>
      <rgbColor rgb="000080FF"/>
      <rgbColor rgb="00B0FFFF"/>
      <rgbColor rgb="0070FFFF"/>
      <rgbColor rgb="00FFB0B0"/>
      <rgbColor rgb="00FFB870"/>
      <rgbColor rgb="00FF0080"/>
      <rgbColor rgb="00FFFF00"/>
      <rgbColor rgb="00C00060"/>
      <rgbColor rgb="00FFFF80"/>
      <rgbColor rgb="0080FF00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115</xdr:row>
      <xdr:rowOff>76200</xdr:rowOff>
    </xdr:from>
    <xdr:to>
      <xdr:col>9</xdr:col>
      <xdr:colOff>123825</xdr:colOff>
      <xdr:row>118</xdr:row>
      <xdr:rowOff>38100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2094547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809625</xdr:colOff>
      <xdr:row>48</xdr:row>
      <xdr:rowOff>0</xdr:rowOff>
    </xdr:from>
    <xdr:to>
      <xdr:col>9</xdr:col>
      <xdr:colOff>552450</xdr:colOff>
      <xdr:row>50</xdr:row>
      <xdr:rowOff>114300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7810500"/>
          <a:ext cx="2466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49</xdr:row>
      <xdr:rowOff>123825</xdr:rowOff>
    </xdr:from>
    <xdr:to>
      <xdr:col>3</xdr:col>
      <xdr:colOff>9525</xdr:colOff>
      <xdr:row>53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229600"/>
          <a:ext cx="15811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43</xdr:row>
      <xdr:rowOff>19050</xdr:rowOff>
    </xdr:from>
    <xdr:to>
      <xdr:col>3</xdr:col>
      <xdr:colOff>19050</xdr:colOff>
      <xdr:row>47</xdr:row>
      <xdr:rowOff>38100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7191375"/>
          <a:ext cx="1952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42</xdr:row>
      <xdr:rowOff>66675</xdr:rowOff>
    </xdr:from>
    <xdr:to>
      <xdr:col>3</xdr:col>
      <xdr:colOff>228600</xdr:colOff>
      <xdr:row>45</xdr:row>
      <xdr:rowOff>123825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7115175"/>
          <a:ext cx="2466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46</xdr:row>
      <xdr:rowOff>142875</xdr:rowOff>
    </xdr:from>
    <xdr:to>
      <xdr:col>7</xdr:col>
      <xdr:colOff>476250</xdr:colOff>
      <xdr:row>49</xdr:row>
      <xdr:rowOff>95250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7715250"/>
          <a:ext cx="1847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46</xdr:row>
      <xdr:rowOff>38100</xdr:rowOff>
    </xdr:from>
    <xdr:to>
      <xdr:col>10</xdr:col>
      <xdr:colOff>476250</xdr:colOff>
      <xdr:row>48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7562850"/>
          <a:ext cx="2466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45</xdr:row>
      <xdr:rowOff>114300</xdr:rowOff>
    </xdr:from>
    <xdr:to>
      <xdr:col>10</xdr:col>
      <xdr:colOff>295275</xdr:colOff>
      <xdr:row>49</xdr:row>
      <xdr:rowOff>95250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7562850"/>
          <a:ext cx="2476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47</xdr:row>
      <xdr:rowOff>104775</xdr:rowOff>
    </xdr:from>
    <xdr:to>
      <xdr:col>9</xdr:col>
      <xdr:colOff>514350</xdr:colOff>
      <xdr:row>50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7877175"/>
          <a:ext cx="1828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44</xdr:row>
      <xdr:rowOff>38100</xdr:rowOff>
    </xdr:from>
    <xdr:to>
      <xdr:col>7</xdr:col>
      <xdr:colOff>314325</xdr:colOff>
      <xdr:row>46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7400925"/>
          <a:ext cx="1181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W148"/>
  <sheetViews>
    <sheetView tabSelected="1" zoomScale="120" zoomScaleNormal="120" workbookViewId="0" topLeftCell="A1">
      <selection activeCell="X14" sqref="X14"/>
    </sheetView>
  </sheetViews>
  <sheetFormatPr defaultColWidth="9.140625" defaultRowHeight="12.75"/>
  <cols>
    <col min="1" max="1" width="1.28515625" style="0" customWidth="1"/>
    <col min="2" max="2" width="10.8515625" style="0" customWidth="1"/>
    <col min="3" max="3" width="7.57421875" style="0" customWidth="1"/>
    <col min="4" max="4" width="7.421875" style="0" customWidth="1"/>
    <col min="5" max="5" width="10.28125" style="0" customWidth="1"/>
    <col min="6" max="6" width="8.421875" style="0" customWidth="1"/>
    <col min="7" max="7" width="9.140625" style="0" customWidth="1"/>
    <col min="8" max="8" width="9.421875" style="0" customWidth="1"/>
    <col min="9" max="9" width="9.140625" style="0" customWidth="1"/>
    <col min="10" max="10" width="8.421875" style="0" customWidth="1"/>
    <col min="11" max="11" width="8.00390625" style="0" customWidth="1"/>
    <col min="12" max="12" width="5.57421875" style="0" customWidth="1"/>
    <col min="13" max="13" width="8.57421875" style="0" customWidth="1"/>
    <col min="14" max="14" width="9.8515625" style="0" customWidth="1"/>
    <col min="15" max="15" width="8.00390625" style="0" customWidth="1"/>
    <col min="16" max="16" width="9.421875" style="0" bestFit="1" customWidth="1"/>
    <col min="17" max="17" width="7.28125" style="0" customWidth="1"/>
    <col min="18" max="18" width="8.140625" style="0" customWidth="1"/>
    <col min="19" max="19" width="0.71875" style="0" customWidth="1"/>
    <col min="20" max="20" width="7.421875" style="0" customWidth="1"/>
    <col min="21" max="21" width="4.8515625" style="0" customWidth="1"/>
    <col min="22" max="22" width="11.7109375" style="0" customWidth="1"/>
    <col min="23" max="23" width="10.7109375" style="0" bestFit="1" customWidth="1"/>
    <col min="34" max="34" width="3.28125" style="0" customWidth="1"/>
    <col min="35" max="35" width="1.57421875" style="0" customWidth="1"/>
    <col min="36" max="36" width="2.421875" style="0" customWidth="1"/>
    <col min="37" max="37" width="54.7109375" style="0" customWidth="1"/>
    <col min="38" max="38" width="2.421875" style="0" customWidth="1"/>
    <col min="39" max="39" width="1.57421875" style="0" customWidth="1"/>
  </cols>
  <sheetData>
    <row r="1" spans="1:10" ht="12.75">
      <c r="A1" s="156" t="s">
        <v>438</v>
      </c>
      <c r="B1" s="156"/>
      <c r="C1" s="156"/>
      <c r="D1" s="156"/>
      <c r="E1" s="156"/>
      <c r="F1" s="156"/>
      <c r="G1" s="156"/>
      <c r="H1" s="156"/>
      <c r="I1" s="156"/>
      <c r="J1" s="156"/>
    </row>
    <row r="2" spans="2:11" ht="12.75">
      <c r="B2" s="40"/>
      <c r="C2" s="147" t="s">
        <v>449</v>
      </c>
      <c r="D2" s="147"/>
      <c r="E2" s="147"/>
      <c r="F2" s="147"/>
      <c r="G2" s="147"/>
      <c r="H2" s="147"/>
      <c r="I2" s="147"/>
      <c r="J2" s="40"/>
    </row>
    <row r="3" spans="2:11" ht="12.75">
      <c r="B3" s="40" t="s">
        <v>349</v>
      </c>
      <c r="C3" s="156" t="s">
        <v>448</v>
      </c>
      <c r="D3" s="156"/>
      <c r="E3" s="156"/>
      <c r="F3" s="156"/>
      <c r="G3" s="156"/>
      <c r="H3" s="156"/>
      <c r="I3" s="156"/>
      <c r="J3" s="40" t="s">
        <v>0</v>
      </c>
    </row>
    <row r="4" spans="2:10" ht="12.75">
      <c r="B4" s="40"/>
      <c r="C4" s="49"/>
      <c r="D4" s="49"/>
      <c r="E4" s="49"/>
      <c r="F4" s="49"/>
      <c r="G4" s="49"/>
      <c r="H4" s="49"/>
      <c r="I4" s="49"/>
      <c r="J4" s="40"/>
    </row>
    <row r="5" spans="2:17" ht="20.25">
      <c r="B5" s="40"/>
      <c r="C5" s="161" t="s">
        <v>338</v>
      </c>
      <c r="D5" s="161"/>
      <c r="E5" s="161"/>
      <c r="F5" s="161"/>
      <c r="G5" s="161"/>
      <c r="H5" s="161"/>
      <c r="I5" s="161"/>
      <c r="J5" s="40"/>
      <c r="M5" s="9"/>
      <c r="N5" s="9"/>
      <c r="O5" s="18"/>
      <c r="P5" s="9"/>
      <c r="Q5" s="9"/>
    </row>
    <row r="6" spans="3:11" ht="13.5" customHeight="1">
      <c r="C6" s="157" t="s">
        <v>463</v>
      </c>
      <c r="D6" s="157"/>
      <c r="E6" s="157"/>
      <c r="F6" s="157"/>
      <c r="G6" s="157"/>
      <c r="H6" s="157"/>
      <c r="I6" s="157"/>
    </row>
    <row r="7" ht="6.75" customHeight="1"/>
    <row r="8" spans="5:21" ht="12.75">
      <c r="E8" t="s">
        <v>4</v>
      </c>
      <c r="N8" s="9"/>
      <c r="O8" s="9"/>
      <c r="P8" s="18"/>
      <c r="Q8" s="9"/>
      <c r="R8" s="9"/>
      <c r="S8" s="40"/>
      <c r="T8" s="40"/>
      <c r="U8" s="40"/>
    </row>
    <row r="9" spans="5:21" ht="12.75">
      <c r="E9" t="s">
        <v>5</v>
      </c>
      <c r="I9" s="32">
        <v>1</v>
      </c>
      <c r="N9" s="40"/>
      <c r="O9" s="40"/>
      <c r="P9" s="40"/>
      <c r="Q9" s="40"/>
      <c r="R9" s="40"/>
      <c r="S9" s="40"/>
      <c r="T9" s="40"/>
      <c r="U9" s="40"/>
    </row>
    <row r="10" spans="4:21" ht="12.75">
      <c r="D10" s="41" t="s">
        <v>362</v>
      </c>
      <c r="I10" s="18"/>
      <c r="L10" s="9"/>
      <c r="M10" s="9"/>
      <c r="N10" s="18"/>
      <c r="O10" s="9"/>
      <c r="P10" s="9"/>
      <c r="Q10" s="40"/>
      <c r="R10" s="40"/>
      <c r="S10" s="40"/>
      <c r="T10" s="40"/>
      <c r="U10" s="40"/>
    </row>
    <row r="11" spans="11:21" ht="12.75">
      <c r="N11" s="40"/>
      <c r="O11" s="40"/>
      <c r="P11" s="40"/>
      <c r="Q11" s="40"/>
      <c r="R11" s="40"/>
      <c r="S11" s="40"/>
      <c r="T11" s="40"/>
      <c r="U11" s="40"/>
    </row>
    <row r="12" spans="5:23" ht="15.75">
      <c r="E12" s="16" t="s">
        <v>98</v>
      </c>
      <c r="F12" s="16" t="s">
        <v>196</v>
      </c>
      <c r="G12" s="16" t="s">
        <v>183</v>
      </c>
      <c r="H12" s="8" t="s">
        <v>203</v>
      </c>
      <c r="I12" s="8" t="s">
        <v>303</v>
      </c>
      <c r="J12" s="2" t="s">
        <v>0</v>
      </c>
      <c r="M12" s="160" t="s">
        <v>351</v>
      </c>
      <c r="N12" s="160"/>
      <c r="O12" s="160"/>
      <c r="P12" s="160"/>
      <c r="Q12" s="160"/>
      <c r="R12" s="160"/>
      <c r="S12" s="160"/>
      <c r="T12" s="160"/>
      <c r="U12" s="160"/>
      <c r="V12" s="160"/>
      <c r="W12" s="87"/>
    </row>
    <row r="13" spans="2:21" ht="15" customHeight="1">
      <c r="B13" s="41" t="s">
        <v>446</v>
      </c>
      <c r="E13" s="9">
        <v>10</v>
      </c>
      <c r="F13" s="9">
        <v>9</v>
      </c>
      <c r="G13" s="18">
        <v>8</v>
      </c>
      <c r="H13" s="9">
        <v>7</v>
      </c>
      <c r="I13" s="9">
        <v>6</v>
      </c>
      <c r="N13" s="40"/>
      <c r="O13" s="40"/>
      <c r="P13" s="40"/>
      <c r="Q13" s="40"/>
      <c r="R13" s="40"/>
      <c r="S13" s="40"/>
      <c r="T13" s="40"/>
      <c r="U13" s="40"/>
    </row>
    <row r="14" spans="2:21" ht="15" customHeight="1">
      <c r="B14" s="41" t="s">
        <v>447</v>
      </c>
      <c r="E14" s="9">
        <v>570</v>
      </c>
      <c r="F14" s="9">
        <v>523</v>
      </c>
      <c r="G14" s="18">
        <v>475</v>
      </c>
      <c r="H14" s="9">
        <v>428</v>
      </c>
      <c r="I14" s="9">
        <v>360</v>
      </c>
      <c r="K14" t="s">
        <v>1</v>
      </c>
      <c r="N14" s="40"/>
      <c r="O14" s="40"/>
      <c r="P14" s="40"/>
      <c r="Q14" s="40"/>
      <c r="R14" s="40"/>
      <c r="S14" s="40"/>
      <c r="T14" s="40"/>
      <c r="U14" s="40"/>
    </row>
    <row r="15" spans="11:21" ht="15" customHeight="1">
      <c r="N15" s="40"/>
      <c r="O15" s="40"/>
      <c r="P15" s="40"/>
      <c r="Q15" s="40"/>
      <c r="R15" s="40"/>
      <c r="S15" s="40"/>
      <c r="T15" s="40"/>
      <c r="U15" s="40"/>
    </row>
    <row r="16" spans="2:22" ht="15" customHeight="1">
      <c r="B16" s="42" t="s">
        <v>172</v>
      </c>
      <c r="C16" s="16"/>
      <c r="D16" s="16"/>
      <c r="E16" s="16" t="s">
        <v>95</v>
      </c>
      <c r="F16" s="16" t="s">
        <v>289</v>
      </c>
      <c r="G16" s="16" t="s">
        <v>231</v>
      </c>
      <c r="H16" s="8" t="s">
        <v>221</v>
      </c>
      <c r="I16" s="18" t="s">
        <v>59</v>
      </c>
      <c r="M16" s="42" t="s">
        <v>172</v>
      </c>
      <c r="N16" s="16"/>
      <c r="O16" s="16"/>
      <c r="P16" s="16" t="s">
        <v>95</v>
      </c>
      <c r="Q16" s="16" t="s">
        <v>289</v>
      </c>
      <c r="R16" s="16" t="s">
        <v>231</v>
      </c>
      <c r="S16" s="40"/>
      <c r="T16" s="8" t="s">
        <v>221</v>
      </c>
      <c r="U16" s="40"/>
      <c r="V16" s="18" t="s">
        <v>59</v>
      </c>
    </row>
    <row r="17" spans="2:22" ht="15" customHeight="1">
      <c r="B17" s="48" t="s">
        <v>294</v>
      </c>
      <c r="I17" s="3" t="s">
        <v>0</v>
      </c>
      <c r="M17" s="48" t="s">
        <v>294</v>
      </c>
      <c r="S17" s="40"/>
      <c r="U17" s="40"/>
      <c r="V17" s="3" t="s">
        <v>0</v>
      </c>
    </row>
    <row r="18" spans="2:21" ht="15" customHeight="1">
      <c r="B18" s="7" t="s">
        <v>131</v>
      </c>
      <c r="C18" s="7"/>
      <c r="F18" s="11"/>
      <c r="G18" s="11"/>
      <c r="H18" s="5"/>
      <c r="M18" s="7" t="s">
        <v>131</v>
      </c>
      <c r="N18" s="7"/>
      <c r="Q18" s="11"/>
      <c r="R18" s="11"/>
      <c r="S18" s="40"/>
      <c r="T18" s="5"/>
      <c r="U18" s="40"/>
    </row>
    <row r="19" spans="2:22" ht="15" customHeight="1">
      <c r="B19" s="126" t="s">
        <v>407</v>
      </c>
      <c r="C19" s="1"/>
      <c r="D19" s="1"/>
      <c r="F19" s="41" t="s">
        <v>81</v>
      </c>
      <c r="G19" s="4">
        <v>4</v>
      </c>
      <c r="H19">
        <v>41.83</v>
      </c>
      <c r="I19" s="19">
        <f aca="true" t="shared" si="0" ref="I19:I29">G19*H19</f>
        <v>167.32</v>
      </c>
      <c r="M19" s="1" t="s">
        <v>126</v>
      </c>
      <c r="N19" s="1"/>
      <c r="O19" s="1"/>
      <c r="P19" s="1" t="s">
        <v>309</v>
      </c>
      <c r="Q19" s="38" t="s">
        <v>145</v>
      </c>
      <c r="R19" s="92"/>
      <c r="S19" s="40"/>
      <c r="T19" s="92"/>
      <c r="U19" s="40"/>
      <c r="V19" s="92">
        <f aca="true" t="shared" si="1" ref="V19:V29">R19*T19</f>
        <v>0</v>
      </c>
    </row>
    <row r="20" spans="2:22" ht="15" customHeight="1">
      <c r="B20" s="48" t="s">
        <v>299</v>
      </c>
      <c r="C20" s="45"/>
      <c r="D20" s="45"/>
      <c r="E20" s="44"/>
      <c r="F20" s="127"/>
      <c r="G20" s="114"/>
      <c r="H20" s="114"/>
      <c r="I20" s="116">
        <f t="shared" si="0"/>
        <v>0</v>
      </c>
      <c r="M20" s="7" t="s">
        <v>299</v>
      </c>
      <c r="N20" s="7"/>
      <c r="O20" s="7"/>
      <c r="Q20" s="11"/>
      <c r="R20" s="40"/>
      <c r="S20" s="40"/>
      <c r="T20" s="40"/>
      <c r="U20" s="40"/>
      <c r="V20" s="40"/>
    </row>
    <row r="21" spans="2:22" ht="15" customHeight="1">
      <c r="B21" s="41" t="s">
        <v>422</v>
      </c>
      <c r="C21" s="41"/>
      <c r="D21" s="41"/>
      <c r="E21" s="41"/>
      <c r="F21" s="43" t="s">
        <v>81</v>
      </c>
      <c r="G21" s="116">
        <v>4</v>
      </c>
      <c r="H21" s="116">
        <v>3.8</v>
      </c>
      <c r="I21" s="116">
        <f t="shared" si="0"/>
        <v>15.2</v>
      </c>
      <c r="M21" t="s">
        <v>213</v>
      </c>
      <c r="P21" t="s">
        <v>74</v>
      </c>
      <c r="Q21" s="11" t="s">
        <v>81</v>
      </c>
      <c r="R21" s="92"/>
      <c r="S21" s="40"/>
      <c r="T21" s="92"/>
      <c r="U21" s="40"/>
      <c r="V21" s="92">
        <f t="shared" si="1"/>
        <v>0</v>
      </c>
    </row>
    <row r="22" spans="2:22" ht="15" customHeight="1">
      <c r="B22" s="41" t="s">
        <v>443</v>
      </c>
      <c r="C22" s="41"/>
      <c r="D22" s="41"/>
      <c r="E22" s="41"/>
      <c r="F22" s="43" t="s">
        <v>81</v>
      </c>
      <c r="G22" s="116">
        <v>2</v>
      </c>
      <c r="H22" s="116">
        <v>26.08</v>
      </c>
      <c r="I22" s="116">
        <f t="shared" si="0"/>
        <v>52.16</v>
      </c>
      <c r="M22" t="s">
        <v>211</v>
      </c>
      <c r="P22" t="s">
        <v>77</v>
      </c>
      <c r="Q22" s="11" t="s">
        <v>81</v>
      </c>
      <c r="R22" s="92"/>
      <c r="S22" s="40"/>
      <c r="T22" s="92"/>
      <c r="U22" s="40"/>
      <c r="V22" s="92">
        <f t="shared" si="1"/>
        <v>0</v>
      </c>
    </row>
    <row r="23" spans="2:22" ht="15" customHeight="1">
      <c r="B23" s="41" t="s">
        <v>421</v>
      </c>
      <c r="C23" s="41"/>
      <c r="D23" s="41"/>
      <c r="E23" s="41"/>
      <c r="F23" s="43" t="s">
        <v>81</v>
      </c>
      <c r="G23" s="116">
        <v>4</v>
      </c>
      <c r="H23" s="116">
        <v>14.31</v>
      </c>
      <c r="I23" s="116">
        <f t="shared" si="0"/>
        <v>57.24</v>
      </c>
      <c r="M23" t="s">
        <v>280</v>
      </c>
      <c r="P23" t="s">
        <v>78</v>
      </c>
      <c r="Q23" s="11" t="s">
        <v>153</v>
      </c>
      <c r="R23" s="92"/>
      <c r="S23" s="40"/>
      <c r="T23" s="92"/>
      <c r="U23" s="40"/>
      <c r="V23" s="92">
        <f t="shared" si="1"/>
        <v>0</v>
      </c>
    </row>
    <row r="24" spans="2:22" ht="15" customHeight="1">
      <c r="B24" s="41" t="s">
        <v>173</v>
      </c>
      <c r="C24" s="41"/>
      <c r="D24" s="41"/>
      <c r="E24" s="41"/>
      <c r="F24" s="43" t="s">
        <v>153</v>
      </c>
      <c r="G24" s="116">
        <v>6</v>
      </c>
      <c r="H24" s="116">
        <v>8</v>
      </c>
      <c r="I24" s="116">
        <f t="shared" si="0"/>
        <v>48</v>
      </c>
      <c r="M24" s="41" t="s">
        <v>173</v>
      </c>
      <c r="P24" t="s">
        <v>78</v>
      </c>
      <c r="Q24" s="11" t="s">
        <v>153</v>
      </c>
      <c r="R24" s="92"/>
      <c r="S24" s="40"/>
      <c r="T24" s="92"/>
      <c r="U24" s="40"/>
      <c r="V24" s="92">
        <f t="shared" si="1"/>
        <v>0</v>
      </c>
    </row>
    <row r="25" spans="2:22" ht="15" customHeight="1">
      <c r="B25" s="48" t="s">
        <v>156</v>
      </c>
      <c r="C25" s="48"/>
      <c r="D25" s="48"/>
      <c r="E25" s="41"/>
      <c r="F25" s="43"/>
      <c r="G25" s="116"/>
      <c r="H25" s="116"/>
      <c r="I25" s="116">
        <f t="shared" si="0"/>
        <v>0</v>
      </c>
      <c r="M25" s="7" t="s">
        <v>156</v>
      </c>
      <c r="N25" s="7"/>
      <c r="O25" s="7"/>
      <c r="Q25" s="11"/>
      <c r="R25" s="40"/>
      <c r="S25" s="40"/>
      <c r="T25" s="40"/>
      <c r="U25" s="40"/>
      <c r="V25" s="40"/>
    </row>
    <row r="26" spans="2:22" ht="15" customHeight="1">
      <c r="B26" s="41" t="s">
        <v>159</v>
      </c>
      <c r="C26" s="41"/>
      <c r="D26" s="41"/>
      <c r="E26" s="41"/>
      <c r="F26" s="43" t="s">
        <v>81</v>
      </c>
      <c r="G26" s="116">
        <v>1</v>
      </c>
      <c r="H26" s="116">
        <v>54.98</v>
      </c>
      <c r="I26" s="116">
        <f t="shared" si="0"/>
        <v>54.98</v>
      </c>
      <c r="M26" t="s">
        <v>159</v>
      </c>
      <c r="P26" t="s">
        <v>79</v>
      </c>
      <c r="Q26" s="11" t="s">
        <v>81</v>
      </c>
      <c r="R26" s="92"/>
      <c r="S26" s="40"/>
      <c r="T26" s="92"/>
      <c r="U26" s="40"/>
      <c r="V26" s="92">
        <f t="shared" si="1"/>
        <v>0</v>
      </c>
    </row>
    <row r="27" spans="2:22" ht="15" customHeight="1">
      <c r="B27" s="41" t="s">
        <v>144</v>
      </c>
      <c r="C27" s="41"/>
      <c r="D27" s="41"/>
      <c r="E27" s="41"/>
      <c r="F27" s="43" t="s">
        <v>81</v>
      </c>
      <c r="G27" s="116">
        <v>1</v>
      </c>
      <c r="H27" s="116">
        <v>14.67</v>
      </c>
      <c r="I27" s="116">
        <f t="shared" si="0"/>
        <v>14.67</v>
      </c>
      <c r="M27" t="s">
        <v>144</v>
      </c>
      <c r="P27" t="s">
        <v>80</v>
      </c>
      <c r="Q27" s="11" t="s">
        <v>81</v>
      </c>
      <c r="R27" s="92"/>
      <c r="S27" s="40"/>
      <c r="T27" s="92"/>
      <c r="U27" s="40"/>
      <c r="V27" s="92">
        <f t="shared" si="1"/>
        <v>0</v>
      </c>
    </row>
    <row r="28" spans="2:22" ht="15" customHeight="1">
      <c r="B28" s="41" t="s">
        <v>280</v>
      </c>
      <c r="C28" s="41"/>
      <c r="D28" s="41"/>
      <c r="E28" s="41"/>
      <c r="F28" s="43" t="s">
        <v>81</v>
      </c>
      <c r="G28" s="116">
        <v>1</v>
      </c>
      <c r="H28" s="116">
        <v>14.31</v>
      </c>
      <c r="I28" s="116">
        <f t="shared" si="0"/>
        <v>14.31</v>
      </c>
      <c r="M28" t="s">
        <v>280</v>
      </c>
      <c r="P28" t="s">
        <v>330</v>
      </c>
      <c r="Q28" s="11" t="s">
        <v>153</v>
      </c>
      <c r="R28" s="92"/>
      <c r="S28" s="40"/>
      <c r="T28" s="92"/>
      <c r="U28" s="40"/>
      <c r="V28" s="92">
        <f t="shared" si="1"/>
        <v>0</v>
      </c>
    </row>
    <row r="29" spans="2:22" ht="15" customHeight="1">
      <c r="B29" s="41" t="s">
        <v>413</v>
      </c>
      <c r="C29" s="41"/>
      <c r="D29" s="41"/>
      <c r="E29" s="41"/>
      <c r="F29" s="43" t="s">
        <v>153</v>
      </c>
      <c r="G29" s="116">
        <v>2</v>
      </c>
      <c r="H29" s="116">
        <v>8</v>
      </c>
      <c r="I29" s="116">
        <f t="shared" si="0"/>
        <v>16</v>
      </c>
      <c r="M29" t="s">
        <v>174</v>
      </c>
      <c r="P29" t="s">
        <v>330</v>
      </c>
      <c r="Q29" s="11" t="s">
        <v>81</v>
      </c>
      <c r="R29" s="92"/>
      <c r="S29" s="40"/>
      <c r="T29" s="92"/>
      <c r="U29" s="40"/>
      <c r="V29" s="92">
        <f t="shared" si="1"/>
        <v>0</v>
      </c>
    </row>
    <row r="30" spans="2:22" ht="15" customHeight="1">
      <c r="B30" s="48" t="s">
        <v>225</v>
      </c>
      <c r="C30" s="45"/>
      <c r="D30" s="44"/>
      <c r="E30" s="44"/>
      <c r="F30" s="127"/>
      <c r="G30" s="114"/>
      <c r="H30" s="114"/>
      <c r="I30" s="114"/>
      <c r="M30" s="7" t="s">
        <v>225</v>
      </c>
      <c r="N30" s="7"/>
      <c r="Q30" s="11"/>
      <c r="R30" s="40"/>
      <c r="S30" s="40"/>
      <c r="T30" s="40"/>
      <c r="U30" s="40"/>
      <c r="V30" s="40"/>
    </row>
    <row r="31" spans="2:22" ht="15" customHeight="1">
      <c r="B31" s="41" t="s">
        <v>423</v>
      </c>
      <c r="C31" s="41"/>
      <c r="D31" s="41"/>
      <c r="E31" s="41"/>
      <c r="F31" s="43" t="s">
        <v>153</v>
      </c>
      <c r="G31" s="116">
        <v>60</v>
      </c>
      <c r="H31" s="116">
        <v>8</v>
      </c>
      <c r="I31" s="116">
        <f>G31*H31</f>
        <v>480</v>
      </c>
      <c r="M31" t="s">
        <v>327</v>
      </c>
      <c r="P31" t="s">
        <v>71</v>
      </c>
      <c r="Q31" s="11" t="s">
        <v>209</v>
      </c>
      <c r="R31" s="92"/>
      <c r="S31" s="40"/>
      <c r="T31" s="92"/>
      <c r="U31" s="40"/>
      <c r="V31" s="92">
        <f>R31*T31</f>
        <v>0</v>
      </c>
    </row>
    <row r="32" spans="2:22" ht="15" customHeight="1">
      <c r="B32" s="41" t="s">
        <v>424</v>
      </c>
      <c r="C32" s="41"/>
      <c r="D32" s="41"/>
      <c r="E32" s="41"/>
      <c r="F32" s="43" t="s">
        <v>81</v>
      </c>
      <c r="G32" s="116">
        <v>7</v>
      </c>
      <c r="H32" s="116">
        <v>9.84</v>
      </c>
      <c r="I32" s="116">
        <f>G32*H32</f>
        <v>68.88</v>
      </c>
      <c r="M32" t="s">
        <v>182</v>
      </c>
      <c r="P32" t="s">
        <v>71</v>
      </c>
      <c r="Q32" s="11" t="s">
        <v>81</v>
      </c>
      <c r="R32" s="92"/>
      <c r="S32" s="40"/>
      <c r="T32" s="92"/>
      <c r="U32" s="40"/>
      <c r="V32" s="92">
        <f>R32*T32</f>
        <v>0</v>
      </c>
    </row>
    <row r="33" spans="2:22" ht="15" customHeight="1">
      <c r="B33" s="41" t="s">
        <v>171</v>
      </c>
      <c r="C33" s="41"/>
      <c r="D33" s="41"/>
      <c r="E33" s="41"/>
      <c r="F33" s="43" t="s">
        <v>81</v>
      </c>
      <c r="G33" s="116">
        <v>1</v>
      </c>
      <c r="H33" s="116">
        <f>+Drip!I40</f>
        <v>140</v>
      </c>
      <c r="I33" s="116">
        <f>G33*H33</f>
        <v>140</v>
      </c>
      <c r="M33" s="41" t="s">
        <v>171</v>
      </c>
      <c r="Q33" s="11" t="s">
        <v>81</v>
      </c>
      <c r="R33" s="92"/>
      <c r="S33" s="40"/>
      <c r="T33" s="92"/>
      <c r="U33" s="40"/>
      <c r="V33" s="92">
        <f>R33*T33</f>
        <v>0</v>
      </c>
    </row>
    <row r="34" spans="2:23" ht="15" customHeight="1">
      <c r="B34" s="41" t="s">
        <v>167</v>
      </c>
      <c r="C34" s="41"/>
      <c r="D34" s="41"/>
      <c r="E34" s="41"/>
      <c r="F34" s="43" t="s">
        <v>58</v>
      </c>
      <c r="G34" s="116">
        <f>SUM(I19:I33)</f>
        <v>1128.76</v>
      </c>
      <c r="H34" s="116">
        <v>0.065</v>
      </c>
      <c r="I34" s="116">
        <f>G34*H34</f>
        <v>73.3694</v>
      </c>
      <c r="M34" s="41" t="s">
        <v>167</v>
      </c>
      <c r="Q34" s="11" t="s">
        <v>58</v>
      </c>
      <c r="R34" s="92"/>
      <c r="S34" s="40"/>
      <c r="T34" s="92"/>
      <c r="U34" s="40"/>
      <c r="V34" s="92">
        <f>R34*T34</f>
        <v>0</v>
      </c>
      <c r="W34" s="40"/>
    </row>
    <row r="35" spans="2:22" ht="15" customHeight="1" thickBot="1">
      <c r="B35" s="48" t="s">
        <v>439</v>
      </c>
      <c r="C35" s="41"/>
      <c r="D35" s="41"/>
      <c r="E35" s="41"/>
      <c r="F35" s="43"/>
      <c r="G35" s="116"/>
      <c r="H35" s="116"/>
      <c r="I35" s="136">
        <f>SUM(I19:I34)</f>
        <v>1202.1294</v>
      </c>
      <c r="K35" s="11"/>
      <c r="M35" s="7" t="s">
        <v>276</v>
      </c>
      <c r="Q35" s="11"/>
      <c r="R35" s="40"/>
      <c r="S35" s="40"/>
      <c r="T35" s="40"/>
      <c r="U35" s="40"/>
      <c r="V35" s="92">
        <f>SUM(V19:V34)</f>
        <v>0</v>
      </c>
    </row>
    <row r="36" spans="2:22" ht="15" customHeight="1" thickTop="1">
      <c r="B36" s="45"/>
      <c r="C36" s="44"/>
      <c r="D36" s="44"/>
      <c r="E36" s="44"/>
      <c r="F36" s="127"/>
      <c r="G36" s="114"/>
      <c r="H36" s="114"/>
      <c r="I36" s="134"/>
      <c r="K36" s="11"/>
      <c r="M36" s="7" t="s">
        <v>218</v>
      </c>
      <c r="Q36" s="11"/>
      <c r="R36" s="40"/>
      <c r="S36" s="40"/>
      <c r="T36" s="40"/>
      <c r="U36" s="40"/>
      <c r="V36" s="92">
        <f>SUM(V17:V34)</f>
        <v>0</v>
      </c>
    </row>
    <row r="37" spans="2:22" ht="15" customHeight="1">
      <c r="B37" s="48" t="s">
        <v>151</v>
      </c>
      <c r="C37" s="41"/>
      <c r="D37" s="41"/>
      <c r="E37" s="41"/>
      <c r="F37" s="43"/>
      <c r="G37" s="116"/>
      <c r="H37" s="114"/>
      <c r="I37" s="114"/>
      <c r="K37" s="11"/>
      <c r="M37" s="7" t="s">
        <v>151</v>
      </c>
      <c r="R37" s="40"/>
      <c r="S37" s="40"/>
      <c r="T37" s="40"/>
      <c r="U37" s="40"/>
      <c r="V37" s="40"/>
    </row>
    <row r="38" spans="2:22" ht="15" customHeight="1">
      <c r="B38" s="41" t="s">
        <v>150</v>
      </c>
      <c r="C38" s="41"/>
      <c r="D38" s="41"/>
      <c r="E38" s="41"/>
      <c r="F38" s="43" t="s">
        <v>256</v>
      </c>
      <c r="G38" s="116">
        <f>MEDY*0.95</f>
        <v>7.6</v>
      </c>
      <c r="H38" s="116">
        <v>20</v>
      </c>
      <c r="I38" s="116">
        <f>G38*H38</f>
        <v>152</v>
      </c>
      <c r="K38" s="11"/>
      <c r="M38" t="s">
        <v>150</v>
      </c>
      <c r="Q38" t="s">
        <v>154</v>
      </c>
      <c r="R38" s="92"/>
      <c r="S38" s="40"/>
      <c r="T38" s="92"/>
      <c r="U38" s="40"/>
      <c r="V38" s="92">
        <f>R38*T38</f>
        <v>0</v>
      </c>
    </row>
    <row r="39" spans="2:22" ht="15" customHeight="1">
      <c r="B39" s="41" t="s">
        <v>111</v>
      </c>
      <c r="C39" s="41"/>
      <c r="D39" s="41"/>
      <c r="E39" s="41"/>
      <c r="F39" s="43" t="s">
        <v>256</v>
      </c>
      <c r="G39" s="116">
        <f>MEDY*0.95</f>
        <v>7.6</v>
      </c>
      <c r="H39" s="116">
        <v>40</v>
      </c>
      <c r="I39" s="116">
        <f>G39*H39</f>
        <v>304</v>
      </c>
      <c r="M39" t="s">
        <v>111</v>
      </c>
      <c r="Q39" t="s">
        <v>176</v>
      </c>
      <c r="R39" s="92"/>
      <c r="S39" s="40"/>
      <c r="T39" s="92"/>
      <c r="U39" s="40"/>
      <c r="V39" s="92">
        <f>R39*T39</f>
        <v>0</v>
      </c>
    </row>
    <row r="40" spans="2:22" ht="15" customHeight="1">
      <c r="B40" s="41" t="s">
        <v>456</v>
      </c>
      <c r="C40" s="41"/>
      <c r="D40" s="41"/>
      <c r="E40" s="41"/>
      <c r="F40" s="43" t="s">
        <v>256</v>
      </c>
      <c r="G40" s="116">
        <f>MEDY*0.95</f>
        <v>7.6</v>
      </c>
      <c r="H40" s="116">
        <v>15</v>
      </c>
      <c r="I40" s="116">
        <f>G40*H40</f>
        <v>114</v>
      </c>
      <c r="K40" s="11"/>
      <c r="M40" t="s">
        <v>107</v>
      </c>
      <c r="Q40" t="s">
        <v>176</v>
      </c>
      <c r="R40" s="92"/>
      <c r="S40" s="40"/>
      <c r="T40" s="92"/>
      <c r="U40" s="40"/>
      <c r="V40" s="92">
        <f>R40*T40</f>
        <v>0</v>
      </c>
    </row>
    <row r="41" spans="2:22" ht="15" customHeight="1" thickBot="1">
      <c r="B41" s="48" t="s">
        <v>269</v>
      </c>
      <c r="C41" s="48"/>
      <c r="D41" s="48"/>
      <c r="E41" s="48"/>
      <c r="F41" s="42"/>
      <c r="G41" s="124"/>
      <c r="H41" s="122"/>
      <c r="I41" s="136">
        <f>SUM(I38:I40)</f>
        <v>570</v>
      </c>
      <c r="K41" s="14" t="s">
        <v>0</v>
      </c>
      <c r="M41" s="7" t="s">
        <v>269</v>
      </c>
      <c r="N41" s="7"/>
      <c r="O41" s="7"/>
      <c r="P41" s="7"/>
      <c r="Q41" s="7"/>
      <c r="R41" s="40"/>
      <c r="S41" s="40"/>
      <c r="T41" s="40"/>
      <c r="U41" s="40"/>
      <c r="V41" s="92">
        <f>SUM(V38:V40)</f>
        <v>0</v>
      </c>
    </row>
    <row r="42" spans="2:22" ht="15" customHeight="1" thickTop="1">
      <c r="B42" s="45"/>
      <c r="C42" s="44"/>
      <c r="D42" s="44"/>
      <c r="E42" s="44"/>
      <c r="F42" s="127"/>
      <c r="G42" s="114"/>
      <c r="H42" s="115"/>
      <c r="I42" s="128"/>
      <c r="K42" s="14" t="s">
        <v>0</v>
      </c>
      <c r="M42" s="7" t="s">
        <v>270</v>
      </c>
      <c r="Q42" s="11"/>
      <c r="R42" s="40"/>
      <c r="S42" s="40"/>
      <c r="T42" s="40"/>
      <c r="U42" s="40"/>
      <c r="V42" s="92">
        <f>SUM(V38:V40)</f>
        <v>0</v>
      </c>
    </row>
    <row r="43" spans="2:22" ht="15" customHeight="1" thickBot="1">
      <c r="B43" s="48" t="s">
        <v>277</v>
      </c>
      <c r="C43" s="41"/>
      <c r="D43" s="41"/>
      <c r="E43" s="41"/>
      <c r="F43" s="43"/>
      <c r="G43" s="116"/>
      <c r="H43" s="123"/>
      <c r="I43" s="136">
        <f>I35+I41</f>
        <v>1772.1294</v>
      </c>
      <c r="K43" s="11" t="s">
        <v>0</v>
      </c>
      <c r="M43" s="7" t="s">
        <v>277</v>
      </c>
      <c r="Q43" s="11"/>
      <c r="R43" s="40"/>
      <c r="S43" s="40"/>
      <c r="T43" s="40"/>
      <c r="U43" s="40"/>
      <c r="V43" s="92">
        <f>V36+V42</f>
        <v>0</v>
      </c>
    </row>
    <row r="44" spans="2:22" ht="13.5" thickTop="1">
      <c r="B44" s="45"/>
      <c r="C44" s="44"/>
      <c r="D44" s="44"/>
      <c r="E44" s="44"/>
      <c r="F44" s="127"/>
      <c r="G44" s="114"/>
      <c r="H44" s="115"/>
      <c r="I44" s="134"/>
      <c r="K44" s="11"/>
      <c r="M44" s="7"/>
      <c r="Q44" s="11"/>
      <c r="R44" s="40"/>
      <c r="S44" s="40"/>
      <c r="T44" s="40"/>
      <c r="U44" s="40"/>
      <c r="V44" s="117"/>
    </row>
    <row r="45" spans="2:22" ht="12.75">
      <c r="B45" s="45"/>
      <c r="C45" s="44"/>
      <c r="D45" s="44"/>
      <c r="E45" s="44"/>
      <c r="F45" s="127"/>
      <c r="G45" s="114"/>
      <c r="H45" s="115"/>
      <c r="I45" s="134"/>
      <c r="K45" s="14" t="s">
        <v>0</v>
      </c>
      <c r="M45" s="7" t="s">
        <v>136</v>
      </c>
      <c r="N45" s="7"/>
      <c r="Q45" s="11"/>
      <c r="R45" s="40"/>
      <c r="S45" s="40"/>
      <c r="T45" s="40"/>
      <c r="U45" s="40"/>
      <c r="V45" s="40"/>
    </row>
    <row r="46" spans="2:22" ht="12.75">
      <c r="B46" s="45"/>
      <c r="C46" s="44"/>
      <c r="D46" s="44"/>
      <c r="E46" s="44"/>
      <c r="F46" s="127"/>
      <c r="G46" s="114"/>
      <c r="H46" s="115"/>
      <c r="I46" s="134"/>
      <c r="K46" s="14" t="s">
        <v>0</v>
      </c>
      <c r="M46" s="41" t="s">
        <v>336</v>
      </c>
      <c r="Q46" s="11" t="s">
        <v>81</v>
      </c>
      <c r="R46" s="92"/>
      <c r="S46" s="40"/>
      <c r="T46" s="92"/>
      <c r="U46" s="40"/>
      <c r="V46" s="92">
        <f>R46*T46</f>
        <v>0</v>
      </c>
    </row>
    <row r="47" spans="2:22" ht="12.75">
      <c r="B47" s="45"/>
      <c r="C47" s="44"/>
      <c r="D47" s="44"/>
      <c r="E47" s="44"/>
      <c r="F47" s="127"/>
      <c r="G47" s="114"/>
      <c r="H47" s="115"/>
      <c r="I47" s="134"/>
      <c r="K47" s="14" t="s">
        <v>0</v>
      </c>
      <c r="M47" s="41" t="s">
        <v>199</v>
      </c>
      <c r="Q47" s="11" t="s">
        <v>58</v>
      </c>
      <c r="R47" s="92"/>
      <c r="S47" s="40"/>
      <c r="T47" s="92"/>
      <c r="U47" s="40"/>
      <c r="V47" s="92">
        <f>R47*T47</f>
        <v>0</v>
      </c>
    </row>
    <row r="48" spans="2:22" ht="12.75">
      <c r="B48" s="45"/>
      <c r="C48" s="44"/>
      <c r="D48" s="44"/>
      <c r="E48" s="44"/>
      <c r="F48" s="127"/>
      <c r="G48" s="114"/>
      <c r="H48" s="115"/>
      <c r="I48" s="134"/>
      <c r="K48" s="14" t="s">
        <v>0</v>
      </c>
      <c r="M48" t="s">
        <v>171</v>
      </c>
      <c r="Q48" s="11" t="s">
        <v>81</v>
      </c>
      <c r="R48" s="92"/>
      <c r="S48" s="40"/>
      <c r="T48" s="92"/>
      <c r="U48" s="40"/>
      <c r="V48" s="92">
        <f>R48*T48</f>
        <v>0</v>
      </c>
    </row>
    <row r="49" spans="2:22" ht="12.75">
      <c r="B49" s="45"/>
      <c r="C49" s="44"/>
      <c r="D49" s="44"/>
      <c r="E49" s="44"/>
      <c r="F49" s="127"/>
      <c r="G49" s="114"/>
      <c r="H49" s="115"/>
      <c r="I49" s="134"/>
      <c r="K49" s="14" t="s">
        <v>0</v>
      </c>
      <c r="M49" s="7" t="s">
        <v>266</v>
      </c>
      <c r="Q49" s="11"/>
      <c r="R49" s="40"/>
      <c r="S49" s="40"/>
      <c r="T49" s="40"/>
      <c r="U49" s="40"/>
      <c r="V49" s="92">
        <f>SUM(V46:V48)</f>
        <v>0</v>
      </c>
    </row>
    <row r="50" spans="2:22" ht="12.75">
      <c r="B50" s="45"/>
      <c r="C50" s="44"/>
      <c r="D50" s="44"/>
      <c r="E50" s="44"/>
      <c r="F50" s="127"/>
      <c r="G50" s="114"/>
      <c r="H50" s="115"/>
      <c r="I50" s="134"/>
      <c r="K50" s="14" t="s">
        <v>0</v>
      </c>
      <c r="M50" s="7" t="s">
        <v>263</v>
      </c>
      <c r="R50" s="40"/>
      <c r="S50" s="40"/>
      <c r="T50" s="40"/>
      <c r="U50" s="40"/>
      <c r="V50" s="92">
        <f>V36+V42+V49</f>
        <v>0</v>
      </c>
    </row>
    <row r="51" spans="2:21" ht="12.75">
      <c r="B51" s="45"/>
      <c r="C51" s="44"/>
      <c r="D51" s="44"/>
      <c r="E51" s="44"/>
      <c r="F51" s="127"/>
      <c r="G51" s="114"/>
      <c r="H51" s="115"/>
      <c r="I51" s="134"/>
      <c r="K51" s="11"/>
      <c r="S51" s="40"/>
      <c r="U51" s="40"/>
    </row>
    <row r="52" spans="2:11" ht="12.75">
      <c r="B52" s="45"/>
      <c r="C52" s="44"/>
      <c r="D52" s="44"/>
      <c r="E52" s="44"/>
      <c r="F52" s="127"/>
      <c r="G52" s="114"/>
      <c r="H52" s="115"/>
      <c r="I52" s="134"/>
      <c r="K52" s="14" t="s">
        <v>0</v>
      </c>
    </row>
    <row r="53" spans="2:11" ht="15" customHeight="1">
      <c r="B53" s="48" t="s">
        <v>136</v>
      </c>
      <c r="C53" s="48"/>
      <c r="D53" s="41"/>
      <c r="E53" s="41"/>
      <c r="F53" s="43"/>
      <c r="G53" s="116"/>
      <c r="H53" s="123"/>
      <c r="I53" s="116"/>
      <c r="K53" s="14" t="s">
        <v>0</v>
      </c>
    </row>
    <row r="54" spans="2:11" ht="15" customHeight="1">
      <c r="B54" s="41" t="s">
        <v>336</v>
      </c>
      <c r="C54" s="41"/>
      <c r="D54" s="41"/>
      <c r="E54" s="41"/>
      <c r="F54" s="43" t="s">
        <v>81</v>
      </c>
      <c r="G54" s="116">
        <v>1</v>
      </c>
      <c r="H54" s="116">
        <f>FxdCost!E32</f>
        <v>840.6962898550725</v>
      </c>
      <c r="I54" s="116">
        <f>G54*H54</f>
        <v>840.6962898550725</v>
      </c>
      <c r="K54" s="11"/>
    </row>
    <row r="55" spans="2:11" ht="15" customHeight="1">
      <c r="B55" s="41" t="s">
        <v>199</v>
      </c>
      <c r="C55" s="41"/>
      <c r="D55" s="41"/>
      <c r="E55" s="41"/>
      <c r="F55" s="43" t="s">
        <v>58</v>
      </c>
      <c r="G55" s="116">
        <f>I35</f>
        <v>1202.1294</v>
      </c>
      <c r="H55" s="116">
        <v>0.15</v>
      </c>
      <c r="I55" s="116">
        <f>G55*H55</f>
        <v>180.31941</v>
      </c>
      <c r="K55" s="14" t="s">
        <v>0</v>
      </c>
    </row>
    <row r="56" spans="2:11" ht="15" customHeight="1">
      <c r="B56" s="41" t="s">
        <v>171</v>
      </c>
      <c r="C56" s="41"/>
      <c r="D56" s="41"/>
      <c r="E56" s="41"/>
      <c r="F56" s="43" t="s">
        <v>81</v>
      </c>
      <c r="G56" s="116">
        <v>1</v>
      </c>
      <c r="H56" s="116">
        <f>+Drip!I28</f>
        <v>184.79916666666668</v>
      </c>
      <c r="I56" s="116">
        <f>G56*H56</f>
        <v>184.79916666666668</v>
      </c>
      <c r="K56" s="11"/>
    </row>
    <row r="57" spans="2:14" ht="15" customHeight="1" thickBot="1">
      <c r="B57" s="48" t="s">
        <v>266</v>
      </c>
      <c r="C57" s="41"/>
      <c r="D57" s="41"/>
      <c r="E57" s="41"/>
      <c r="F57" s="43"/>
      <c r="G57" s="123"/>
      <c r="H57" s="123"/>
      <c r="I57" s="136">
        <f>SUM(I54:I56)</f>
        <v>1205.814866521739</v>
      </c>
      <c r="K57" s="14"/>
      <c r="N57" t="s">
        <v>9</v>
      </c>
    </row>
    <row r="58" spans="2:14" ht="15" customHeight="1" thickBot="1" thickTop="1">
      <c r="B58" s="48" t="s">
        <v>263</v>
      </c>
      <c r="C58" s="41"/>
      <c r="D58" s="41"/>
      <c r="E58" s="41"/>
      <c r="F58" s="41"/>
      <c r="G58" s="123"/>
      <c r="H58" s="123"/>
      <c r="I58" s="137">
        <f>I43+I57</f>
        <v>2977.9442665217393</v>
      </c>
      <c r="K58" s="11"/>
      <c r="N58" s="41" t="s">
        <v>348</v>
      </c>
    </row>
    <row r="59" spans="2:15" ht="15" customHeight="1" thickTop="1">
      <c r="B59" s="44"/>
      <c r="C59" s="44"/>
      <c r="D59" s="44"/>
      <c r="E59" s="44"/>
      <c r="F59" s="127"/>
      <c r="G59" s="114"/>
      <c r="H59" s="115"/>
      <c r="I59" s="114"/>
      <c r="K59" s="11"/>
      <c r="N59" s="3">
        <f>I9</f>
        <v>1</v>
      </c>
      <c r="O59" t="s">
        <v>12</v>
      </c>
    </row>
    <row r="60" spans="14:17" ht="15" customHeight="1">
      <c r="N60" s="3">
        <f>E13</f>
        <v>10</v>
      </c>
      <c r="O60" t="s">
        <v>14</v>
      </c>
      <c r="P60" s="4">
        <f>E14</f>
        <v>570</v>
      </c>
      <c r="Q60" t="s">
        <v>13</v>
      </c>
    </row>
    <row r="61" spans="2:17" ht="15" customHeight="1" thickBot="1">
      <c r="B61" s="148"/>
      <c r="C61" s="148"/>
      <c r="D61" s="148"/>
      <c r="E61" s="148"/>
      <c r="F61" s="148"/>
      <c r="G61" s="148"/>
      <c r="H61" s="148"/>
      <c r="I61" s="148"/>
      <c r="K61" s="14"/>
      <c r="N61" s="3">
        <f>F13</f>
        <v>9</v>
      </c>
      <c r="O61" t="s">
        <v>30</v>
      </c>
      <c r="P61" s="4">
        <f>F14</f>
        <v>523</v>
      </c>
      <c r="Q61" t="s">
        <v>29</v>
      </c>
    </row>
    <row r="62" spans="11:17" ht="15" customHeight="1">
      <c r="K62" s="11"/>
      <c r="N62" s="3">
        <f>G13</f>
        <v>8</v>
      </c>
      <c r="O62" t="s">
        <v>23</v>
      </c>
      <c r="P62" s="4">
        <f>G14</f>
        <v>475</v>
      </c>
      <c r="Q62" t="s">
        <v>22</v>
      </c>
    </row>
    <row r="63" spans="11:17" ht="15" customHeight="1">
      <c r="K63" s="11"/>
      <c r="N63" s="3">
        <f>H13</f>
        <v>7</v>
      </c>
      <c r="O63" t="s">
        <v>33</v>
      </c>
      <c r="P63" s="4">
        <f>H14</f>
        <v>428</v>
      </c>
      <c r="Q63" t="s">
        <v>32</v>
      </c>
    </row>
    <row r="64" spans="2:17" ht="15" customHeight="1">
      <c r="B64" s="79" t="s">
        <v>332</v>
      </c>
      <c r="C64" s="53"/>
      <c r="D64" s="53"/>
      <c r="E64" s="53"/>
      <c r="F64" s="80"/>
      <c r="G64" s="80"/>
      <c r="H64" s="80"/>
      <c r="K64" s="11"/>
      <c r="N64" s="3">
        <f>I13</f>
        <v>6</v>
      </c>
      <c r="O64" t="s">
        <v>55</v>
      </c>
      <c r="P64" s="4">
        <f>I14</f>
        <v>360</v>
      </c>
      <c r="Q64" t="s">
        <v>54</v>
      </c>
    </row>
    <row r="65" spans="2:15" ht="15" customHeight="1">
      <c r="B65" s="81" t="s">
        <v>457</v>
      </c>
      <c r="C65" s="53"/>
      <c r="D65" s="53"/>
      <c r="E65" s="53"/>
      <c r="F65" s="80"/>
      <c r="G65" s="80"/>
      <c r="H65" s="82">
        <f>I35/G13</f>
        <v>150.266175</v>
      </c>
      <c r="K65" s="11"/>
      <c r="N65" s="4">
        <f>H66</f>
        <v>71.25</v>
      </c>
      <c r="O65" t="s">
        <v>345</v>
      </c>
    </row>
    <row r="66" spans="2:15" ht="15" customHeight="1">
      <c r="B66" s="81" t="s">
        <v>458</v>
      </c>
      <c r="C66" s="53"/>
      <c r="D66" s="53"/>
      <c r="E66" s="53"/>
      <c r="F66" s="80"/>
      <c r="G66" s="80"/>
      <c r="H66" s="82">
        <f>I41/G13</f>
        <v>71.25</v>
      </c>
      <c r="K66" s="11"/>
      <c r="N66" s="4">
        <f>I36+I57</f>
        <v>1205.814866521739</v>
      </c>
      <c r="O66" t="s">
        <v>375</v>
      </c>
    </row>
    <row r="67" spans="2:14" ht="15" customHeight="1">
      <c r="B67" s="81" t="s">
        <v>459</v>
      </c>
      <c r="C67" s="81"/>
      <c r="D67" s="53"/>
      <c r="E67" s="53"/>
      <c r="F67" s="80"/>
      <c r="G67" s="80"/>
      <c r="H67" s="82">
        <f>I57/MEDY</f>
        <v>150.72685831521738</v>
      </c>
      <c r="K67" s="11"/>
      <c r="N67" s="41" t="s">
        <v>346</v>
      </c>
    </row>
    <row r="68" spans="2:15" ht="15" customHeight="1">
      <c r="B68" s="81" t="s">
        <v>460</v>
      </c>
      <c r="C68" s="53"/>
      <c r="D68" s="53"/>
      <c r="E68" s="53"/>
      <c r="F68" s="80"/>
      <c r="G68" s="80"/>
      <c r="H68" s="83">
        <f>I58/MEDY</f>
        <v>372.2430333152174</v>
      </c>
      <c r="K68" s="11"/>
      <c r="O68" t="s">
        <v>102</v>
      </c>
    </row>
    <row r="69" spans="2:14" ht="15" customHeight="1">
      <c r="B69" s="81" t="s">
        <v>461</v>
      </c>
      <c r="C69" s="53"/>
      <c r="D69" s="53"/>
      <c r="E69" s="53"/>
      <c r="F69" s="84"/>
      <c r="G69" s="84"/>
      <c r="H69" s="82">
        <f>UNITCOST/MEDP</f>
        <v>6.269356350572083</v>
      </c>
      <c r="K69" s="11"/>
      <c r="N69" s="41" t="s">
        <v>346</v>
      </c>
    </row>
    <row r="70" spans="11:17" ht="15" customHeight="1">
      <c r="K70" s="11"/>
      <c r="N70" s="3">
        <f>0.04*N60+0.25*N61+0.42*N62+0.25*N63+0.04*N64</f>
        <v>8</v>
      </c>
      <c r="O70" t="s">
        <v>20</v>
      </c>
      <c r="P70">
        <f>0.04*P60+0.25*P61+0.42*P62+0.25*P63+0.04*P64</f>
        <v>474.45</v>
      </c>
      <c r="Q70" t="s">
        <v>19</v>
      </c>
    </row>
    <row r="71" spans="11:17" ht="15" customHeight="1">
      <c r="K71" s="11"/>
      <c r="N71">
        <f>0.25*(N60-N70)+0.5*(N61-N70)</f>
        <v>1</v>
      </c>
      <c r="O71" t="s">
        <v>44</v>
      </c>
      <c r="P71">
        <f>0.25*(P60-P70)+0.5*(P61-P70)</f>
        <v>48.16250000000001</v>
      </c>
      <c r="Q71" t="s">
        <v>36</v>
      </c>
    </row>
    <row r="72" spans="2:17" ht="15" customHeight="1">
      <c r="B72" s="40"/>
      <c r="C72" s="40"/>
      <c r="D72" s="40"/>
      <c r="E72" s="40"/>
      <c r="F72" s="40"/>
      <c r="G72" s="40"/>
      <c r="H72" s="40"/>
      <c r="I72" s="40"/>
      <c r="K72" s="11"/>
      <c r="N72">
        <f>0.25*(N70-N64)+0.5*(N70-N63)</f>
        <v>1</v>
      </c>
      <c r="O72" t="s">
        <v>45</v>
      </c>
      <c r="P72">
        <f>0.25*(P70-P64)+0.5*(P70-P63)</f>
        <v>51.83749999999999</v>
      </c>
      <c r="Q72" t="s">
        <v>37</v>
      </c>
    </row>
    <row r="73" spans="1:17" ht="15" customHeight="1">
      <c r="A73" s="158" t="s">
        <v>123</v>
      </c>
      <c r="B73" s="158"/>
      <c r="C73" s="158"/>
      <c r="D73" s="158"/>
      <c r="E73" s="158"/>
      <c r="F73" s="158"/>
      <c r="G73" s="158"/>
      <c r="H73" s="158"/>
      <c r="I73" s="158"/>
      <c r="J73" s="158"/>
      <c r="K73" s="11"/>
      <c r="N73" s="3">
        <f>N71^2</f>
        <v>1</v>
      </c>
      <c r="O73" t="s">
        <v>52</v>
      </c>
      <c r="P73">
        <f>P71^2</f>
        <v>2319.626406250001</v>
      </c>
      <c r="Q73" t="s">
        <v>46</v>
      </c>
    </row>
    <row r="74" spans="2:17" ht="15" customHeight="1">
      <c r="C74" t="s">
        <v>122</v>
      </c>
      <c r="E74" t="s">
        <v>295</v>
      </c>
      <c r="F74" s="11"/>
      <c r="G74" s="5" t="s">
        <v>122</v>
      </c>
      <c r="H74" s="5" t="s">
        <v>0</v>
      </c>
      <c r="I74" s="12" t="s">
        <v>258</v>
      </c>
      <c r="J74" s="49"/>
      <c r="K74" s="11"/>
      <c r="N74" s="3">
        <f>N72^2</f>
        <v>1</v>
      </c>
      <c r="O74" t="s">
        <v>53</v>
      </c>
      <c r="P74">
        <f>P72^2</f>
        <v>2687.126406249999</v>
      </c>
      <c r="Q74" t="s">
        <v>47</v>
      </c>
    </row>
    <row r="75" spans="2:14" ht="15" customHeight="1">
      <c r="B75" s="11" t="s">
        <v>83</v>
      </c>
      <c r="C75" s="24" t="s">
        <v>308</v>
      </c>
      <c r="D75" s="11"/>
      <c r="E75" s="11" t="s">
        <v>181</v>
      </c>
      <c r="F75" s="11"/>
      <c r="G75" s="5" t="s">
        <v>222</v>
      </c>
      <c r="H75" s="5" t="s">
        <v>0</v>
      </c>
      <c r="I75" s="12" t="s">
        <v>236</v>
      </c>
      <c r="K75" s="11"/>
      <c r="N75" s="41" t="s">
        <v>346</v>
      </c>
    </row>
    <row r="76" spans="2:17" ht="15" customHeight="1" thickBot="1">
      <c r="B76" s="9">
        <v>1</v>
      </c>
      <c r="C76" s="9">
        <f>MEDY</f>
        <v>8</v>
      </c>
      <c r="D76" s="11"/>
      <c r="E76" s="86">
        <v>0.9500000000000001</v>
      </c>
      <c r="F76" s="11"/>
      <c r="G76" s="5">
        <f>MEDP</f>
        <v>475</v>
      </c>
      <c r="H76" s="11"/>
      <c r="I76" s="61">
        <f>(C76*E76*G76)</f>
        <v>3610.0000000000005</v>
      </c>
      <c r="J76" s="49"/>
      <c r="K76" s="11"/>
      <c r="N76" s="3">
        <f>(N70^2*P73)+(P70-N65)^2*N73</f>
        <v>311026.3300000001</v>
      </c>
      <c r="O76" s="3" t="s">
        <v>48</v>
      </c>
      <c r="P76" s="3">
        <f>(N70^2*P74)+(P70-N65)^2*N74</f>
        <v>334546.32999999996</v>
      </c>
      <c r="Q76" t="s">
        <v>51</v>
      </c>
    </row>
    <row r="77" spans="2:17" ht="15" customHeight="1" thickTop="1">
      <c r="B77" s="9"/>
      <c r="C77" s="9"/>
      <c r="D77" s="11"/>
      <c r="E77" s="86"/>
      <c r="F77" s="11"/>
      <c r="G77" s="5"/>
      <c r="H77" s="11"/>
      <c r="I77" s="149"/>
      <c r="J77" s="49"/>
      <c r="K77" s="11" t="s">
        <v>0</v>
      </c>
      <c r="N77" s="3">
        <f>(N70^2*P73)+(P70-N65)^2*N74</f>
        <v>311026.3300000001</v>
      </c>
      <c r="O77" s="3" t="s">
        <v>49</v>
      </c>
      <c r="P77" s="3">
        <f>N70^2*P74+(P70-N65)^2*N73</f>
        <v>334546.32999999996</v>
      </c>
      <c r="Q77" t="s">
        <v>50</v>
      </c>
    </row>
    <row r="78" spans="2:17" ht="15" customHeight="1">
      <c r="B78" s="9"/>
      <c r="C78" s="9"/>
      <c r="D78" s="11"/>
      <c r="E78" s="86"/>
      <c r="F78" s="11"/>
      <c r="G78" s="5"/>
      <c r="H78" s="11"/>
      <c r="I78" s="149"/>
      <c r="J78" s="49"/>
      <c r="K78" s="11"/>
      <c r="N78" s="3">
        <f>SQRT(N76)</f>
        <v>557.6973462371864</v>
      </c>
      <c r="O78" s="3" t="s">
        <v>38</v>
      </c>
      <c r="P78" s="3">
        <f>SQRT(P76)</f>
        <v>578.3998011756228</v>
      </c>
      <c r="Q78" t="s">
        <v>41</v>
      </c>
    </row>
    <row r="79" spans="2:17" ht="15" customHeight="1">
      <c r="B79" s="9"/>
      <c r="C79" s="9"/>
      <c r="D79" s="11"/>
      <c r="E79" s="86"/>
      <c r="F79" s="11"/>
      <c r="G79" s="5"/>
      <c r="H79" s="11"/>
      <c r="I79" s="149"/>
      <c r="J79" s="49"/>
      <c r="K79" s="11"/>
      <c r="N79" s="3">
        <f>SQRT(N77)</f>
        <v>557.6973462371864</v>
      </c>
      <c r="O79" s="3" t="s">
        <v>39</v>
      </c>
      <c r="P79" s="3">
        <f>SQRT(P77)</f>
        <v>578.3998011756228</v>
      </c>
      <c r="Q79" t="s">
        <v>40</v>
      </c>
    </row>
    <row r="80" spans="2:17" ht="15" customHeight="1" thickBot="1">
      <c r="B80" s="150"/>
      <c r="C80" s="150"/>
      <c r="D80" s="151"/>
      <c r="E80" s="152"/>
      <c r="F80" s="151"/>
      <c r="G80" s="153"/>
      <c r="H80" s="151"/>
      <c r="I80" s="150"/>
      <c r="J80" s="49"/>
      <c r="K80" s="11"/>
      <c r="N80" s="3">
        <f>0.66*N78+0.17*N79+0.17*P79</f>
        <v>561.2167635767206</v>
      </c>
      <c r="O80" s="3" t="s">
        <v>42</v>
      </c>
      <c r="P80" s="3">
        <f>0.66*P78+0.17*N79+0.17*P79</f>
        <v>574.8803838360886</v>
      </c>
      <c r="Q80" t="s">
        <v>43</v>
      </c>
    </row>
    <row r="81" spans="10:14" ht="15" customHeight="1">
      <c r="J81" s="49"/>
      <c r="K81" s="11"/>
      <c r="N81" s="41" t="s">
        <v>347</v>
      </c>
    </row>
    <row r="82" spans="2:14" ht="15" customHeight="1">
      <c r="B82" s="157" t="s">
        <v>3</v>
      </c>
      <c r="C82" s="157"/>
      <c r="D82" s="157"/>
      <c r="E82" s="157"/>
      <c r="F82" s="157"/>
      <c r="G82" s="157"/>
      <c r="H82" s="157"/>
      <c r="I82" s="157"/>
      <c r="J82" s="157"/>
      <c r="K82" s="11"/>
      <c r="N82" t="s">
        <v>101</v>
      </c>
    </row>
    <row r="83" spans="7:14" ht="15" customHeight="1">
      <c r="G83" s="11"/>
      <c r="H83" s="11"/>
      <c r="I83" s="11"/>
      <c r="J83" s="11"/>
      <c r="K83" s="11"/>
      <c r="N83" s="41" t="s">
        <v>347</v>
      </c>
    </row>
    <row r="84" spans="2:17" ht="15" customHeight="1">
      <c r="B84" s="40" t="s">
        <v>192</v>
      </c>
      <c r="C84" s="40"/>
      <c r="D84" s="40"/>
      <c r="E84" s="40"/>
      <c r="F84" s="40"/>
      <c r="G84" s="49"/>
      <c r="H84" s="49"/>
      <c r="I84" s="49"/>
      <c r="J84" s="49"/>
      <c r="K84" s="11"/>
      <c r="N84" s="3">
        <f>N78*N59</f>
        <v>557.6973462371864</v>
      </c>
      <c r="O84" t="s">
        <v>38</v>
      </c>
      <c r="P84" s="3">
        <f>P78*N59</f>
        <v>578.3998011756228</v>
      </c>
      <c r="Q84" t="s">
        <v>41</v>
      </c>
    </row>
    <row r="85" spans="2:17" ht="15" customHeight="1">
      <c r="B85" s="40" t="s">
        <v>252</v>
      </c>
      <c r="C85" s="40"/>
      <c r="D85" s="40"/>
      <c r="E85" s="40"/>
      <c r="F85" s="40"/>
      <c r="G85" s="49"/>
      <c r="H85" s="49"/>
      <c r="I85" s="49"/>
      <c r="J85" s="49"/>
      <c r="K85" s="11"/>
      <c r="N85" s="3">
        <f>N79*N59</f>
        <v>557.6973462371864</v>
      </c>
      <c r="O85" t="s">
        <v>39</v>
      </c>
      <c r="P85" s="3">
        <f>P79*N59</f>
        <v>578.3998011756228</v>
      </c>
      <c r="Q85" t="s">
        <v>40</v>
      </c>
    </row>
    <row r="86" spans="2:17" ht="15" customHeight="1">
      <c r="B86" s="40" t="s">
        <v>251</v>
      </c>
      <c r="C86" s="40"/>
      <c r="D86" s="40"/>
      <c r="E86" s="40"/>
      <c r="F86" s="40"/>
      <c r="G86" s="49"/>
      <c r="H86" s="49"/>
      <c r="I86" s="49"/>
      <c r="J86" s="49"/>
      <c r="K86" s="11"/>
      <c r="N86" s="3">
        <f>N59*N80</f>
        <v>561.2167635767206</v>
      </c>
      <c r="O86" t="s">
        <v>42</v>
      </c>
      <c r="P86" s="3">
        <f>N59*P80</f>
        <v>574.8803838360886</v>
      </c>
      <c r="Q86" t="s">
        <v>43</v>
      </c>
    </row>
    <row r="87" spans="2:17" ht="15" customHeight="1">
      <c r="B87" s="40"/>
      <c r="C87" s="40"/>
      <c r="D87" s="40"/>
      <c r="E87" s="40"/>
      <c r="F87" s="40"/>
      <c r="G87" s="49"/>
      <c r="H87" s="49"/>
      <c r="I87" s="49"/>
      <c r="J87" s="49"/>
      <c r="K87" t="s">
        <v>1</v>
      </c>
      <c r="N87" s="4">
        <f>P62</f>
        <v>475</v>
      </c>
      <c r="O87" t="s">
        <v>25</v>
      </c>
      <c r="P87">
        <f>N62</f>
        <v>8</v>
      </c>
      <c r="Q87" t="s">
        <v>28</v>
      </c>
    </row>
    <row r="88" spans="2:17" ht="15" customHeight="1">
      <c r="B88" s="40"/>
      <c r="C88" s="40"/>
      <c r="D88" s="40"/>
      <c r="E88" s="40" t="s">
        <v>31</v>
      </c>
      <c r="F88" s="40"/>
      <c r="G88" s="62" t="s">
        <v>21</v>
      </c>
      <c r="H88" s="49"/>
      <c r="I88" s="63" t="s">
        <v>34</v>
      </c>
      <c r="J88" s="49"/>
      <c r="K88" s="138"/>
      <c r="N88" s="3">
        <f>I9*N70*P70</f>
        <v>3795.6</v>
      </c>
      <c r="O88" t="s">
        <v>18</v>
      </c>
      <c r="P88" s="3">
        <f>(N66+N62*N65)*N59</f>
        <v>1775.814866521739</v>
      </c>
      <c r="Q88" t="s">
        <v>26</v>
      </c>
    </row>
    <row r="89" spans="2:17" ht="15" customHeight="1">
      <c r="B89" s="40"/>
      <c r="C89" s="40"/>
      <c r="D89" s="49"/>
      <c r="E89" s="40"/>
      <c r="F89" s="40"/>
      <c r="G89" s="40"/>
      <c r="H89" s="40"/>
      <c r="I89" s="40"/>
      <c r="J89" s="49"/>
      <c r="K89" s="138"/>
      <c r="N89" s="3">
        <f>N88+(0.7857*(P86-N86))</f>
        <v>3806.335506437785</v>
      </c>
      <c r="O89" t="s">
        <v>27</v>
      </c>
      <c r="P89" s="3">
        <f>N88-P88</f>
        <v>2019.7851334782608</v>
      </c>
      <c r="Q89" t="s">
        <v>16</v>
      </c>
    </row>
    <row r="90" spans="2:17" ht="15" customHeight="1">
      <c r="B90" s="40" t="s">
        <v>67</v>
      </c>
      <c r="C90" s="40"/>
      <c r="D90" s="64">
        <f>P89+1.5*N86</f>
        <v>2861.610278843342</v>
      </c>
      <c r="E90" s="64">
        <f>(P89+N86)</f>
        <v>2581.0018970549813</v>
      </c>
      <c r="F90" s="64">
        <f>P89+0.5*N86</f>
        <v>2300.3935152666213</v>
      </c>
      <c r="G90" s="65">
        <f>ENR</f>
        <v>2019.7851334782608</v>
      </c>
      <c r="H90" s="64">
        <f>P89-0.5*P86</f>
        <v>1732.3449415602165</v>
      </c>
      <c r="I90" s="64">
        <f>P89-P86</f>
        <v>1444.9047496421722</v>
      </c>
      <c r="J90" s="64">
        <f>P89-1.5*P86</f>
        <v>1157.4645577241279</v>
      </c>
      <c r="K90" s="49"/>
      <c r="N90" s="3">
        <f>N89-P88</f>
        <v>2030.520639916046</v>
      </c>
      <c r="O90" t="s">
        <v>24</v>
      </c>
      <c r="P90" s="3">
        <f>P89-N90</f>
        <v>-10.735506437785261</v>
      </c>
      <c r="Q90" t="s">
        <v>17</v>
      </c>
    </row>
    <row r="91" spans="2:14" ht="15" customHeight="1">
      <c r="B91" s="40" t="s">
        <v>103</v>
      </c>
      <c r="C91" s="40"/>
      <c r="D91" s="66">
        <f>IF(O92&lt;1,IF(N92,T92,1-T92),IF(N92,T93,1-T93))</f>
        <v>0.06563702435239553</v>
      </c>
      <c r="E91" s="66">
        <f>IF(O98&lt;1,IF(N98,T98,1-T98),IF(N98,T99,1-T99))</f>
        <v>0.15866470869051094</v>
      </c>
      <c r="F91" s="66">
        <f>IF(N104&lt;1,IF(M104,S104,1-S104),IF(M104,S105,1-S105))</f>
        <v>0.3146852472543431</v>
      </c>
      <c r="G91" s="66">
        <f>IF(O94&lt;1,IF(N94,T94,1-T94),IF(N94,T95,1-T95))</f>
        <v>0.5075391691411395</v>
      </c>
      <c r="H91" s="67">
        <f>IF(O100&lt;1,IF(N100,T100,1-T100),IF(N100,T101,1-T101))</f>
        <v>0.697422591766983</v>
      </c>
      <c r="I91" s="67">
        <f>IF(N106&lt;1,IF(M106,S106,1-S106),IF(M106,S107,1-S107))</f>
        <v>0.8413538594094738</v>
      </c>
      <c r="J91" s="68">
        <f>IF(O96&lt;1,IF(N96,T96,1-T96),IF(N96,T97,1-T97))</f>
        <v>0.9320485754796947</v>
      </c>
      <c r="K91" s="49"/>
      <c r="N91" s="41" t="s">
        <v>350</v>
      </c>
    </row>
    <row r="92" spans="2:21" ht="15" customHeight="1">
      <c r="B92" s="40" t="s">
        <v>103</v>
      </c>
      <c r="C92" s="40"/>
      <c r="D92" s="69">
        <f>IF(O92&lt;1,IF(N92,1-T92,T92),IF(N92,1-T93,T93))</f>
        <v>0.9343629756476045</v>
      </c>
      <c r="E92" s="69">
        <f>IF(O98&lt;1,IF(N98,1-T98,T98),IF(N98,1-T99,T99))</f>
        <v>0.841335291309489</v>
      </c>
      <c r="F92" s="69">
        <f>IF(N104&lt;1,IF(M104,1-S104,S104),IF(M104,1-S105,S105))</f>
        <v>0.6853147527456569</v>
      </c>
      <c r="G92" s="66">
        <f>IF(O94&lt;1,IF(N94,1-T94,T94),IF(N94,1-T95,T95))</f>
        <v>0.49246083085886044</v>
      </c>
      <c r="H92" s="66">
        <f>IF(O100&lt;1,IF(N100,1-T100,T100),IF(N100,1-T101,T101))</f>
        <v>0.30257740823301704</v>
      </c>
      <c r="I92" s="66">
        <f>IF(N106&lt;1,IF(M106,1-S106,S106),IF(M106,1-S107,S107))</f>
        <v>0.15864614059052617</v>
      </c>
      <c r="J92" s="66">
        <f>IF(O96&lt;1,IF(N96,1-T96,T96),IF(N96,1-T97,T97))</f>
        <v>0.0679514245203053</v>
      </c>
      <c r="K92" s="49"/>
      <c r="N92" s="4" t="b">
        <f>+D90&gt;=N90</f>
        <v>1</v>
      </c>
      <c r="O92" s="4">
        <f>ABS((D90-P89)/IF(N92,N86,P86))</f>
        <v>1.5</v>
      </c>
      <c r="P92" s="4">
        <f>MIN(2.5,ABS((D90-(N90+P90*ABS(D90-N90)/ABS(IF(N92,N86+P90,P86-P90))*MIN(1,O92)))/(MIN(1.52,O92)/1.52*IF(N92,N84,P84)+(1.52-MIN(1.52,O92))/3.04*N85+(1.52-MIN(1.52,O92))/3.04*P85)))</f>
        <v>1.5189075412872113</v>
      </c>
      <c r="Q92" s="4">
        <f aca="true" t="shared" si="2" ref="Q92:Q97">1/(1+(0.2316419*P92))</f>
        <v>0.7397310742423336</v>
      </c>
      <c r="R92" s="4">
        <f aca="true" t="shared" si="3" ref="R92:R97">0.398942281*((2.71828)^((-(P92^2)/2)))</f>
        <v>0.1258735036926647</v>
      </c>
      <c r="S92" s="4"/>
      <c r="T92" s="4">
        <f aca="true" t="shared" si="4" ref="T92:T97">R92*(0.31938153*Q92-0.356563782*Q92^2+1.781477937*Q92^3-1.821255978*Q92^4+1.330274429*Q92^5)</f>
        <v>0.06439295735405652</v>
      </c>
      <c r="U92" s="4"/>
    </row>
    <row r="93" spans="2:21" ht="15" customHeight="1">
      <c r="B93" s="40"/>
      <c r="C93" s="40"/>
      <c r="D93" s="49"/>
      <c r="E93" s="49"/>
      <c r="F93" s="49"/>
      <c r="G93" s="49"/>
      <c r="H93" s="49"/>
      <c r="I93" s="49"/>
      <c r="J93" s="49"/>
      <c r="K93" s="49"/>
      <c r="P93" s="4">
        <f>MIN(2.5,ABS((D90-P89)/(MIN(1.52,O92)/1.52*IF(N92,N84,P84)+(1.52-MIN(1.52,O92))/3.04*N85+(1.52-MIN(1.52,O92))/3.04*P85)))</f>
        <v>1.509097383077962</v>
      </c>
      <c r="Q93" s="4">
        <f t="shared" si="2"/>
        <v>0.7409766539300126</v>
      </c>
      <c r="R93" s="4">
        <f t="shared" si="3"/>
        <v>0.12775700451103442</v>
      </c>
      <c r="S93" s="4"/>
      <c r="T93" s="4">
        <f>R93*(0.31938153*Q93-0.356563782*Q93^2+1.781477937*Q93^3-1.821255978*Q93^4+1.330274429*Q93^5)</f>
        <v>0.06563702435239553</v>
      </c>
      <c r="U93" s="4"/>
    </row>
    <row r="94" spans="2:21" ht="15" customHeight="1" thickBot="1">
      <c r="B94" s="70" t="s">
        <v>104</v>
      </c>
      <c r="C94" s="40"/>
      <c r="D94" s="49"/>
      <c r="E94" s="78">
        <f>IF(O102&lt;1,IF(N102,T102,1-T102),IF(N102,T103,1-T103))</f>
        <v>0.9937903070841806</v>
      </c>
      <c r="F94" s="48"/>
      <c r="G94" s="138" t="s">
        <v>335</v>
      </c>
      <c r="H94" s="49"/>
      <c r="I94" s="49"/>
      <c r="J94" s="77">
        <f>N59*(G13*G14-I58)</f>
        <v>822.0557334782607</v>
      </c>
      <c r="K94" s="49"/>
      <c r="N94" s="4" t="b">
        <f>+G90&gt;=N90</f>
        <v>0</v>
      </c>
      <c r="O94" s="4">
        <f>ABS((G90-P89)/IF(N94,N86,P86))</f>
        <v>0</v>
      </c>
      <c r="P94" s="4">
        <f>MIN(2.5,ABS((G90-(N90+P90*ABS(G90-N90)/ABS(IF(N94,N86+P90,P86-P90))*MIN(1,O94)))/(MIN(1.52,O94)/1.52*IF(N94,N84,P84)+(1.52-MIN(1.52,O94))/3.04*N85+(1.52-MIN(1.52,O94))/3.04*P85)))</f>
        <v>0.01889892332224022</v>
      </c>
      <c r="Q94" s="4">
        <f t="shared" si="2"/>
        <v>0.9956412989389374</v>
      </c>
      <c r="R94" s="4">
        <f t="shared" si="3"/>
        <v>0.3988710424409957</v>
      </c>
      <c r="S94" s="4"/>
      <c r="T94" s="4">
        <f t="shared" si="4"/>
        <v>0.49246083085886044</v>
      </c>
      <c r="U94" s="4"/>
    </row>
    <row r="95" spans="11:21" ht="15" customHeight="1" thickTop="1">
      <c r="K95" s="49"/>
      <c r="P95" s="4">
        <f>MIN(2.5,ABS((G90-P89)/(MIN(1.52,O94)/1.52*IF(N94,N84,P84)+(1.52-MIN(1.52,O94))/3.04*N85+(1.52-MIN(1.52,O94))/3.04*P85)))</f>
        <v>0</v>
      </c>
      <c r="Q95" s="4">
        <f t="shared" si="2"/>
        <v>1</v>
      </c>
      <c r="R95" s="4">
        <f t="shared" si="3"/>
        <v>0.398942281</v>
      </c>
      <c r="S95" s="4"/>
      <c r="T95" s="4">
        <f t="shared" si="4"/>
        <v>0.5000000002253843</v>
      </c>
      <c r="U95" s="4"/>
    </row>
    <row r="96" spans="11:21" ht="15" customHeight="1">
      <c r="K96" s="49"/>
      <c r="N96" s="4" t="b">
        <f>+J90&gt;=N90</f>
        <v>0</v>
      </c>
      <c r="O96" s="4">
        <f>ABS((J90-P89)/IF(N96,N86,P86))</f>
        <v>1.5</v>
      </c>
      <c r="P96" s="4">
        <f>MIN(2.5,ABS((J90-(N90+P90*ABS(J90-N90)/ABS(IF(N96,N86+P90,P86-P90))*MIN(1,O96)))/(MIN(1.52,O96)/1.52*IF(N96,N84,P84)+(1.52-MIN(1.52,O96))/3.04*N85+(1.52-MIN(1.52,O96))/3.04*P85)))</f>
        <v>1.482111657976217</v>
      </c>
      <c r="Q96" s="4">
        <f t="shared" si="2"/>
        <v>0.7444247275184224</v>
      </c>
      <c r="R96" s="4">
        <f t="shared" si="3"/>
        <v>0.1330187376275721</v>
      </c>
      <c r="S96" s="4"/>
      <c r="T96" s="4">
        <f t="shared" si="4"/>
        <v>0.0691553772653857</v>
      </c>
      <c r="U96" s="4"/>
    </row>
    <row r="97" spans="11:21" ht="15" customHeight="1">
      <c r="K97" s="72"/>
      <c r="L97" s="72"/>
      <c r="P97" s="4">
        <f>MIN(2.5,ABS((J90-P89)/(MIN(1.52,O96)/1.52*IF(N96,N84,P84)+(1.52-MIN(1.52,O96))/3.04*N85+(1.52-MIN(1.52,O96))/3.04*P85)))</f>
        <v>1.4912240274850423</v>
      </c>
      <c r="Q97" s="4">
        <f t="shared" si="2"/>
        <v>0.7432568208592139</v>
      </c>
      <c r="R97" s="4">
        <f t="shared" si="3"/>
        <v>0.13122887617743492</v>
      </c>
      <c r="S97" s="4"/>
      <c r="T97" s="4">
        <f t="shared" si="4"/>
        <v>0.0679514245203053</v>
      </c>
      <c r="U97" s="4"/>
    </row>
    <row r="98" spans="11:21" ht="12.75">
      <c r="K98" s="72"/>
      <c r="L98" s="72"/>
      <c r="N98" s="4" t="b">
        <f>+E90&gt;=N90</f>
        <v>1</v>
      </c>
      <c r="O98" s="4">
        <f>ABS((E90-P89)/IF(N98,N86,P86))</f>
        <v>0.9999999999999998</v>
      </c>
      <c r="P98" s="4">
        <f>MIN(2.5,ABS((E90-(N90+P90*ABS(E90-N90)/ABS(IF(N98,N86+P90,P86-P90))*MIN(1,O98)))/(MIN(1.52,O98)/1.52*IF(N98,N84,P84)+(1.52-MIN(1.52,O98))/3.04*N85+(1.52-MIN(1.52,O98))/3.04*P85)))</f>
        <v>0.9999611714882892</v>
      </c>
      <c r="Q98" s="4">
        <f aca="true" t="shared" si="5" ref="Q98:Q103">1/(1+(0.2316419*P98))</f>
        <v>0.8119302394246704</v>
      </c>
      <c r="R98" s="4">
        <f aca="true" t="shared" si="6" ref="R98:R103">0.398942281*((2.71828)^((-(P98^2)/2)))</f>
        <v>0.24198020162329933</v>
      </c>
      <c r="S98" s="4"/>
      <c r="T98" s="4">
        <f aca="true" t="shared" si="7" ref="T98:T103">R98*(0.31938153*Q98-0.356563782*Q98^2+1.781477937*Q98^3-1.821255978*Q98^4+1.330274429*Q98^5)</f>
        <v>0.15866470869051094</v>
      </c>
      <c r="U98" s="4"/>
    </row>
    <row r="99" spans="11:21" ht="12.75">
      <c r="K99" s="4"/>
      <c r="L99" s="4"/>
      <c r="P99" s="4">
        <f>MIN(2.5,ABS((E90-P89)/(MIN(1.52,O98)/1.52*IF(N98,N84,P84)+(1.52-MIN(1.52,O98))/3.04*N85+(1.52-MIN(1.52,O98))/3.04*P85)))</f>
        <v>0.9999611714882892</v>
      </c>
      <c r="Q99" s="4">
        <f t="shared" si="5"/>
        <v>0.8119302394246704</v>
      </c>
      <c r="R99" s="4">
        <f t="shared" si="6"/>
        <v>0.24198020162329933</v>
      </c>
      <c r="S99" s="4"/>
      <c r="T99" s="4">
        <f t="shared" si="7"/>
        <v>0.15866470869051094</v>
      </c>
      <c r="U99" s="4"/>
    </row>
    <row r="100" spans="11:21" ht="12.75">
      <c r="K100" s="4"/>
      <c r="L100" s="4"/>
      <c r="N100" s="4" t="b">
        <f>+H90&gt;=N90</f>
        <v>0</v>
      </c>
      <c r="O100" s="4">
        <f>ABS((H90-P89)/IF(N100,N86,P86))</f>
        <v>0.5</v>
      </c>
      <c r="P100" s="4">
        <f>MIN(2.5,ABS((H90-(N90+P90*ABS(H90-N90)/ABS(IF(N100,N86+P90,P86-P90))*MIN(1,O100)))/(MIN(1.52,O100)/1.52*IF(N100,N84,P84)+(1.52-MIN(1.52,O100))/3.04*N85+(1.52-MIN(1.52,O100))/3.04*P85)))</f>
        <v>0.51700195757144</v>
      </c>
      <c r="Q100" s="4">
        <f t="shared" si="5"/>
        <v>0.8930490561047407</v>
      </c>
      <c r="R100" s="4">
        <f t="shared" si="6"/>
        <v>0.34903469333850595</v>
      </c>
      <c r="S100" s="4"/>
      <c r="T100" s="4">
        <f t="shared" si="7"/>
        <v>0.30257740823301704</v>
      </c>
      <c r="U100" s="4"/>
    </row>
    <row r="101" spans="11:21" ht="12.75">
      <c r="K101" s="49"/>
      <c r="P101" s="4">
        <f>MIN(2.5,ABS((H90-P89)/(MIN(1.52,O100)/1.52*IF(N100,N84,P84)+(1.52-MIN(1.52,O100))/3.04*N85+(1.52-MIN(1.52,O100))/3.04*P85)))</f>
        <v>0.5029983197211856</v>
      </c>
      <c r="Q101" s="4">
        <f t="shared" si="5"/>
        <v>0.8956436449935254</v>
      </c>
      <c r="R101" s="4">
        <f t="shared" si="6"/>
        <v>0.35153637028561185</v>
      </c>
      <c r="S101" s="4"/>
      <c r="T101" s="4">
        <f t="shared" si="7"/>
        <v>0.30748274525674757</v>
      </c>
      <c r="U101" s="4"/>
    </row>
    <row r="102" spans="11:21" ht="12.75">
      <c r="K102" s="49"/>
      <c r="N102" s="4" t="b">
        <f>0&gt;=N90</f>
        <v>0</v>
      </c>
      <c r="O102" s="4">
        <f>ABS((0-P89)/IF(N102,N86,P86))</f>
        <v>3.5134006834613913</v>
      </c>
      <c r="P102" s="4">
        <f>MIN(2.5,ABS((0-(N90+P90*ABS(0-N90)/ABS(IF(N102,N86+P90,P86-P90))*MIN(1,O102)))/(MIN(1.52,O102)/1.52*IF(N102,N84,P84)+(1.52-MIN(1.52,O102))/3.04*N85+(1.52-MIN(1.52,O102))/3.04*P85)))</f>
        <v>2.5</v>
      </c>
      <c r="Q102" s="4">
        <f t="shared" si="5"/>
        <v>0.6332702121249398</v>
      </c>
      <c r="R102" s="4">
        <f t="shared" si="6"/>
        <v>0.017528337365090806</v>
      </c>
      <c r="S102" s="4"/>
      <c r="T102" s="4">
        <f t="shared" si="7"/>
        <v>0.00620969291581936</v>
      </c>
      <c r="U102" s="4"/>
    </row>
    <row r="103" spans="2:21" ht="12.75">
      <c r="B103" s="48" t="s">
        <v>376</v>
      </c>
      <c r="P103" s="4">
        <f>MIN(2.5,ABS((0-P89)/(MIN(1.52,O102)/1.52*IF(N102,N84,P84)+(1.52-MIN(1.52,O102))/3.04*N85+(1.52-MIN(1.52,O102))/3.04*P85)))</f>
        <v>2.5</v>
      </c>
      <c r="Q103" s="4">
        <f t="shared" si="5"/>
        <v>0.6332702121249398</v>
      </c>
      <c r="R103" s="4">
        <f t="shared" si="6"/>
        <v>0.017528337365090806</v>
      </c>
      <c r="S103" s="4"/>
      <c r="T103" s="4">
        <f t="shared" si="7"/>
        <v>0.00620969291581936</v>
      </c>
      <c r="U103" s="4"/>
    </row>
    <row r="104" spans="2:20" ht="12.75">
      <c r="B104" s="84"/>
      <c r="C104" s="145" t="s">
        <v>328</v>
      </c>
      <c r="D104" s="146"/>
      <c r="E104" s="146"/>
      <c r="F104" s="146"/>
      <c r="G104" s="146"/>
      <c r="H104" s="53"/>
      <c r="I104" s="53"/>
      <c r="J104" s="73" t="s">
        <v>343</v>
      </c>
      <c r="M104" s="4" t="b">
        <f>+F90&gt;=N90</f>
        <v>1</v>
      </c>
      <c r="N104" s="4">
        <f>ABS((F90-P89)/IF(M104,N86,P86))</f>
        <v>0.5000000000000003</v>
      </c>
      <c r="O104" s="4">
        <f>MIN(2.5,ABS((F90-(N90+P90*ABS(F90-N90)/ABS(IF(M104,N86+P90,P86-P90))*MIN(1,N104)))/(MIN(1.52,N104)/1.52*IF(M104,N84,P84)+(1.52-MIN(1.52,N104))/3.04*N85+(1.52-MIN(1.52,N104))/3.04*P85)))</f>
        <v>0.4826131526978798</v>
      </c>
      <c r="P104" s="4">
        <f>1/(1+(0.2316419*O104))</f>
        <v>0.8994476627806399</v>
      </c>
      <c r="Q104" s="4">
        <f>0.398942281*((2.71828)^((-(O104^2)/2)))</f>
        <v>0.3550856748752641</v>
      </c>
      <c r="R104" s="4"/>
      <c r="S104" s="4">
        <f>Q104*(0.31938153*P104-0.356563782*P104^2+1.781477937*P104^3-1.821255978*P104^4+1.330274429*P104^5)</f>
        <v>0.3146852472543431</v>
      </c>
      <c r="T104" s="4"/>
    </row>
    <row r="105" spans="2:20" ht="12.75">
      <c r="B105" s="84"/>
      <c r="C105" s="73" t="s">
        <v>98</v>
      </c>
      <c r="D105" s="73" t="s">
        <v>196</v>
      </c>
      <c r="E105" s="73" t="s">
        <v>196</v>
      </c>
      <c r="F105" s="73" t="s">
        <v>329</v>
      </c>
      <c r="G105" s="73" t="s">
        <v>203</v>
      </c>
      <c r="H105" s="73" t="s">
        <v>203</v>
      </c>
      <c r="I105" s="73" t="s">
        <v>303</v>
      </c>
      <c r="J105" s="73" t="s">
        <v>344</v>
      </c>
      <c r="O105" s="4">
        <f>MIN(2.5,ABS((F90-P89)/(MIN(1.52,N104)/1.52*IF(M104,N84,P84)+(1.52-MIN(1.52,N104))/3.04*N85+(1.52-MIN(1.52,N104))/3.04*P85)))</f>
        <v>0.4969655183303502</v>
      </c>
      <c r="P105" s="4">
        <f>1/(1+(0.2316419*O105))</f>
        <v>0.8967660524795223</v>
      </c>
      <c r="Q105" s="4">
        <f>0.398942281*((2.71828)^((-(O105^2)/2)))</f>
        <v>0.3525983065274478</v>
      </c>
      <c r="R105" s="4"/>
      <c r="S105" s="4">
        <f>Q105*(0.31938153*P105-0.356563782*P105^2+1.781477937*P105^3-1.821255978*P105^4+1.330274429*P105^5)</f>
        <v>0.30960670504369664</v>
      </c>
      <c r="T105" s="4"/>
    </row>
    <row r="106" spans="2:20" ht="12.75">
      <c r="B106" s="73" t="s">
        <v>462</v>
      </c>
      <c r="C106" s="139"/>
      <c r="D106" s="84"/>
      <c r="E106" s="84"/>
      <c r="F106" s="144">
        <f>MEDY*0.95</f>
        <v>7.6</v>
      </c>
      <c r="G106" s="84"/>
      <c r="H106" s="84"/>
      <c r="I106" s="84"/>
      <c r="J106" s="140"/>
      <c r="M106" s="4" t="b">
        <f>+I90&gt;=N90</f>
        <v>0</v>
      </c>
      <c r="N106" s="4">
        <f>ABS((I90-P89)/IF(M106,N86,P86))</f>
        <v>1</v>
      </c>
      <c r="O106" s="4">
        <f>MIN(2.5,ABS((I90-(N90+P90*ABS(I90-N90)/ABS(IF(M106,N86+P90,P86-P90))*MIN(1,N106)))/(MIN(1.52,N106)/1.52*IF(M106,N84,P84)+(1.52-MIN(1.52,N106))/3.04*N85+(1.52-MIN(1.52,N106))/3.04*P85)))</f>
        <v>1.0000379085537585</v>
      </c>
      <c r="P106" s="4">
        <f>1/(1+(0.2316419*O106))</f>
        <v>0.811918521425288</v>
      </c>
      <c r="Q106" s="4">
        <f>0.398942281*((2.71828)^((-(O106^2)/2)))</f>
        <v>0.24196163350619648</v>
      </c>
      <c r="R106" s="4"/>
      <c r="S106" s="4">
        <f>Q106*(0.31938153*P106-0.356563782*P106^2+1.781477937*P106^3-1.821255978*P106^4+1.330274429*P106^5)</f>
        <v>0.15864614059052617</v>
      </c>
      <c r="T106" s="4"/>
    </row>
    <row r="107" spans="2:20" ht="12.75">
      <c r="B107" s="154">
        <v>360</v>
      </c>
      <c r="C107" s="141">
        <v>1967</v>
      </c>
      <c r="D107" s="141">
        <v>1711</v>
      </c>
      <c r="E107" s="141">
        <v>1455</v>
      </c>
      <c r="F107" s="141">
        <v>1199</v>
      </c>
      <c r="G107" s="141">
        <v>969</v>
      </c>
      <c r="H107" s="141">
        <v>740</v>
      </c>
      <c r="I107" s="141">
        <v>510</v>
      </c>
      <c r="J107" s="142">
        <v>-98</v>
      </c>
      <c r="O107" s="4">
        <f>MIN(2.5,ABS((I90-P89)/(MIN(1.52,N106)/1.52*IF(M106,N84,P84)+(1.52-MIN(1.52,N106))/3.04*N85+(1.52-MIN(1.52,N106))/3.04*P85)))</f>
        <v>1.0000379085537585</v>
      </c>
      <c r="P107" s="4">
        <f>1/(1+(0.2316419*O107))</f>
        <v>0.811918521425288</v>
      </c>
      <c r="Q107" s="4">
        <f>0.398942281*((2.71828)^((-(O107^2)/2)))</f>
        <v>0.24196163350619648</v>
      </c>
      <c r="R107" s="4"/>
      <c r="S107" s="4">
        <f>Q107*(0.31938153*P107-0.356563782*P107^2+1.781477937*P107^3-1.821255978*P107^4+1.330274429*P107^5)</f>
        <v>0.15864614059052617</v>
      </c>
      <c r="T107" s="4"/>
    </row>
    <row r="108" spans="2:21" ht="12.75">
      <c r="B108" s="154">
        <v>428</v>
      </c>
      <c r="C108" s="141">
        <v>2420</v>
      </c>
      <c r="D108" s="141">
        <v>2149</v>
      </c>
      <c r="E108" s="141">
        <v>1877</v>
      </c>
      <c r="F108" s="141">
        <v>1606</v>
      </c>
      <c r="G108" s="141">
        <v>1330</v>
      </c>
      <c r="H108" s="141">
        <v>1053</v>
      </c>
      <c r="I108" s="141">
        <v>777</v>
      </c>
      <c r="J108" s="155">
        <v>446</v>
      </c>
      <c r="K108" s="76"/>
      <c r="M108" s="72"/>
      <c r="N108" s="72"/>
      <c r="O108" s="72"/>
      <c r="P108" s="72"/>
      <c r="Q108" s="72"/>
      <c r="R108" s="72"/>
      <c r="S108" s="72"/>
      <c r="T108" s="72"/>
      <c r="U108" s="72"/>
    </row>
    <row r="109" spans="2:21" ht="12.75">
      <c r="B109" s="143">
        <v>475</v>
      </c>
      <c r="C109" s="144">
        <v>2862</v>
      </c>
      <c r="D109" s="144">
        <v>2581</v>
      </c>
      <c r="E109" s="144">
        <v>2300</v>
      </c>
      <c r="F109" s="144">
        <v>2020</v>
      </c>
      <c r="G109" s="144">
        <v>1732</v>
      </c>
      <c r="H109" s="144">
        <v>1445</v>
      </c>
      <c r="I109" s="144">
        <v>1157</v>
      </c>
      <c r="J109" s="144">
        <v>822</v>
      </c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</row>
    <row r="110" spans="2:21" ht="12.75">
      <c r="B110" s="154">
        <v>523</v>
      </c>
      <c r="C110" s="141">
        <v>3291</v>
      </c>
      <c r="D110" s="141">
        <v>2996</v>
      </c>
      <c r="E110" s="141">
        <v>2701</v>
      </c>
      <c r="F110" s="141">
        <v>2406</v>
      </c>
      <c r="G110" s="141">
        <v>2111</v>
      </c>
      <c r="H110" s="141">
        <v>1816</v>
      </c>
      <c r="I110" s="141">
        <v>1521</v>
      </c>
      <c r="J110" s="141">
        <v>1206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2:21" ht="12.75">
      <c r="B111" s="154">
        <v>570</v>
      </c>
      <c r="C111" s="141">
        <v>3727</v>
      </c>
      <c r="D111" s="141">
        <v>3414</v>
      </c>
      <c r="E111" s="141">
        <v>3100</v>
      </c>
      <c r="F111" s="141">
        <v>2786</v>
      </c>
      <c r="G111" s="141">
        <v>2473</v>
      </c>
      <c r="H111" s="141">
        <v>2159</v>
      </c>
      <c r="I111" s="141">
        <v>1846</v>
      </c>
      <c r="J111" s="141">
        <v>1582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3" spans="2:17" ht="12.75">
      <c r="B113" s="76" t="s">
        <v>339</v>
      </c>
      <c r="D113" s="72"/>
      <c r="E113" s="72"/>
      <c r="F113" s="72"/>
      <c r="G113" s="72"/>
      <c r="H113" s="72"/>
      <c r="I113" s="72"/>
      <c r="J113" s="72"/>
      <c r="M113" s="9"/>
      <c r="N113" s="9"/>
      <c r="O113" s="18"/>
      <c r="P113" s="9"/>
      <c r="Q113" s="9"/>
    </row>
    <row r="114" spans="2:10" ht="12.75">
      <c r="B114" s="72" t="s">
        <v>340</v>
      </c>
      <c r="C114" s="72"/>
      <c r="D114" s="72"/>
      <c r="E114" s="72"/>
      <c r="F114" s="72"/>
      <c r="G114" s="72"/>
      <c r="H114" s="72"/>
      <c r="I114" s="72"/>
      <c r="J114" s="72"/>
    </row>
    <row r="115" spans="2:10" ht="12.75">
      <c r="B115" s="4" t="s">
        <v>341</v>
      </c>
      <c r="C115" s="4"/>
      <c r="D115" s="4"/>
      <c r="E115" s="4"/>
      <c r="F115" s="4"/>
      <c r="G115" s="4"/>
      <c r="H115" s="4"/>
      <c r="I115" s="4"/>
      <c r="J115" s="4"/>
    </row>
    <row r="116" spans="2:10" ht="12.75">
      <c r="B116" s="4" t="s">
        <v>342</v>
      </c>
      <c r="C116" s="4"/>
      <c r="D116" s="4"/>
      <c r="E116" s="4"/>
      <c r="F116" s="4"/>
      <c r="G116" s="4"/>
      <c r="H116" s="4"/>
      <c r="I116" s="4"/>
      <c r="J116" s="4"/>
    </row>
    <row r="128" ht="12.75">
      <c r="K128" s="4"/>
    </row>
    <row r="129" ht="12.75">
      <c r="K129" s="4"/>
    </row>
    <row r="130" ht="12.75">
      <c r="K130" s="4"/>
    </row>
    <row r="131" ht="12.75">
      <c r="K131" s="4"/>
    </row>
    <row r="135" ht="12.75">
      <c r="B135" s="40"/>
    </row>
    <row r="136" ht="12.75">
      <c r="B136" s="40"/>
    </row>
    <row r="141" ht="12.75">
      <c r="B141" s="40"/>
    </row>
    <row r="142" ht="12.75">
      <c r="B142" s="40"/>
    </row>
    <row r="143" ht="12.75">
      <c r="B143" s="40"/>
    </row>
    <row r="148" spans="2:10" ht="12.75">
      <c r="B148" s="159"/>
      <c r="C148" s="159"/>
      <c r="D148" s="159"/>
      <c r="E148" s="159"/>
      <c r="F148" s="159"/>
      <c r="G148" s="159"/>
      <c r="H148" s="159"/>
      <c r="I148" s="159"/>
      <c r="J148" s="159"/>
    </row>
  </sheetData>
  <sheetProtection/>
  <mergeCells count="8">
    <mergeCell ref="A1:J1"/>
    <mergeCell ref="B82:J82"/>
    <mergeCell ref="A73:J73"/>
    <mergeCell ref="B148:J148"/>
    <mergeCell ref="M12:V12"/>
    <mergeCell ref="C3:I3"/>
    <mergeCell ref="C5:I5"/>
    <mergeCell ref="C6:I6"/>
  </mergeCells>
  <printOptions/>
  <pageMargins left="0.5" right="0.5" top="0.5" bottom="0.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8"/>
  </sheetPr>
  <dimension ref="B4:J35"/>
  <sheetViews>
    <sheetView workbookViewId="0" topLeftCell="A1">
      <selection activeCell="L21" sqref="L21"/>
    </sheetView>
  </sheetViews>
  <sheetFormatPr defaultColWidth="9.140625" defaultRowHeight="12.75"/>
  <cols>
    <col min="1" max="1" width="3.140625" style="0" customWidth="1"/>
    <col min="2" max="2" width="7.28125" style="0" customWidth="1"/>
    <col min="3" max="3" width="5.57421875" style="0" customWidth="1"/>
    <col min="4" max="4" width="10.28125" style="0" customWidth="1"/>
    <col min="5" max="5" width="12.57421875" style="0" customWidth="1"/>
    <col min="6" max="6" width="12.421875" style="0" customWidth="1"/>
    <col min="7" max="7" width="9.57421875" style="0" customWidth="1"/>
    <col min="8" max="8" width="11.140625" style="0" customWidth="1"/>
    <col min="9" max="9" width="7.7109375" style="0" customWidth="1"/>
  </cols>
  <sheetData>
    <row r="4" spans="2:9" ht="15.75">
      <c r="B4" s="160" t="s">
        <v>455</v>
      </c>
      <c r="C4" s="160"/>
      <c r="D4" s="160"/>
      <c r="E4" s="160"/>
      <c r="F4" s="160"/>
      <c r="G4" s="160"/>
      <c r="H4" s="160"/>
      <c r="I4" s="41"/>
    </row>
    <row r="5" spans="2:9" ht="12.75">
      <c r="B5" s="41"/>
      <c r="C5" s="41"/>
      <c r="D5" s="41"/>
      <c r="E5" s="41"/>
      <c r="F5" s="41"/>
      <c r="G5" s="41"/>
      <c r="H5" s="41"/>
      <c r="I5" s="41"/>
    </row>
    <row r="6" spans="2:9" ht="12.75">
      <c r="B6" s="41"/>
      <c r="C6" s="48" t="s">
        <v>253</v>
      </c>
      <c r="D6" s="41"/>
      <c r="E6" s="41"/>
      <c r="F6" s="41"/>
      <c r="G6" s="41"/>
      <c r="H6" s="41"/>
      <c r="I6" s="41"/>
    </row>
    <row r="7" spans="2:9" ht="12.75">
      <c r="B7" s="41"/>
      <c r="C7" s="41"/>
      <c r="D7" s="41"/>
      <c r="E7" s="41"/>
      <c r="F7" s="41"/>
      <c r="G7" s="41"/>
      <c r="H7" s="41"/>
      <c r="I7" s="41"/>
    </row>
    <row r="8" spans="2:9" ht="12.75">
      <c r="B8" s="42"/>
      <c r="C8" s="42"/>
      <c r="D8" s="42"/>
      <c r="E8" s="42"/>
      <c r="F8" s="42" t="s">
        <v>235</v>
      </c>
      <c r="G8" s="42"/>
      <c r="H8" s="42" t="s">
        <v>235</v>
      </c>
      <c r="I8" s="41"/>
    </row>
    <row r="9" spans="2:9" ht="12.75">
      <c r="B9" s="42" t="s">
        <v>304</v>
      </c>
      <c r="C9" s="42" t="s">
        <v>307</v>
      </c>
      <c r="D9" s="42" t="s">
        <v>221</v>
      </c>
      <c r="E9" s="42" t="s">
        <v>293</v>
      </c>
      <c r="F9" s="42" t="s">
        <v>293</v>
      </c>
      <c r="G9" s="42" t="s">
        <v>264</v>
      </c>
      <c r="H9" s="42" t="s">
        <v>264</v>
      </c>
      <c r="I9" s="41"/>
    </row>
    <row r="10" spans="2:9" ht="12.75">
      <c r="B10" s="41"/>
      <c r="C10" s="41"/>
      <c r="D10" s="41"/>
      <c r="E10" s="41"/>
      <c r="F10" s="41"/>
      <c r="G10" s="41"/>
      <c r="H10" s="41"/>
      <c r="I10" s="41"/>
    </row>
    <row r="11" spans="2:9" ht="12.75">
      <c r="B11" s="43">
        <v>1</v>
      </c>
      <c r="C11" s="43">
        <v>0</v>
      </c>
      <c r="D11" s="108">
        <v>0</v>
      </c>
      <c r="E11" s="106">
        <f>Yr1!I40</f>
        <v>4443.8228340000005</v>
      </c>
      <c r="F11" s="106">
        <f aca="true" t="shared" si="0" ref="F11:F25">(C11*D11)-E11</f>
        <v>-4443.8228340000005</v>
      </c>
      <c r="G11" s="106">
        <f>Yr1!I48</f>
        <v>6135.891715621739</v>
      </c>
      <c r="H11" s="106">
        <f aca="true" t="shared" si="1" ref="H11:H25">(C11*D11)-G11</f>
        <v>-6135.891715621739</v>
      </c>
      <c r="I11" s="41"/>
    </row>
    <row r="12" spans="2:9" ht="12.75">
      <c r="B12" s="43">
        <v>2</v>
      </c>
      <c r="C12" s="106">
        <f>+Yr2!G41</f>
        <v>1.6</v>
      </c>
      <c r="D12" s="108">
        <f>+Yr2!H41</f>
        <v>475</v>
      </c>
      <c r="E12" s="106">
        <f>Yr2!I25</f>
        <v>1041.64455</v>
      </c>
      <c r="F12" s="106">
        <f t="shared" si="0"/>
        <v>-281.64455</v>
      </c>
      <c r="G12" s="106">
        <f>Yr2!I39</f>
        <v>2898.4467890217393</v>
      </c>
      <c r="H12" s="106">
        <f t="shared" si="1"/>
        <v>-2138.4467890217393</v>
      </c>
      <c r="I12" s="41"/>
    </row>
    <row r="13" spans="2:9" ht="12.75">
      <c r="B13" s="43">
        <v>3</v>
      </c>
      <c r="C13" s="43">
        <f>+Yr3!F38</f>
        <v>3.2</v>
      </c>
      <c r="D13" s="108">
        <v>450</v>
      </c>
      <c r="E13" s="106">
        <f>Yr3!I22</f>
        <v>985.1463000000001</v>
      </c>
      <c r="F13" s="106">
        <f t="shared" si="0"/>
        <v>454.8536999999999</v>
      </c>
      <c r="G13" s="106">
        <f>Yr2!I39</f>
        <v>2898.4467890217393</v>
      </c>
      <c r="H13" s="106">
        <f t="shared" si="1"/>
        <v>-1458.4467890217393</v>
      </c>
      <c r="I13" s="41"/>
    </row>
    <row r="14" spans="2:9" ht="12.75">
      <c r="B14" s="43">
        <v>4</v>
      </c>
      <c r="C14" s="106">
        <f>+Bud!G38</f>
        <v>7.6</v>
      </c>
      <c r="D14" s="108">
        <v>450</v>
      </c>
      <c r="E14" s="106">
        <f>+Bud!I43</f>
        <v>1772.1294</v>
      </c>
      <c r="F14" s="106">
        <f t="shared" si="0"/>
        <v>1647.8706</v>
      </c>
      <c r="G14" s="106">
        <f>Yr2!I39</f>
        <v>2898.4467890217393</v>
      </c>
      <c r="H14" s="106">
        <f t="shared" si="1"/>
        <v>521.5532109782607</v>
      </c>
      <c r="I14" s="41"/>
    </row>
    <row r="15" spans="2:9" ht="12.75">
      <c r="B15" s="43">
        <v>5</v>
      </c>
      <c r="C15" s="106">
        <f>+Bud!G39</f>
        <v>7.6</v>
      </c>
      <c r="D15" s="108">
        <v>450</v>
      </c>
      <c r="E15" s="106">
        <v>1772.13</v>
      </c>
      <c r="F15" s="106">
        <f t="shared" si="0"/>
        <v>1647.87</v>
      </c>
      <c r="G15" s="106">
        <f>+Yr3!I37</f>
        <v>3253.0137015217388</v>
      </c>
      <c r="H15" s="106">
        <f t="shared" si="1"/>
        <v>166.98629847826123</v>
      </c>
      <c r="I15" s="41"/>
    </row>
    <row r="16" spans="2:9" ht="12.75">
      <c r="B16" s="43">
        <v>6</v>
      </c>
      <c r="C16" s="106">
        <f>+Bud!G40</f>
        <v>7.6</v>
      </c>
      <c r="D16" s="108">
        <v>450</v>
      </c>
      <c r="E16" s="106">
        <v>1772.13</v>
      </c>
      <c r="F16" s="106">
        <f t="shared" si="0"/>
        <v>1647.87</v>
      </c>
      <c r="G16" s="106">
        <f aca="true" t="shared" si="2" ref="G16:G25">+UNITCOST</f>
        <v>2977.9442665217393</v>
      </c>
      <c r="H16" s="106">
        <f t="shared" si="1"/>
        <v>442.05573347826066</v>
      </c>
      <c r="I16" s="41"/>
    </row>
    <row r="17" spans="2:9" ht="12.75">
      <c r="B17" s="43">
        <v>7</v>
      </c>
      <c r="C17" s="106">
        <v>7.6</v>
      </c>
      <c r="D17" s="108">
        <v>450</v>
      </c>
      <c r="E17" s="106">
        <v>1772.13</v>
      </c>
      <c r="F17" s="106">
        <f t="shared" si="0"/>
        <v>1647.87</v>
      </c>
      <c r="G17" s="106">
        <f t="shared" si="2"/>
        <v>2977.9442665217393</v>
      </c>
      <c r="H17" s="106">
        <f t="shared" si="1"/>
        <v>442.05573347826066</v>
      </c>
      <c r="I17" s="41"/>
    </row>
    <row r="18" spans="2:9" ht="12.75">
      <c r="B18" s="43">
        <v>8</v>
      </c>
      <c r="C18" s="106">
        <v>7.6</v>
      </c>
      <c r="D18" s="108">
        <v>450</v>
      </c>
      <c r="E18" s="106">
        <v>1772.13</v>
      </c>
      <c r="F18" s="106">
        <f t="shared" si="0"/>
        <v>1647.87</v>
      </c>
      <c r="G18" s="106">
        <f t="shared" si="2"/>
        <v>2977.9442665217393</v>
      </c>
      <c r="H18" s="106">
        <f t="shared" si="1"/>
        <v>442.05573347826066</v>
      </c>
      <c r="I18" s="41"/>
    </row>
    <row r="19" spans="2:9" ht="12.75">
      <c r="B19" s="43">
        <v>9</v>
      </c>
      <c r="C19" s="106">
        <v>7.6</v>
      </c>
      <c r="D19" s="108">
        <v>450</v>
      </c>
      <c r="E19" s="106">
        <v>1772.13</v>
      </c>
      <c r="F19" s="106">
        <f t="shared" si="0"/>
        <v>1647.87</v>
      </c>
      <c r="G19" s="106">
        <f t="shared" si="2"/>
        <v>2977.9442665217393</v>
      </c>
      <c r="H19" s="106">
        <f t="shared" si="1"/>
        <v>442.05573347826066</v>
      </c>
      <c r="I19" s="41"/>
    </row>
    <row r="20" spans="2:9" ht="12.75">
      <c r="B20" s="43">
        <v>10</v>
      </c>
      <c r="C20" s="106">
        <v>7.6</v>
      </c>
      <c r="D20" s="108">
        <v>450</v>
      </c>
      <c r="E20" s="106">
        <v>1772.13</v>
      </c>
      <c r="F20" s="106">
        <f t="shared" si="0"/>
        <v>1647.87</v>
      </c>
      <c r="G20" s="106">
        <f t="shared" si="2"/>
        <v>2977.9442665217393</v>
      </c>
      <c r="H20" s="106">
        <f t="shared" si="1"/>
        <v>442.05573347826066</v>
      </c>
      <c r="I20" s="48" t="s">
        <v>66</v>
      </c>
    </row>
    <row r="21" spans="2:9" ht="12.75">
      <c r="B21" s="43">
        <v>11</v>
      </c>
      <c r="C21" s="106">
        <v>7.6</v>
      </c>
      <c r="D21" s="108">
        <v>450</v>
      </c>
      <c r="E21" s="106">
        <v>1772.13</v>
      </c>
      <c r="F21" s="106">
        <f t="shared" si="0"/>
        <v>1647.87</v>
      </c>
      <c r="G21" s="106">
        <f t="shared" si="2"/>
        <v>2977.9442665217393</v>
      </c>
      <c r="H21" s="106">
        <f t="shared" si="1"/>
        <v>442.05573347826066</v>
      </c>
      <c r="I21" s="41"/>
    </row>
    <row r="22" spans="2:9" ht="12.75">
      <c r="B22" s="43">
        <v>12</v>
      </c>
      <c r="C22" s="106">
        <v>7.6</v>
      </c>
      <c r="D22" s="108">
        <v>450</v>
      </c>
      <c r="E22" s="106">
        <v>1772.13</v>
      </c>
      <c r="F22" s="106">
        <f t="shared" si="0"/>
        <v>1647.87</v>
      </c>
      <c r="G22" s="106">
        <f t="shared" si="2"/>
        <v>2977.9442665217393</v>
      </c>
      <c r="H22" s="106">
        <f t="shared" si="1"/>
        <v>442.05573347826066</v>
      </c>
      <c r="I22" s="41"/>
    </row>
    <row r="23" spans="2:9" ht="12.75">
      <c r="B23" s="43">
        <v>13</v>
      </c>
      <c r="C23" s="106">
        <v>7.6</v>
      </c>
      <c r="D23" s="108">
        <v>450</v>
      </c>
      <c r="E23" s="106">
        <v>1772.13</v>
      </c>
      <c r="F23" s="106">
        <f t="shared" si="0"/>
        <v>1647.87</v>
      </c>
      <c r="G23" s="106">
        <f t="shared" si="2"/>
        <v>2977.9442665217393</v>
      </c>
      <c r="H23" s="106">
        <f t="shared" si="1"/>
        <v>442.05573347826066</v>
      </c>
      <c r="I23" s="41"/>
    </row>
    <row r="24" spans="2:9" ht="12.75">
      <c r="B24" s="43">
        <v>14</v>
      </c>
      <c r="C24" s="106">
        <v>7.6</v>
      </c>
      <c r="D24" s="108">
        <v>450</v>
      </c>
      <c r="E24" s="106">
        <v>1772.13</v>
      </c>
      <c r="F24" s="106">
        <f t="shared" si="0"/>
        <v>1647.87</v>
      </c>
      <c r="G24" s="106">
        <f t="shared" si="2"/>
        <v>2977.9442665217393</v>
      </c>
      <c r="H24" s="106">
        <f t="shared" si="1"/>
        <v>442.05573347826066</v>
      </c>
      <c r="I24" s="41"/>
    </row>
    <row r="25" spans="2:9" ht="12.75">
      <c r="B25" s="43">
        <v>15</v>
      </c>
      <c r="C25" s="106">
        <v>7.6</v>
      </c>
      <c r="D25" s="108">
        <v>450</v>
      </c>
      <c r="E25" s="106">
        <v>1772.13</v>
      </c>
      <c r="F25" s="106">
        <f t="shared" si="0"/>
        <v>1647.87</v>
      </c>
      <c r="G25" s="106">
        <f t="shared" si="2"/>
        <v>2977.9442665217393</v>
      </c>
      <c r="H25" s="106">
        <f t="shared" si="1"/>
        <v>442.05573347826066</v>
      </c>
      <c r="I25" s="41"/>
    </row>
    <row r="26" spans="2:9" ht="12.75">
      <c r="B26" s="43"/>
      <c r="C26" s="43"/>
      <c r="D26" s="43"/>
      <c r="E26" s="43"/>
      <c r="F26" s="43"/>
      <c r="G26" s="43"/>
      <c r="H26" s="43"/>
      <c r="I26" s="41"/>
    </row>
    <row r="27" spans="2:9" ht="12.75">
      <c r="B27" s="43"/>
      <c r="C27" s="48" t="s">
        <v>66</v>
      </c>
      <c r="D27" s="43" t="s">
        <v>254</v>
      </c>
      <c r="E27" s="43"/>
      <c r="F27" s="43"/>
      <c r="G27" s="43"/>
      <c r="H27" s="43"/>
      <c r="I27" s="41"/>
    </row>
    <row r="28" spans="2:9" ht="12.75">
      <c r="B28" s="43"/>
      <c r="C28" s="54" t="s">
        <v>155</v>
      </c>
      <c r="D28" s="41"/>
      <c r="E28" s="43"/>
      <c r="F28" s="43"/>
      <c r="G28" s="43"/>
      <c r="H28" s="43"/>
      <c r="I28" s="41"/>
    </row>
    <row r="33" spans="2:10" ht="12.75">
      <c r="B33" s="74"/>
      <c r="C33" s="74"/>
      <c r="D33" s="74"/>
      <c r="E33" s="74"/>
      <c r="F33" s="74"/>
      <c r="G33" s="74"/>
      <c r="H33" s="74"/>
      <c r="I33" s="74"/>
      <c r="J33" s="75"/>
    </row>
    <row r="34" spans="2:10" ht="12.75">
      <c r="B34" s="159"/>
      <c r="C34" s="159"/>
      <c r="D34" s="159"/>
      <c r="E34" s="159"/>
      <c r="F34" s="159"/>
      <c r="G34" s="159"/>
      <c r="H34" s="159"/>
      <c r="I34" s="159"/>
      <c r="J34" s="159"/>
    </row>
    <row r="35" spans="2:10" ht="12.75">
      <c r="B35" s="159"/>
      <c r="C35" s="159"/>
      <c r="D35" s="159"/>
      <c r="E35" s="159"/>
      <c r="F35" s="159"/>
      <c r="G35" s="159"/>
      <c r="H35" s="159"/>
      <c r="I35" s="159"/>
      <c r="J35" s="159"/>
    </row>
  </sheetData>
  <sheetProtection/>
  <mergeCells count="3">
    <mergeCell ref="B34:J34"/>
    <mergeCell ref="B35:J35"/>
    <mergeCell ref="B4:H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" sqref="H1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I42"/>
  <sheetViews>
    <sheetView zoomScalePageLayoutView="0" workbookViewId="0" topLeftCell="A1">
      <selection activeCell="H21" sqref="H21"/>
    </sheetView>
  </sheetViews>
  <sheetFormatPr defaultColWidth="9.140625" defaultRowHeight="12.75"/>
  <cols>
    <col min="6" max="6" width="10.57421875" style="0" customWidth="1"/>
    <col min="7" max="7" width="12.00390625" style="0" customWidth="1"/>
    <col min="8" max="8" width="11.7109375" style="0" customWidth="1"/>
  </cols>
  <sheetData>
    <row r="2" spans="2:9" ht="12.75">
      <c r="B2" s="169" t="s">
        <v>10</v>
      </c>
      <c r="C2" s="168"/>
      <c r="D2" s="168"/>
      <c r="E2" s="168"/>
      <c r="F2" s="168"/>
      <c r="G2" s="168"/>
      <c r="H2" s="168"/>
      <c r="I2" s="30"/>
    </row>
    <row r="4" spans="3:6" ht="12.75">
      <c r="C4" t="s">
        <v>84</v>
      </c>
      <c r="F4" s="26">
        <v>40</v>
      </c>
    </row>
    <row r="5" spans="3:6" ht="12.75">
      <c r="C5" t="s">
        <v>168</v>
      </c>
      <c r="F5" s="26">
        <v>0.1</v>
      </c>
    </row>
    <row r="6" spans="3:6" ht="12.75">
      <c r="C6" t="s">
        <v>240</v>
      </c>
      <c r="F6" s="26">
        <v>10</v>
      </c>
    </row>
    <row r="7" spans="3:6" ht="12.75">
      <c r="C7" t="s">
        <v>223</v>
      </c>
      <c r="D7" s="4"/>
      <c r="F7" s="26">
        <v>0.055</v>
      </c>
    </row>
    <row r="8" spans="3:6" ht="12.75">
      <c r="C8" t="s">
        <v>306</v>
      </c>
      <c r="F8" s="26">
        <v>10</v>
      </c>
    </row>
    <row r="10" spans="4:8" ht="12.75">
      <c r="D10" s="25" t="s">
        <v>169</v>
      </c>
      <c r="E10" s="25" t="s">
        <v>305</v>
      </c>
      <c r="F10" s="28" t="s">
        <v>114</v>
      </c>
      <c r="G10" s="28" t="s">
        <v>165</v>
      </c>
      <c r="H10" s="29" t="s">
        <v>249</v>
      </c>
    </row>
    <row r="11" spans="2:8" ht="12.75">
      <c r="B11" t="s">
        <v>206</v>
      </c>
      <c r="D11" s="26">
        <v>6000</v>
      </c>
      <c r="E11" s="27">
        <v>20</v>
      </c>
      <c r="F11" s="3">
        <f>D11/E11</f>
        <v>300</v>
      </c>
      <c r="G11" s="3">
        <f>(D11/2)*F5</f>
        <v>300</v>
      </c>
      <c r="H11" s="3">
        <f aca="true" t="shared" si="0" ref="H11:H17">(D11/2)*0.015</f>
        <v>45</v>
      </c>
    </row>
    <row r="12" spans="2:8" ht="12.75">
      <c r="B12" t="s">
        <v>288</v>
      </c>
      <c r="D12">
        <v>350</v>
      </c>
      <c r="E12" s="3">
        <f>IF(F8&gt;1,F8,0)</f>
        <v>10</v>
      </c>
      <c r="F12" s="3">
        <f>IF(F8&gt;1,D12/E12,0)</f>
        <v>35</v>
      </c>
      <c r="G12" s="3">
        <f>(D12/2)*F5</f>
        <v>17.5</v>
      </c>
      <c r="H12" s="3">
        <f t="shared" si="0"/>
        <v>2.625</v>
      </c>
    </row>
    <row r="13" spans="2:8" ht="12.75">
      <c r="B13" t="s">
        <v>301</v>
      </c>
      <c r="D13" s="26">
        <v>6500</v>
      </c>
      <c r="E13" s="27">
        <v>25</v>
      </c>
      <c r="F13" s="3">
        <f>D13/E13</f>
        <v>260</v>
      </c>
      <c r="G13" s="3">
        <f>(D13/2)*F5</f>
        <v>325</v>
      </c>
      <c r="H13" s="3">
        <f t="shared" si="0"/>
        <v>48.75</v>
      </c>
    </row>
    <row r="14" spans="2:8" ht="12.75">
      <c r="B14" t="s">
        <v>228</v>
      </c>
      <c r="D14" s="26">
        <v>3500</v>
      </c>
      <c r="E14" s="27">
        <v>10</v>
      </c>
      <c r="F14" s="3">
        <f>D14/E14</f>
        <v>350</v>
      </c>
      <c r="G14" s="3">
        <f>(D14/2)*F5</f>
        <v>175</v>
      </c>
      <c r="H14" s="3">
        <f t="shared" si="0"/>
        <v>26.25</v>
      </c>
    </row>
    <row r="15" spans="2:8" ht="12.75">
      <c r="B15" t="s">
        <v>135</v>
      </c>
      <c r="D15" s="26">
        <v>200</v>
      </c>
      <c r="E15" s="27">
        <v>10</v>
      </c>
      <c r="F15" s="3">
        <f>D15/E15</f>
        <v>20</v>
      </c>
      <c r="G15" s="3">
        <f>(D15/2)*F5</f>
        <v>10</v>
      </c>
      <c r="H15" s="3">
        <f t="shared" si="0"/>
        <v>1.5</v>
      </c>
    </row>
    <row r="16" spans="2:8" ht="12.75">
      <c r="B16" t="s">
        <v>187</v>
      </c>
      <c r="D16" s="27">
        <v>491</v>
      </c>
      <c r="E16" s="27">
        <v>20</v>
      </c>
      <c r="F16" s="3">
        <f>D16/E16</f>
        <v>24.55</v>
      </c>
      <c r="G16" s="3">
        <f>(D16/2)*F5</f>
        <v>24.55</v>
      </c>
      <c r="H16" s="3">
        <f t="shared" si="0"/>
        <v>3.6824999999999997</v>
      </c>
    </row>
    <row r="17" spans="2:8" ht="12.75">
      <c r="B17" t="s">
        <v>161</v>
      </c>
      <c r="D17" s="26">
        <v>8000</v>
      </c>
      <c r="E17" s="27">
        <v>20</v>
      </c>
      <c r="F17" s="3">
        <f>D17/E17</f>
        <v>400</v>
      </c>
      <c r="G17" s="3">
        <f>(D17/2)*F5</f>
        <v>400</v>
      </c>
      <c r="H17" s="3">
        <f t="shared" si="0"/>
        <v>60</v>
      </c>
    </row>
    <row r="18" spans="2:8" ht="12.75">
      <c r="B18" t="s">
        <v>258</v>
      </c>
      <c r="D18" s="3">
        <f>SUM(D11:D17)</f>
        <v>25041</v>
      </c>
      <c r="F18" s="3">
        <f>SUM(F11:F17)</f>
        <v>1389.55</v>
      </c>
      <c r="G18" s="3">
        <f>SUM(G11:G17)</f>
        <v>1252.05</v>
      </c>
      <c r="H18" s="3">
        <f>SUM(H11:H17)</f>
        <v>187.8075</v>
      </c>
    </row>
    <row r="20" spans="4:8" ht="12.75">
      <c r="D20" t="s">
        <v>261</v>
      </c>
      <c r="H20" s="3">
        <f>F18+G18+H18</f>
        <v>2829.4075</v>
      </c>
    </row>
    <row r="21" spans="4:8" ht="12.75">
      <c r="D21" t="s">
        <v>262</v>
      </c>
      <c r="H21">
        <f>H20/F4</f>
        <v>70.7351875</v>
      </c>
    </row>
    <row r="22" spans="4:8" ht="12.75">
      <c r="D22" t="s">
        <v>260</v>
      </c>
      <c r="H22" t="e">
        <f>PMT(Chem!$F7,Chem!$F7,-D18/2)/F4</f>
        <v>#VALUE!</v>
      </c>
    </row>
    <row r="23" spans="2:8" ht="12.75">
      <c r="B23" s="20"/>
      <c r="C23" s="20"/>
      <c r="D23" s="20"/>
      <c r="E23" s="20"/>
      <c r="F23" s="20"/>
      <c r="G23" s="20"/>
      <c r="H23" s="20"/>
    </row>
    <row r="24" spans="2:8" ht="12.75">
      <c r="B24" s="17" t="s">
        <v>195</v>
      </c>
      <c r="C24" s="17"/>
      <c r="D24" s="17"/>
      <c r="E24" s="17"/>
      <c r="F24" s="17"/>
      <c r="G24" s="17"/>
      <c r="H24" s="17"/>
    </row>
    <row r="26" spans="2:6" ht="12.75">
      <c r="B26" t="s">
        <v>189</v>
      </c>
      <c r="F26" s="26">
        <v>15</v>
      </c>
    </row>
    <row r="27" spans="2:8" ht="12.75">
      <c r="B27" t="s">
        <v>234</v>
      </c>
      <c r="F27">
        <v>124.75</v>
      </c>
      <c r="H27">
        <f>F27/F4</f>
        <v>3.11875</v>
      </c>
    </row>
    <row r="28" spans="2:6" ht="12.75">
      <c r="B28" t="s">
        <v>91</v>
      </c>
      <c r="F28" s="26">
        <v>3500</v>
      </c>
    </row>
    <row r="29" ht="12.75">
      <c r="B29" t="s">
        <v>120</v>
      </c>
    </row>
    <row r="30" spans="2:6" ht="12.75">
      <c r="B30" t="s">
        <v>11</v>
      </c>
      <c r="F30" s="26">
        <v>180</v>
      </c>
    </row>
    <row r="31" spans="2:6" ht="12.75">
      <c r="B31" t="s">
        <v>35</v>
      </c>
      <c r="F31" s="26">
        <v>0.08</v>
      </c>
    </row>
    <row r="32" spans="2:6" ht="12.75">
      <c r="B32" t="s">
        <v>88</v>
      </c>
      <c r="F32">
        <f>(F26*0.746*F31*F28)+F30</f>
        <v>3313.2</v>
      </c>
    </row>
    <row r="33" spans="2:8" ht="12.75">
      <c r="B33" t="s">
        <v>89</v>
      </c>
      <c r="H33">
        <f>F32/F4</f>
        <v>82.83</v>
      </c>
    </row>
    <row r="36" spans="4:8" ht="12.75">
      <c r="D36" t="s">
        <v>194</v>
      </c>
      <c r="H36">
        <f>SUM(H25:H35)</f>
        <v>85.94875</v>
      </c>
    </row>
    <row r="38" ht="12.75">
      <c r="B38" t="s">
        <v>70</v>
      </c>
    </row>
    <row r="39" ht="12.75">
      <c r="B39" t="s">
        <v>73</v>
      </c>
    </row>
    <row r="40" ht="12.75">
      <c r="B40" t="s">
        <v>8</v>
      </c>
    </row>
    <row r="41" ht="12.75">
      <c r="B41" t="s">
        <v>7</v>
      </c>
    </row>
    <row r="42" ht="12.75">
      <c r="B42" t="s">
        <v>76</v>
      </c>
    </row>
  </sheetData>
  <sheetProtection/>
  <mergeCells count="1">
    <mergeCell ref="B2:H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2:V61"/>
  <sheetViews>
    <sheetView workbookViewId="0" topLeftCell="A1">
      <selection activeCell="B3" sqref="B3:J3"/>
    </sheetView>
  </sheetViews>
  <sheetFormatPr defaultColWidth="9.140625" defaultRowHeight="12.75"/>
  <cols>
    <col min="1" max="1" width="3.00390625" style="0" customWidth="1"/>
    <col min="2" max="2" width="25.7109375" style="0" customWidth="1"/>
    <col min="3" max="3" width="1.1484375" style="0" customWidth="1"/>
    <col min="4" max="4" width="2.57421875" style="0" customWidth="1"/>
    <col min="5" max="5" width="7.00390625" style="0" customWidth="1"/>
    <col min="6" max="6" width="8.28125" style="0" customWidth="1"/>
    <col min="9" max="9" width="9.8515625" style="0" customWidth="1"/>
    <col min="10" max="10" width="9.7109375" style="0" customWidth="1"/>
    <col min="11" max="11" width="7.28125" style="0" customWidth="1"/>
    <col min="16" max="16" width="7.421875" style="0" customWidth="1"/>
    <col min="18" max="18" width="1.7109375" style="0" customWidth="1"/>
    <col min="20" max="20" width="2.140625" style="0" customWidth="1"/>
  </cols>
  <sheetData>
    <row r="2" spans="2:10" ht="15.75">
      <c r="B2" s="162" t="s">
        <v>317</v>
      </c>
      <c r="C2" s="162"/>
      <c r="D2" s="162"/>
      <c r="E2" s="162"/>
      <c r="F2" s="162"/>
      <c r="G2" s="162"/>
      <c r="H2" s="162"/>
      <c r="I2" s="162"/>
      <c r="J2" s="162"/>
    </row>
    <row r="3" spans="2:21" ht="15.75">
      <c r="B3" s="162" t="s">
        <v>464</v>
      </c>
      <c r="C3" s="162"/>
      <c r="D3" s="162"/>
      <c r="E3" s="162"/>
      <c r="F3" s="162"/>
      <c r="G3" s="162"/>
      <c r="H3" s="162"/>
      <c r="I3" s="162"/>
      <c r="J3" s="162"/>
      <c r="L3" s="160" t="s">
        <v>351</v>
      </c>
      <c r="M3" s="160"/>
      <c r="N3" s="160"/>
      <c r="O3" s="160"/>
      <c r="P3" s="160"/>
      <c r="Q3" s="160"/>
      <c r="R3" s="160"/>
      <c r="S3" s="160"/>
      <c r="T3" s="160"/>
      <c r="U3" s="160"/>
    </row>
    <row r="4" ht="15.75">
      <c r="A4" s="89"/>
    </row>
    <row r="6" spans="2:22" ht="12.75">
      <c r="B6" s="48" t="s">
        <v>172</v>
      </c>
      <c r="C6" s="7"/>
      <c r="D6" s="7"/>
      <c r="E6" s="48" t="s">
        <v>93</v>
      </c>
      <c r="F6" s="48" t="s">
        <v>289</v>
      </c>
      <c r="G6" s="48" t="s">
        <v>318</v>
      </c>
      <c r="H6" s="51" t="s">
        <v>221</v>
      </c>
      <c r="I6" s="52" t="s">
        <v>319</v>
      </c>
      <c r="L6" s="48" t="s">
        <v>172</v>
      </c>
      <c r="M6" s="7"/>
      <c r="N6" s="7"/>
      <c r="O6" s="48" t="s">
        <v>93</v>
      </c>
      <c r="P6" s="48" t="s">
        <v>289</v>
      </c>
      <c r="Q6" s="48" t="s">
        <v>318</v>
      </c>
      <c r="R6" s="48"/>
      <c r="S6" s="51" t="s">
        <v>221</v>
      </c>
      <c r="T6" s="51"/>
      <c r="U6" s="52" t="s">
        <v>319</v>
      </c>
      <c r="V6" s="48"/>
    </row>
    <row r="8" spans="2:13" ht="12.75">
      <c r="B8" s="7" t="s">
        <v>298</v>
      </c>
      <c r="C8" s="7"/>
      <c r="L8" s="7" t="s">
        <v>175</v>
      </c>
      <c r="M8" s="7"/>
    </row>
    <row r="9" spans="2:21" ht="12.75">
      <c r="B9" s="41" t="s">
        <v>220</v>
      </c>
      <c r="C9" s="41"/>
      <c r="D9" s="41"/>
      <c r="E9" s="55"/>
      <c r="F9" s="55" t="s">
        <v>81</v>
      </c>
      <c r="G9" s="111">
        <v>1</v>
      </c>
      <c r="H9" s="111">
        <v>75.68</v>
      </c>
      <c r="I9" s="111">
        <f aca="true" t="shared" si="0" ref="I9:I20">G9*H9</f>
        <v>75.68</v>
      </c>
      <c r="L9" t="s">
        <v>220</v>
      </c>
      <c r="P9" s="24" t="s">
        <v>145</v>
      </c>
      <c r="Q9" s="92"/>
      <c r="S9" s="92"/>
      <c r="U9" s="92">
        <f aca="true" t="shared" si="1" ref="U9:U19">Q9*S9</f>
        <v>0</v>
      </c>
    </row>
    <row r="10" spans="2:21" ht="12.75">
      <c r="B10" s="48" t="s">
        <v>377</v>
      </c>
      <c r="C10" s="41"/>
      <c r="D10" s="41"/>
      <c r="E10" s="55"/>
      <c r="F10" s="55"/>
      <c r="G10" s="111"/>
      <c r="H10" s="111"/>
      <c r="I10" s="111"/>
      <c r="L10" t="s">
        <v>247</v>
      </c>
      <c r="P10" s="24" t="s">
        <v>81</v>
      </c>
      <c r="Q10" s="92"/>
      <c r="S10" s="92"/>
      <c r="U10" s="92">
        <f t="shared" si="1"/>
        <v>0</v>
      </c>
    </row>
    <row r="11" spans="2:21" ht="12.75">
      <c r="B11" s="41" t="s">
        <v>378</v>
      </c>
      <c r="C11" s="41"/>
      <c r="D11" s="41"/>
      <c r="E11" s="55"/>
      <c r="F11" s="55" t="s">
        <v>81</v>
      </c>
      <c r="G11" s="111">
        <v>2</v>
      </c>
      <c r="H11" s="111">
        <v>8</v>
      </c>
      <c r="I11" s="111">
        <f t="shared" si="0"/>
        <v>16</v>
      </c>
      <c r="K11" s="41"/>
      <c r="L11" t="s">
        <v>106</v>
      </c>
      <c r="P11" s="24" t="s">
        <v>81</v>
      </c>
      <c r="Q11" s="92"/>
      <c r="S11" s="92"/>
      <c r="U11" s="92">
        <f t="shared" si="1"/>
        <v>0</v>
      </c>
    </row>
    <row r="12" spans="2:21" ht="12.75">
      <c r="B12" s="41" t="s">
        <v>379</v>
      </c>
      <c r="C12" s="41"/>
      <c r="D12" s="41"/>
      <c r="E12" s="55"/>
      <c r="F12" s="55" t="s">
        <v>81</v>
      </c>
      <c r="G12" s="111">
        <v>1</v>
      </c>
      <c r="H12" s="111">
        <v>6.62</v>
      </c>
      <c r="I12" s="111">
        <f t="shared" si="0"/>
        <v>6.62</v>
      </c>
      <c r="L12" t="s">
        <v>331</v>
      </c>
      <c r="P12" s="24" t="s">
        <v>154</v>
      </c>
      <c r="Q12" s="92"/>
      <c r="S12" s="92"/>
      <c r="U12" s="92">
        <f t="shared" si="1"/>
        <v>0</v>
      </c>
    </row>
    <row r="13" spans="2:21" ht="12.75">
      <c r="B13" s="41" t="s">
        <v>380</v>
      </c>
      <c r="C13" s="41"/>
      <c r="D13" s="41"/>
      <c r="E13" s="55"/>
      <c r="F13" s="55" t="s">
        <v>256</v>
      </c>
      <c r="G13" s="111">
        <v>2</v>
      </c>
      <c r="H13" s="111">
        <v>42</v>
      </c>
      <c r="I13" s="111">
        <f t="shared" si="0"/>
        <v>84</v>
      </c>
      <c r="J13" s="41"/>
      <c r="L13" t="s">
        <v>108</v>
      </c>
      <c r="P13" s="24" t="s">
        <v>176</v>
      </c>
      <c r="Q13" s="92"/>
      <c r="S13" s="92"/>
      <c r="U13" s="92">
        <f t="shared" si="1"/>
        <v>0</v>
      </c>
    </row>
    <row r="14" spans="2:21" ht="12.75">
      <c r="B14" s="41" t="s">
        <v>382</v>
      </c>
      <c r="C14" s="41"/>
      <c r="D14" s="41"/>
      <c r="E14" s="55"/>
      <c r="F14" s="55" t="s">
        <v>81</v>
      </c>
      <c r="G14" s="111">
        <v>2</v>
      </c>
      <c r="H14" s="111">
        <v>2.48</v>
      </c>
      <c r="I14" s="111">
        <f t="shared" si="0"/>
        <v>4.96</v>
      </c>
      <c r="J14" s="41"/>
      <c r="P14" s="24"/>
      <c r="Q14" s="92"/>
      <c r="S14" s="92"/>
      <c r="U14" s="92"/>
    </row>
    <row r="15" spans="1:21" ht="12.75">
      <c r="A15" s="41"/>
      <c r="B15" s="41" t="s">
        <v>383</v>
      </c>
      <c r="C15" s="41"/>
      <c r="D15" s="41"/>
      <c r="E15" s="55"/>
      <c r="F15" s="55" t="s">
        <v>81</v>
      </c>
      <c r="G15" s="111">
        <v>2.22</v>
      </c>
      <c r="H15" s="111">
        <v>3.38</v>
      </c>
      <c r="I15" s="111">
        <f t="shared" si="0"/>
        <v>7.5036000000000005</v>
      </c>
      <c r="L15" t="s">
        <v>147</v>
      </c>
      <c r="P15" s="24" t="s">
        <v>81</v>
      </c>
      <c r="Q15" s="92"/>
      <c r="S15" s="92"/>
      <c r="U15" s="92">
        <f t="shared" si="1"/>
        <v>0</v>
      </c>
    </row>
    <row r="16" spans="2:21" ht="12.75">
      <c r="B16" s="41" t="s">
        <v>381</v>
      </c>
      <c r="C16" s="41"/>
      <c r="D16" s="41"/>
      <c r="E16" s="55"/>
      <c r="F16" s="55" t="s">
        <v>81</v>
      </c>
      <c r="G16" s="111">
        <v>3</v>
      </c>
      <c r="H16" s="111">
        <v>20.5</v>
      </c>
      <c r="I16" s="111">
        <f t="shared" si="0"/>
        <v>61.5</v>
      </c>
      <c r="J16" s="41"/>
      <c r="L16" t="s">
        <v>97</v>
      </c>
      <c r="P16" s="24" t="s">
        <v>81</v>
      </c>
      <c r="Q16" s="92"/>
      <c r="S16" s="92"/>
      <c r="U16" s="92">
        <f t="shared" si="1"/>
        <v>0</v>
      </c>
    </row>
    <row r="17" spans="2:21" ht="12.75">
      <c r="B17" s="48" t="s">
        <v>207</v>
      </c>
      <c r="C17" s="44"/>
      <c r="D17" s="44"/>
      <c r="E17" s="109"/>
      <c r="F17" s="109"/>
      <c r="G17" s="110"/>
      <c r="H17" s="110"/>
      <c r="I17" s="110"/>
      <c r="L17" t="s">
        <v>100</v>
      </c>
      <c r="P17" s="24" t="s">
        <v>81</v>
      </c>
      <c r="Q17" s="92"/>
      <c r="S17" s="92"/>
      <c r="U17" s="92">
        <f t="shared" si="1"/>
        <v>0</v>
      </c>
    </row>
    <row r="18" spans="2:21" ht="12.75">
      <c r="B18" s="41" t="s">
        <v>384</v>
      </c>
      <c r="C18" s="41"/>
      <c r="D18" s="41"/>
      <c r="E18" s="55"/>
      <c r="F18" s="55" t="s">
        <v>81</v>
      </c>
      <c r="G18" s="111">
        <v>1</v>
      </c>
      <c r="H18" s="111">
        <v>9.66</v>
      </c>
      <c r="I18" s="111">
        <f t="shared" si="0"/>
        <v>9.66</v>
      </c>
      <c r="L18" t="s">
        <v>117</v>
      </c>
      <c r="P18" s="24" t="s">
        <v>81</v>
      </c>
      <c r="Q18" s="92"/>
      <c r="S18" s="92"/>
      <c r="U18" s="92">
        <f t="shared" si="1"/>
        <v>0</v>
      </c>
    </row>
    <row r="19" spans="2:21" ht="12.75">
      <c r="B19" s="41" t="s">
        <v>385</v>
      </c>
      <c r="C19" s="41"/>
      <c r="D19" s="41"/>
      <c r="E19" s="55"/>
      <c r="F19" s="55" t="s">
        <v>386</v>
      </c>
      <c r="G19" s="111">
        <v>181</v>
      </c>
      <c r="H19" s="111">
        <v>5</v>
      </c>
      <c r="I19" s="111">
        <f t="shared" si="0"/>
        <v>905</v>
      </c>
      <c r="J19" s="41"/>
      <c r="L19" t="s">
        <v>185</v>
      </c>
      <c r="P19" s="24" t="s">
        <v>256</v>
      </c>
      <c r="Q19" s="92"/>
      <c r="S19" s="92"/>
      <c r="U19" s="92">
        <f t="shared" si="1"/>
        <v>0</v>
      </c>
    </row>
    <row r="20" spans="2:16" ht="12.75">
      <c r="B20" s="41" t="s">
        <v>387</v>
      </c>
      <c r="C20" s="41"/>
      <c r="D20" s="41"/>
      <c r="E20" s="55"/>
      <c r="F20" s="55" t="s">
        <v>386</v>
      </c>
      <c r="G20" s="111">
        <v>181</v>
      </c>
      <c r="H20" s="111">
        <v>0.11</v>
      </c>
      <c r="I20" s="111">
        <f t="shared" si="0"/>
        <v>19.91</v>
      </c>
      <c r="J20" s="41"/>
      <c r="L20" s="7" t="s">
        <v>207</v>
      </c>
      <c r="P20" s="24"/>
    </row>
    <row r="21" spans="2:21" ht="12.75">
      <c r="B21" s="41" t="s">
        <v>378</v>
      </c>
      <c r="C21" s="41"/>
      <c r="D21" s="41"/>
      <c r="E21" s="55"/>
      <c r="F21" s="55" t="s">
        <v>388</v>
      </c>
      <c r="G21" s="111">
        <v>4.5</v>
      </c>
      <c r="H21" s="111">
        <v>8</v>
      </c>
      <c r="I21" s="111">
        <f>G21*H21</f>
        <v>36</v>
      </c>
      <c r="L21" t="s">
        <v>312</v>
      </c>
      <c r="P21" s="24" t="s">
        <v>81</v>
      </c>
      <c r="Q21" s="92"/>
      <c r="S21" s="92"/>
      <c r="U21" s="92">
        <f>Q21*S21</f>
        <v>0</v>
      </c>
    </row>
    <row r="22" spans="2:21" ht="12.75">
      <c r="B22" s="48" t="s">
        <v>389</v>
      </c>
      <c r="C22" s="44"/>
      <c r="D22" s="44"/>
      <c r="E22" s="109"/>
      <c r="F22" s="109"/>
      <c r="G22" s="110"/>
      <c r="H22" s="110"/>
      <c r="I22" s="110"/>
      <c r="L22" t="s">
        <v>208</v>
      </c>
      <c r="P22" s="24" t="s">
        <v>81</v>
      </c>
      <c r="Q22" s="92"/>
      <c r="S22" s="92"/>
      <c r="U22" s="92">
        <f>Q22*S22</f>
        <v>0</v>
      </c>
    </row>
    <row r="23" spans="2:16" ht="12.75">
      <c r="B23" s="41" t="s">
        <v>390</v>
      </c>
      <c r="C23" s="44"/>
      <c r="D23" s="44"/>
      <c r="E23" s="109"/>
      <c r="F23" s="55" t="s">
        <v>386</v>
      </c>
      <c r="G23" s="111">
        <v>24</v>
      </c>
      <c r="H23" s="111">
        <v>9</v>
      </c>
      <c r="I23" s="111">
        <f>G23*H23</f>
        <v>216</v>
      </c>
      <c r="L23" s="7" t="s">
        <v>131</v>
      </c>
      <c r="P23" s="24"/>
    </row>
    <row r="24" spans="2:21" ht="12.75">
      <c r="B24" s="41" t="s">
        <v>391</v>
      </c>
      <c r="C24" s="41"/>
      <c r="D24" s="41"/>
      <c r="E24" s="55"/>
      <c r="F24" s="55" t="s">
        <v>386</v>
      </c>
      <c r="G24" s="111">
        <v>181</v>
      </c>
      <c r="H24" s="111">
        <v>3.26</v>
      </c>
      <c r="I24" s="111">
        <f>G24*H24</f>
        <v>590.06</v>
      </c>
      <c r="L24" t="s">
        <v>128</v>
      </c>
      <c r="P24" s="24" t="s">
        <v>145</v>
      </c>
      <c r="Q24" s="92"/>
      <c r="S24" s="92"/>
      <c r="U24" s="92">
        <f>Q24*S24</f>
        <v>0</v>
      </c>
    </row>
    <row r="25" spans="2:16" ht="12.75">
      <c r="B25" s="41" t="s">
        <v>392</v>
      </c>
      <c r="C25" s="41"/>
      <c r="D25" s="41"/>
      <c r="E25" s="55"/>
      <c r="F25" s="55" t="s">
        <v>81</v>
      </c>
      <c r="G25" s="111">
        <v>1</v>
      </c>
      <c r="H25" s="111">
        <v>307.66</v>
      </c>
      <c r="I25" s="111">
        <f>G25*H25</f>
        <v>307.66</v>
      </c>
      <c r="L25" s="7" t="s">
        <v>298</v>
      </c>
      <c r="P25" s="24"/>
    </row>
    <row r="26" spans="2:21" ht="12.75">
      <c r="B26" s="41" t="s">
        <v>393</v>
      </c>
      <c r="C26" s="41"/>
      <c r="D26" s="41"/>
      <c r="E26" s="55"/>
      <c r="F26" s="55" t="s">
        <v>386</v>
      </c>
      <c r="G26" s="111">
        <v>181</v>
      </c>
      <c r="H26" s="111">
        <v>0.8</v>
      </c>
      <c r="I26" s="111">
        <f>G26*H26</f>
        <v>144.8</v>
      </c>
      <c r="L26" t="s">
        <v>213</v>
      </c>
      <c r="O26" t="s">
        <v>74</v>
      </c>
      <c r="P26" s="24" t="s">
        <v>81</v>
      </c>
      <c r="Q26" s="92"/>
      <c r="S26" s="92"/>
      <c r="U26" s="92">
        <f>Q26*S26</f>
        <v>0</v>
      </c>
    </row>
    <row r="27" spans="2:21" ht="12.75">
      <c r="B27" s="41" t="s">
        <v>394</v>
      </c>
      <c r="C27" s="41"/>
      <c r="D27" s="41"/>
      <c r="E27" s="55"/>
      <c r="F27" s="55" t="s">
        <v>81</v>
      </c>
      <c r="G27" s="111">
        <v>12</v>
      </c>
      <c r="H27" s="111">
        <v>2.34</v>
      </c>
      <c r="I27" s="111">
        <f>G27*H27</f>
        <v>28.08</v>
      </c>
      <c r="L27" t="s">
        <v>211</v>
      </c>
      <c r="O27" t="s">
        <v>74</v>
      </c>
      <c r="P27" s="24" t="s">
        <v>81</v>
      </c>
      <c r="Q27" s="92"/>
      <c r="S27" s="92"/>
      <c r="U27" s="92">
        <f>Q27*S27</f>
        <v>0</v>
      </c>
    </row>
    <row r="28" spans="2:21" ht="12.75">
      <c r="B28" s="41" t="s">
        <v>395</v>
      </c>
      <c r="C28" s="41"/>
      <c r="D28" s="41"/>
      <c r="E28" s="55"/>
      <c r="F28" s="55" t="s">
        <v>81</v>
      </c>
      <c r="G28" s="111">
        <v>24</v>
      </c>
      <c r="H28" s="111">
        <v>1.8</v>
      </c>
      <c r="I28" s="111">
        <f aca="true" t="shared" si="2" ref="I28:I39">G28*H28</f>
        <v>43.2</v>
      </c>
      <c r="L28" t="s">
        <v>279</v>
      </c>
      <c r="O28" t="s">
        <v>78</v>
      </c>
      <c r="P28" s="24" t="s">
        <v>153</v>
      </c>
      <c r="Q28" s="92"/>
      <c r="S28" s="92"/>
      <c r="U28" s="92">
        <f>Q28*S28</f>
        <v>0</v>
      </c>
    </row>
    <row r="29" spans="2:21" ht="12.75">
      <c r="B29" s="55" t="s">
        <v>384</v>
      </c>
      <c r="C29" s="41"/>
      <c r="D29" s="41"/>
      <c r="E29" s="55"/>
      <c r="F29" s="55" t="s">
        <v>81</v>
      </c>
      <c r="G29" s="111">
        <v>1</v>
      </c>
      <c r="H29" s="111">
        <v>9.66</v>
      </c>
      <c r="I29" s="111">
        <f t="shared" si="2"/>
        <v>9.66</v>
      </c>
      <c r="L29" s="55" t="s">
        <v>173</v>
      </c>
      <c r="O29" t="s">
        <v>78</v>
      </c>
      <c r="P29" s="24" t="s">
        <v>153</v>
      </c>
      <c r="Q29" s="92"/>
      <c r="S29" s="92"/>
      <c r="U29" s="92">
        <f>Q29*S29</f>
        <v>0</v>
      </c>
    </row>
    <row r="30" spans="2:16" ht="12.75">
      <c r="B30" s="41" t="s">
        <v>396</v>
      </c>
      <c r="C30" s="41"/>
      <c r="D30" s="41"/>
      <c r="E30" s="55"/>
      <c r="F30" s="55" t="s">
        <v>153</v>
      </c>
      <c r="G30" s="111">
        <v>100</v>
      </c>
      <c r="H30" s="111">
        <v>8</v>
      </c>
      <c r="I30" s="111">
        <f t="shared" si="2"/>
        <v>800</v>
      </c>
      <c r="L30" s="7" t="s">
        <v>156</v>
      </c>
      <c r="M30" s="7"/>
      <c r="N30" s="7"/>
      <c r="O30" s="7"/>
      <c r="P30" s="31"/>
    </row>
    <row r="31" spans="2:21" ht="12.75">
      <c r="B31" s="41" t="s">
        <v>400</v>
      </c>
      <c r="C31" s="41"/>
      <c r="D31" s="41"/>
      <c r="E31" s="55"/>
      <c r="F31" s="55" t="s">
        <v>81</v>
      </c>
      <c r="G31" s="111">
        <v>1</v>
      </c>
      <c r="H31" s="111">
        <v>15.46</v>
      </c>
      <c r="I31" s="111">
        <f t="shared" si="2"/>
        <v>15.46</v>
      </c>
      <c r="L31" t="s">
        <v>142</v>
      </c>
      <c r="O31" t="s">
        <v>78</v>
      </c>
      <c r="P31" s="24" t="s">
        <v>81</v>
      </c>
      <c r="Q31" s="92"/>
      <c r="S31" s="92"/>
      <c r="U31" s="92">
        <f aca="true" t="shared" si="3" ref="U31:U39">Q31*S31</f>
        <v>0</v>
      </c>
    </row>
    <row r="32" spans="2:21" ht="12.75">
      <c r="B32" s="41" t="s">
        <v>378</v>
      </c>
      <c r="C32" s="41"/>
      <c r="D32" s="41"/>
      <c r="E32" s="55"/>
      <c r="F32" s="55" t="s">
        <v>81</v>
      </c>
      <c r="G32" s="111">
        <v>2</v>
      </c>
      <c r="H32" s="111">
        <v>8</v>
      </c>
      <c r="I32" s="111">
        <f t="shared" si="2"/>
        <v>16</v>
      </c>
      <c r="L32" t="s">
        <v>157</v>
      </c>
      <c r="O32" t="s">
        <v>74</v>
      </c>
      <c r="P32" s="24" t="s">
        <v>81</v>
      </c>
      <c r="Q32" s="92"/>
      <c r="S32" s="92"/>
      <c r="U32" s="92">
        <f t="shared" si="3"/>
        <v>0</v>
      </c>
    </row>
    <row r="33" spans="2:21" ht="12.75">
      <c r="B33" s="41" t="s">
        <v>401</v>
      </c>
      <c r="C33" s="41"/>
      <c r="D33" s="41"/>
      <c r="E33" s="55"/>
      <c r="F33" s="55" t="s">
        <v>81</v>
      </c>
      <c r="G33" s="111">
        <v>1</v>
      </c>
      <c r="H33" s="111">
        <v>59.01</v>
      </c>
      <c r="I33" s="111">
        <f t="shared" si="2"/>
        <v>59.01</v>
      </c>
      <c r="L33" t="s">
        <v>280</v>
      </c>
      <c r="O33" t="s">
        <v>313</v>
      </c>
      <c r="P33" s="24" t="s">
        <v>81</v>
      </c>
      <c r="Q33" s="92"/>
      <c r="S33" s="92"/>
      <c r="U33" s="92">
        <f t="shared" si="3"/>
        <v>0</v>
      </c>
    </row>
    <row r="34" spans="2:21" ht="12.75">
      <c r="B34" s="41" t="s">
        <v>402</v>
      </c>
      <c r="C34" s="41"/>
      <c r="D34" s="41"/>
      <c r="E34" s="55"/>
      <c r="F34" s="55" t="s">
        <v>81</v>
      </c>
      <c r="G34" s="111">
        <v>1</v>
      </c>
      <c r="H34" s="111">
        <v>47.92</v>
      </c>
      <c r="I34" s="111">
        <f t="shared" si="2"/>
        <v>47.92</v>
      </c>
      <c r="L34" t="s">
        <v>174</v>
      </c>
      <c r="O34" t="s">
        <v>313</v>
      </c>
      <c r="P34" s="24" t="s">
        <v>81</v>
      </c>
      <c r="Q34" s="92"/>
      <c r="S34" s="92"/>
      <c r="U34" s="92">
        <f t="shared" si="3"/>
        <v>0</v>
      </c>
    </row>
    <row r="35" spans="2:21" ht="12.75">
      <c r="B35" s="41" t="s">
        <v>403</v>
      </c>
      <c r="C35" s="41"/>
      <c r="D35" s="41"/>
      <c r="E35" s="55"/>
      <c r="F35" s="55" t="s">
        <v>153</v>
      </c>
      <c r="G35" s="111">
        <v>68</v>
      </c>
      <c r="H35" s="111">
        <v>8</v>
      </c>
      <c r="I35" s="111">
        <f t="shared" si="2"/>
        <v>544</v>
      </c>
      <c r="J35" s="41"/>
      <c r="L35" s="41" t="s">
        <v>224</v>
      </c>
      <c r="O35" t="s">
        <v>71</v>
      </c>
      <c r="P35" s="24" t="s">
        <v>153</v>
      </c>
      <c r="Q35" s="92"/>
      <c r="S35" s="92"/>
      <c r="U35" s="92">
        <f t="shared" si="3"/>
        <v>0</v>
      </c>
    </row>
    <row r="36" spans="2:21" ht="12.75">
      <c r="B36" s="41" t="s">
        <v>404</v>
      </c>
      <c r="C36" s="41"/>
      <c r="D36" s="41"/>
      <c r="E36" s="55"/>
      <c r="F36" s="55" t="s">
        <v>81</v>
      </c>
      <c r="G36" s="111">
        <v>1</v>
      </c>
      <c r="H36" s="111">
        <v>1.12</v>
      </c>
      <c r="I36" s="111">
        <f t="shared" si="2"/>
        <v>1.12</v>
      </c>
      <c r="J36" s="41"/>
      <c r="L36" s="41"/>
      <c r="P36" s="24"/>
      <c r="Q36" s="92"/>
      <c r="S36" s="92"/>
      <c r="U36" s="92"/>
    </row>
    <row r="37" spans="2:21" ht="12.75">
      <c r="B37" s="41" t="s">
        <v>405</v>
      </c>
      <c r="C37" s="41"/>
      <c r="D37" s="41"/>
      <c r="E37" s="55"/>
      <c r="F37" s="55" t="s">
        <v>81</v>
      </c>
      <c r="G37" s="111">
        <v>1</v>
      </c>
      <c r="H37" s="111">
        <v>34.45</v>
      </c>
      <c r="I37" s="111">
        <f t="shared" si="2"/>
        <v>34.45</v>
      </c>
      <c r="J37" s="41"/>
      <c r="L37" s="41"/>
      <c r="P37" s="24"/>
      <c r="Q37" s="92"/>
      <c r="S37" s="92"/>
      <c r="U37" s="92"/>
    </row>
    <row r="38" spans="2:21" ht="12.75">
      <c r="B38" s="41" t="s">
        <v>171</v>
      </c>
      <c r="C38" s="41"/>
      <c r="D38" s="41"/>
      <c r="E38" s="55"/>
      <c r="F38" s="55" t="s">
        <v>81</v>
      </c>
      <c r="G38" s="111">
        <v>1</v>
      </c>
      <c r="H38" s="111">
        <v>88.35</v>
      </c>
      <c r="I38" s="111">
        <f t="shared" si="2"/>
        <v>88.35</v>
      </c>
      <c r="L38" s="41" t="s">
        <v>171</v>
      </c>
      <c r="P38" s="24" t="s">
        <v>81</v>
      </c>
      <c r="Q38" s="92"/>
      <c r="S38" s="92"/>
      <c r="U38" s="92">
        <f t="shared" si="3"/>
        <v>0</v>
      </c>
    </row>
    <row r="39" spans="2:21" ht="12.75">
      <c r="B39" s="41" t="s">
        <v>167</v>
      </c>
      <c r="C39" s="41"/>
      <c r="D39" s="41"/>
      <c r="E39" s="55"/>
      <c r="F39" s="55" t="s">
        <v>58</v>
      </c>
      <c r="G39" s="111">
        <f>SUM(I9:I38)</f>
        <v>4172.6036</v>
      </c>
      <c r="H39" s="111">
        <v>0.065</v>
      </c>
      <c r="I39" s="111">
        <f t="shared" si="2"/>
        <v>271.21923400000003</v>
      </c>
      <c r="L39" t="s">
        <v>167</v>
      </c>
      <c r="P39" s="24" t="s">
        <v>58</v>
      </c>
      <c r="Q39" s="92"/>
      <c r="S39" s="92"/>
      <c r="U39" s="92">
        <f t="shared" si="3"/>
        <v>0</v>
      </c>
    </row>
    <row r="40" spans="2:21" ht="13.5" thickBot="1">
      <c r="B40" s="48" t="s">
        <v>273</v>
      </c>
      <c r="C40" s="41"/>
      <c r="D40" s="41"/>
      <c r="E40" s="55"/>
      <c r="F40" s="55" t="s">
        <v>58</v>
      </c>
      <c r="G40" s="111"/>
      <c r="H40" s="111" t="s">
        <v>1</v>
      </c>
      <c r="I40" s="112">
        <f>SUM(I9:I39)</f>
        <v>4443.8228340000005</v>
      </c>
      <c r="L40" s="48" t="s">
        <v>273</v>
      </c>
      <c r="P40" s="54" t="s">
        <v>58</v>
      </c>
      <c r="Q40" s="92"/>
      <c r="S40" s="92"/>
      <c r="U40" s="93">
        <f>SUM(U9:U39)</f>
        <v>0</v>
      </c>
    </row>
    <row r="41" spans="2:16" ht="13.5" thickTop="1">
      <c r="B41" s="44"/>
      <c r="C41" s="44"/>
      <c r="D41" s="44"/>
      <c r="E41" s="109"/>
      <c r="F41" s="109"/>
      <c r="G41" s="109"/>
      <c r="H41" s="109"/>
      <c r="I41" s="109"/>
      <c r="P41" s="24"/>
    </row>
    <row r="42" spans="2:16" ht="12.75">
      <c r="B42" s="48" t="s">
        <v>136</v>
      </c>
      <c r="C42" s="48"/>
      <c r="D42" s="41"/>
      <c r="E42" s="55"/>
      <c r="F42" s="55"/>
      <c r="G42" s="111"/>
      <c r="H42" s="111"/>
      <c r="I42" s="111"/>
      <c r="L42" s="7" t="s">
        <v>136</v>
      </c>
      <c r="M42" s="7"/>
      <c r="P42" s="24"/>
    </row>
    <row r="43" spans="2:21" ht="12.75">
      <c r="B43" s="41" t="s">
        <v>278</v>
      </c>
      <c r="C43" s="41"/>
      <c r="D43" s="41"/>
      <c r="E43" s="55"/>
      <c r="F43" s="55" t="s">
        <v>81</v>
      </c>
      <c r="G43" s="111">
        <v>1</v>
      </c>
      <c r="H43" s="111">
        <f>FxdCost!E32</f>
        <v>840.6962898550725</v>
      </c>
      <c r="I43" s="111">
        <f>G43*H43</f>
        <v>840.6962898550725</v>
      </c>
      <c r="L43" t="s">
        <v>278</v>
      </c>
      <c r="P43" s="24" t="s">
        <v>81</v>
      </c>
      <c r="Q43" s="92"/>
      <c r="S43" s="92"/>
      <c r="U43" s="92">
        <f>Q43*S43</f>
        <v>0</v>
      </c>
    </row>
    <row r="44" spans="2:21" ht="12.75">
      <c r="B44" s="41" t="s">
        <v>199</v>
      </c>
      <c r="C44" s="41"/>
      <c r="D44" s="41"/>
      <c r="E44" s="55"/>
      <c r="F44" s="55" t="s">
        <v>58</v>
      </c>
      <c r="G44" s="111">
        <f>I40</f>
        <v>4443.8228340000005</v>
      </c>
      <c r="H44" s="111">
        <v>0.15</v>
      </c>
      <c r="I44" s="111">
        <f>G44*H44</f>
        <v>666.5734251</v>
      </c>
      <c r="L44" t="s">
        <v>199</v>
      </c>
      <c r="P44" s="24" t="s">
        <v>58</v>
      </c>
      <c r="Q44" s="92"/>
      <c r="S44" s="92"/>
      <c r="U44" s="92">
        <f>Q44*S44</f>
        <v>0</v>
      </c>
    </row>
    <row r="45" spans="2:21" ht="12.75">
      <c r="B45" s="41" t="s">
        <v>171</v>
      </c>
      <c r="C45" s="41"/>
      <c r="D45" s="41"/>
      <c r="E45" s="55"/>
      <c r="F45" s="55" t="s">
        <v>81</v>
      </c>
      <c r="G45" s="111">
        <v>1</v>
      </c>
      <c r="H45" s="111">
        <f>+Drip!I28</f>
        <v>184.79916666666668</v>
      </c>
      <c r="I45" s="111">
        <f>G45*H45</f>
        <v>184.79916666666668</v>
      </c>
      <c r="L45" t="s">
        <v>171</v>
      </c>
      <c r="P45" s="24" t="s">
        <v>81</v>
      </c>
      <c r="Q45" s="92"/>
      <c r="S45" s="92"/>
      <c r="U45" s="92">
        <f>Q45*S45</f>
        <v>0</v>
      </c>
    </row>
    <row r="46" spans="2:21" ht="13.5" thickBot="1">
      <c r="B46" s="48" t="s">
        <v>266</v>
      </c>
      <c r="C46" s="41"/>
      <c r="D46" s="41"/>
      <c r="E46" s="55"/>
      <c r="F46" s="55"/>
      <c r="G46" s="111"/>
      <c r="H46" s="111"/>
      <c r="I46" s="112">
        <f>SUM(I43:I45)</f>
        <v>1692.0688816217391</v>
      </c>
      <c r="L46" s="7" t="s">
        <v>266</v>
      </c>
      <c r="P46" s="24"/>
      <c r="Q46" s="92"/>
      <c r="S46" s="92"/>
      <c r="U46" s="93">
        <f>SUM(U43:U45)</f>
        <v>0</v>
      </c>
    </row>
    <row r="47" spans="2:16" ht="13.5" thickTop="1">
      <c r="B47" s="41"/>
      <c r="C47" s="41"/>
      <c r="D47" s="41"/>
      <c r="E47" s="55"/>
      <c r="F47" s="55"/>
      <c r="G47" s="111"/>
      <c r="H47" s="111"/>
      <c r="I47" s="111"/>
      <c r="P47" s="24"/>
    </row>
    <row r="48" spans="2:21" ht="13.5" thickBot="1">
      <c r="B48" s="48" t="s">
        <v>265</v>
      </c>
      <c r="C48" s="41"/>
      <c r="D48" s="41"/>
      <c r="E48" s="55"/>
      <c r="F48" s="55"/>
      <c r="G48" s="111"/>
      <c r="H48" s="111"/>
      <c r="I48" s="112">
        <f>I40+I46</f>
        <v>6135.891715621739</v>
      </c>
      <c r="L48" s="7" t="s">
        <v>265</v>
      </c>
      <c r="P48" s="24"/>
      <c r="Q48" s="92"/>
      <c r="S48" s="92"/>
      <c r="U48" s="93">
        <f>U40+U46</f>
        <v>0</v>
      </c>
    </row>
    <row r="49" ht="13.5" thickTop="1">
      <c r="I49" s="21"/>
    </row>
    <row r="50" ht="12.75">
      <c r="I50" s="21"/>
    </row>
    <row r="51" spans="7:8" ht="12.75">
      <c r="G51" s="21"/>
      <c r="H51" s="21"/>
    </row>
    <row r="59" spans="2:10" ht="12.75">
      <c r="B59" s="74"/>
      <c r="C59" s="74"/>
      <c r="D59" s="74"/>
      <c r="E59" s="74"/>
      <c r="F59" s="74"/>
      <c r="G59" s="74"/>
      <c r="H59" s="74"/>
      <c r="I59" s="74"/>
      <c r="J59" s="75"/>
    </row>
    <row r="60" spans="2:10" ht="12.75">
      <c r="B60" s="159"/>
      <c r="C60" s="159"/>
      <c r="D60" s="159"/>
      <c r="E60" s="159"/>
      <c r="F60" s="159"/>
      <c r="G60" s="159"/>
      <c r="H60" s="159"/>
      <c r="I60" s="159"/>
      <c r="J60" s="159"/>
    </row>
    <row r="61" spans="2:10" ht="12.75">
      <c r="B61" s="159"/>
      <c r="C61" s="159"/>
      <c r="D61" s="159"/>
      <c r="E61" s="159"/>
      <c r="F61" s="159"/>
      <c r="G61" s="159"/>
      <c r="H61" s="159"/>
      <c r="I61" s="159"/>
      <c r="J61" s="159"/>
    </row>
  </sheetData>
  <sheetProtection/>
  <mergeCells count="5">
    <mergeCell ref="B60:J60"/>
    <mergeCell ref="B61:J61"/>
    <mergeCell ref="B3:J3"/>
    <mergeCell ref="B2:J2"/>
    <mergeCell ref="L3:U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A4:V51"/>
  <sheetViews>
    <sheetView workbookViewId="0" topLeftCell="A1">
      <selection activeCell="B5" sqref="B5:J5"/>
    </sheetView>
  </sheetViews>
  <sheetFormatPr defaultColWidth="9.140625" defaultRowHeight="12.75"/>
  <cols>
    <col min="1" max="1" width="3.28125" style="0" customWidth="1"/>
    <col min="2" max="2" width="19.140625" style="0" customWidth="1"/>
    <col min="3" max="3" width="13.7109375" style="0" customWidth="1"/>
    <col min="4" max="4" width="1.28515625" style="0" customWidth="1"/>
    <col min="5" max="5" width="6.57421875" style="0" customWidth="1"/>
    <col min="6" max="6" width="6.28125" style="0" customWidth="1"/>
    <col min="7" max="7" width="8.140625" style="0" customWidth="1"/>
    <col min="8" max="8" width="8.28125" style="0" customWidth="1"/>
    <col min="9" max="9" width="12.140625" style="0" customWidth="1"/>
    <col min="10" max="10" width="12.00390625" style="0" customWidth="1"/>
    <col min="11" max="11" width="2.00390625" style="0" customWidth="1"/>
    <col min="18" max="18" width="2.00390625" style="0" customWidth="1"/>
    <col min="20" max="20" width="1.7109375" style="0" customWidth="1"/>
  </cols>
  <sheetData>
    <row r="4" spans="2:10" ht="15.75">
      <c r="B4" s="162" t="s">
        <v>320</v>
      </c>
      <c r="C4" s="162"/>
      <c r="D4" s="162"/>
      <c r="E4" s="162"/>
      <c r="F4" s="162"/>
      <c r="G4" s="162"/>
      <c r="H4" s="162"/>
      <c r="I4" s="162"/>
      <c r="J4" s="162"/>
    </row>
    <row r="5" spans="2:10" ht="15.75">
      <c r="B5" s="162" t="s">
        <v>465</v>
      </c>
      <c r="C5" s="162"/>
      <c r="D5" s="162"/>
      <c r="E5" s="162"/>
      <c r="F5" s="162"/>
      <c r="G5" s="162"/>
      <c r="H5" s="162"/>
      <c r="I5" s="162"/>
      <c r="J5" s="162"/>
    </row>
    <row r="6" spans="12:22" ht="15.75">
      <c r="L6" s="160" t="s">
        <v>337</v>
      </c>
      <c r="M6" s="160"/>
      <c r="N6" s="160"/>
      <c r="O6" s="160"/>
      <c r="P6" s="160"/>
      <c r="Q6" s="160"/>
      <c r="R6" s="160"/>
      <c r="S6" s="160"/>
      <c r="T6" s="160"/>
      <c r="U6" s="160"/>
      <c r="V6" s="87"/>
    </row>
    <row r="7" spans="12:21" ht="12.75" customHeight="1">
      <c r="L7" s="87"/>
      <c r="M7" s="87"/>
      <c r="N7" s="87"/>
      <c r="O7" s="87"/>
      <c r="P7" s="87"/>
      <c r="Q7" s="87"/>
      <c r="R7" s="87"/>
      <c r="S7" s="87"/>
      <c r="T7" s="87"/>
      <c r="U7" s="87"/>
    </row>
    <row r="8" spans="2:22" ht="12.75">
      <c r="B8" s="42" t="s">
        <v>172</v>
      </c>
      <c r="C8" s="11"/>
      <c r="D8" s="11"/>
      <c r="E8" s="16" t="s">
        <v>94</v>
      </c>
      <c r="F8" s="42" t="s">
        <v>289</v>
      </c>
      <c r="G8" s="42" t="s">
        <v>231</v>
      </c>
      <c r="H8" s="90" t="s">
        <v>221</v>
      </c>
      <c r="I8" s="91" t="s">
        <v>319</v>
      </c>
      <c r="J8" s="42"/>
      <c r="L8" s="42" t="s">
        <v>172</v>
      </c>
      <c r="M8" s="11"/>
      <c r="N8" s="11"/>
      <c r="O8" s="16" t="s">
        <v>94</v>
      </c>
      <c r="P8" s="42" t="s">
        <v>289</v>
      </c>
      <c r="Q8" s="42" t="s">
        <v>231</v>
      </c>
      <c r="R8" s="42"/>
      <c r="S8" s="90" t="s">
        <v>221</v>
      </c>
      <c r="T8" s="90"/>
      <c r="U8" s="91" t="s">
        <v>319</v>
      </c>
      <c r="V8" s="42"/>
    </row>
    <row r="10" spans="2:17" ht="12.75">
      <c r="B10" s="48" t="s">
        <v>406</v>
      </c>
      <c r="C10" s="44"/>
      <c r="D10" s="44"/>
      <c r="E10" s="44"/>
      <c r="F10" s="44"/>
      <c r="G10" s="44"/>
      <c r="H10" s="44"/>
      <c r="I10" s="44"/>
      <c r="L10" s="48" t="s">
        <v>321</v>
      </c>
      <c r="Q10" s="42"/>
    </row>
    <row r="11" spans="2:21" ht="12.75">
      <c r="B11" s="41" t="s">
        <v>440</v>
      </c>
      <c r="C11" s="41"/>
      <c r="D11" s="41"/>
      <c r="E11" s="41"/>
      <c r="F11" s="43" t="s">
        <v>81</v>
      </c>
      <c r="G11" s="43">
        <v>3</v>
      </c>
      <c r="H11" s="106">
        <v>24</v>
      </c>
      <c r="I11" s="116">
        <f>G11*H11</f>
        <v>72</v>
      </c>
      <c r="L11" s="7" t="s">
        <v>131</v>
      </c>
      <c r="P11" s="24"/>
      <c r="Q11" s="120"/>
      <c r="R11" s="21"/>
      <c r="S11" s="121"/>
      <c r="T11" s="21"/>
      <c r="U11" s="120"/>
    </row>
    <row r="12" spans="2:21" ht="12.75">
      <c r="B12" s="41" t="s">
        <v>408</v>
      </c>
      <c r="C12" s="41"/>
      <c r="D12" s="41"/>
      <c r="E12" s="41"/>
      <c r="F12" s="54" t="s">
        <v>81</v>
      </c>
      <c r="G12" s="116">
        <v>1</v>
      </c>
      <c r="H12" s="116">
        <v>28.32</v>
      </c>
      <c r="I12" s="116">
        <f>G12*H12</f>
        <v>28.32</v>
      </c>
      <c r="L12" t="s">
        <v>127</v>
      </c>
      <c r="O12" t="s">
        <v>309</v>
      </c>
      <c r="P12" s="24" t="s">
        <v>145</v>
      </c>
      <c r="Q12" s="119"/>
      <c r="R12" s="21"/>
      <c r="S12" s="119"/>
      <c r="T12" s="21"/>
      <c r="U12" s="119">
        <f>Q12*S12</f>
        <v>0</v>
      </c>
    </row>
    <row r="13" spans="2:21" ht="12.75">
      <c r="B13" s="41" t="s">
        <v>409</v>
      </c>
      <c r="C13" s="41"/>
      <c r="D13" s="41"/>
      <c r="E13" s="41"/>
      <c r="F13" s="54" t="s">
        <v>145</v>
      </c>
      <c r="G13" s="116">
        <v>10</v>
      </c>
      <c r="H13" s="116">
        <v>12.6</v>
      </c>
      <c r="I13" s="116">
        <f>G13*H13</f>
        <v>126</v>
      </c>
      <c r="P13" s="24"/>
      <c r="Q13" s="117"/>
      <c r="R13" s="21"/>
      <c r="S13" s="117"/>
      <c r="T13" s="21"/>
      <c r="U13" s="117"/>
    </row>
    <row r="14" spans="2:21" ht="12.75">
      <c r="B14" s="48" t="s">
        <v>298</v>
      </c>
      <c r="C14" s="41"/>
      <c r="D14" s="41"/>
      <c r="E14" s="41"/>
      <c r="F14" s="54"/>
      <c r="G14" s="116"/>
      <c r="H14" s="116"/>
      <c r="I14" s="116"/>
      <c r="L14" s="7" t="s">
        <v>298</v>
      </c>
      <c r="P14" s="24"/>
      <c r="Q14" s="21"/>
      <c r="R14" s="21"/>
      <c r="S14" s="21"/>
      <c r="T14" s="21"/>
      <c r="U14" s="21"/>
    </row>
    <row r="15" spans="2:21" ht="12.75">
      <c r="B15" s="41" t="s">
        <v>441</v>
      </c>
      <c r="C15" s="41"/>
      <c r="D15" s="41"/>
      <c r="E15" s="41"/>
      <c r="F15" s="54" t="s">
        <v>81</v>
      </c>
      <c r="G15" s="116">
        <v>4</v>
      </c>
      <c r="H15" s="116">
        <v>24.7</v>
      </c>
      <c r="I15" s="116">
        <f aca="true" t="shared" si="0" ref="I15:I24">G15*H15</f>
        <v>98.8</v>
      </c>
      <c r="L15" t="s">
        <v>213</v>
      </c>
      <c r="O15" t="s">
        <v>74</v>
      </c>
      <c r="P15" s="24" t="s">
        <v>81</v>
      </c>
      <c r="Q15" s="119"/>
      <c r="R15" s="21"/>
      <c r="S15" s="119"/>
      <c r="T15" s="21"/>
      <c r="U15" s="119">
        <f>Q15*S15</f>
        <v>0</v>
      </c>
    </row>
    <row r="16" spans="1:21" ht="12.75">
      <c r="A16" s="44"/>
      <c r="B16" s="41" t="s">
        <v>422</v>
      </c>
      <c r="C16" s="41"/>
      <c r="D16" s="41"/>
      <c r="E16" s="41"/>
      <c r="F16" s="54" t="s">
        <v>81</v>
      </c>
      <c r="G16" s="116">
        <v>4</v>
      </c>
      <c r="H16" s="116">
        <v>8</v>
      </c>
      <c r="I16" s="116">
        <f t="shared" si="0"/>
        <v>32</v>
      </c>
      <c r="L16" t="s">
        <v>211</v>
      </c>
      <c r="O16" t="s">
        <v>75</v>
      </c>
      <c r="P16" s="24" t="s">
        <v>81</v>
      </c>
      <c r="Q16" s="92"/>
      <c r="R16" s="21"/>
      <c r="S16" s="92"/>
      <c r="T16" s="21"/>
      <c r="U16" s="92">
        <f>Q16*S16</f>
        <v>0</v>
      </c>
    </row>
    <row r="17" spans="2:21" ht="12.75">
      <c r="B17" s="41" t="s">
        <v>173</v>
      </c>
      <c r="C17" s="41"/>
      <c r="D17" s="41"/>
      <c r="E17" s="41"/>
      <c r="F17" s="54" t="s">
        <v>81</v>
      </c>
      <c r="G17" s="116">
        <v>14</v>
      </c>
      <c r="H17" s="116">
        <v>8</v>
      </c>
      <c r="I17" s="116">
        <f t="shared" si="0"/>
        <v>112</v>
      </c>
      <c r="L17" t="s">
        <v>173</v>
      </c>
      <c r="O17" t="s">
        <v>78</v>
      </c>
      <c r="P17" s="24" t="s">
        <v>81</v>
      </c>
      <c r="Q17" s="92"/>
      <c r="R17" s="21"/>
      <c r="S17" s="92"/>
      <c r="T17" s="21"/>
      <c r="U17" s="92">
        <f>Q17*S17</f>
        <v>0</v>
      </c>
    </row>
    <row r="18" spans="2:21" ht="12.75">
      <c r="B18" s="41" t="s">
        <v>410</v>
      </c>
      <c r="C18" s="41"/>
      <c r="D18" s="41"/>
      <c r="E18" s="41"/>
      <c r="F18" s="54" t="s">
        <v>388</v>
      </c>
      <c r="G18" s="116">
        <v>2</v>
      </c>
      <c r="H18" s="116">
        <v>8</v>
      </c>
      <c r="I18" s="116">
        <f t="shared" si="0"/>
        <v>16</v>
      </c>
      <c r="L18" s="7" t="s">
        <v>156</v>
      </c>
      <c r="P18" s="24"/>
      <c r="Q18" s="21"/>
      <c r="R18" s="21"/>
      <c r="S18" s="21"/>
      <c r="T18" s="21"/>
      <c r="U18" s="21"/>
    </row>
    <row r="19" spans="2:21" ht="12.75">
      <c r="B19" s="41" t="s">
        <v>411</v>
      </c>
      <c r="C19" s="41"/>
      <c r="D19" s="41"/>
      <c r="E19" s="41"/>
      <c r="F19" s="54" t="s">
        <v>153</v>
      </c>
      <c r="G19" s="116">
        <v>48</v>
      </c>
      <c r="H19" s="116">
        <v>8</v>
      </c>
      <c r="I19" s="116">
        <f t="shared" si="0"/>
        <v>384</v>
      </c>
      <c r="L19" t="s">
        <v>142</v>
      </c>
      <c r="O19" t="s">
        <v>80</v>
      </c>
      <c r="P19" s="24" t="s">
        <v>81</v>
      </c>
      <c r="Q19" s="119"/>
      <c r="R19" s="21"/>
      <c r="S19" s="119"/>
      <c r="T19" s="21"/>
      <c r="U19" s="119">
        <f>Q19*S19</f>
        <v>0</v>
      </c>
    </row>
    <row r="20" spans="2:21" ht="12.75">
      <c r="B20" s="41" t="s">
        <v>442</v>
      </c>
      <c r="C20" s="41"/>
      <c r="D20" s="41"/>
      <c r="E20" s="41"/>
      <c r="F20" s="54" t="s">
        <v>81</v>
      </c>
      <c r="G20" s="116">
        <v>1</v>
      </c>
      <c r="H20" s="116">
        <v>8</v>
      </c>
      <c r="I20" s="116">
        <f t="shared" si="0"/>
        <v>8</v>
      </c>
      <c r="P20" s="24"/>
      <c r="Q20" s="92"/>
      <c r="R20" s="21"/>
      <c r="S20" s="92"/>
      <c r="T20" s="21"/>
      <c r="U20" s="92"/>
    </row>
    <row r="21" spans="2:21" ht="12.75">
      <c r="B21" s="41" t="s">
        <v>412</v>
      </c>
      <c r="C21" s="41"/>
      <c r="D21" s="41"/>
      <c r="E21" s="41"/>
      <c r="F21" s="54" t="s">
        <v>81</v>
      </c>
      <c r="G21" s="116">
        <v>7</v>
      </c>
      <c r="H21" s="116">
        <v>9.8</v>
      </c>
      <c r="I21" s="116">
        <f t="shared" si="0"/>
        <v>68.60000000000001</v>
      </c>
      <c r="L21" t="s">
        <v>157</v>
      </c>
      <c r="O21" t="s">
        <v>78</v>
      </c>
      <c r="P21" s="24" t="s">
        <v>81</v>
      </c>
      <c r="Q21" s="92"/>
      <c r="R21" s="21"/>
      <c r="S21" s="92"/>
      <c r="T21" s="21"/>
      <c r="U21" s="92">
        <f>Q21*S21</f>
        <v>0</v>
      </c>
    </row>
    <row r="22" spans="2:21" ht="12.75">
      <c r="B22" s="41" t="s">
        <v>413</v>
      </c>
      <c r="C22" s="41"/>
      <c r="D22" s="41"/>
      <c r="E22" s="41"/>
      <c r="F22" s="54" t="s">
        <v>153</v>
      </c>
      <c r="G22" s="116">
        <v>2</v>
      </c>
      <c r="H22" s="116">
        <v>8</v>
      </c>
      <c r="I22" s="116">
        <f t="shared" si="0"/>
        <v>16</v>
      </c>
      <c r="L22" t="s">
        <v>280</v>
      </c>
      <c r="O22" t="s">
        <v>72</v>
      </c>
      <c r="P22" s="24" t="s">
        <v>81</v>
      </c>
      <c r="Q22" s="92"/>
      <c r="R22" s="21"/>
      <c r="S22" s="92"/>
      <c r="T22" s="21"/>
      <c r="U22" s="92">
        <f>Q22*S22</f>
        <v>0</v>
      </c>
    </row>
    <row r="23" spans="2:21" ht="12.75">
      <c r="B23" s="41" t="s">
        <v>171</v>
      </c>
      <c r="C23" s="41"/>
      <c r="D23" s="41"/>
      <c r="E23" s="41"/>
      <c r="F23" s="54" t="s">
        <v>81</v>
      </c>
      <c r="G23" s="116">
        <v>1</v>
      </c>
      <c r="H23" s="116">
        <v>88.35</v>
      </c>
      <c r="I23" s="116">
        <f t="shared" si="0"/>
        <v>88.35</v>
      </c>
      <c r="L23" s="41" t="s">
        <v>171</v>
      </c>
      <c r="O23" t="s">
        <v>309</v>
      </c>
      <c r="P23" s="24" t="s">
        <v>81</v>
      </c>
      <c r="Q23" s="92"/>
      <c r="R23" s="21"/>
      <c r="S23" s="92"/>
      <c r="T23" s="21"/>
      <c r="U23" s="92">
        <f>Q23*S23</f>
        <v>0</v>
      </c>
    </row>
    <row r="24" spans="2:21" ht="12.75">
      <c r="B24" s="41" t="s">
        <v>167</v>
      </c>
      <c r="C24" s="41"/>
      <c r="D24" s="41"/>
      <c r="E24" s="41"/>
      <c r="F24" s="54" t="s">
        <v>58</v>
      </c>
      <c r="G24" s="116">
        <f>SUM(I12:I23)</f>
        <v>978.07</v>
      </c>
      <c r="H24" s="116">
        <v>0.065</v>
      </c>
      <c r="I24" s="116">
        <f t="shared" si="0"/>
        <v>63.57455</v>
      </c>
      <c r="L24" s="41" t="s">
        <v>167</v>
      </c>
      <c r="P24" s="24" t="s">
        <v>58</v>
      </c>
      <c r="Q24" s="92"/>
      <c r="R24" s="21"/>
      <c r="S24" s="92"/>
      <c r="T24" s="21"/>
      <c r="U24" s="92">
        <f>Q24*S24</f>
        <v>0</v>
      </c>
    </row>
    <row r="25" spans="2:21" ht="13.5" thickBot="1">
      <c r="B25" s="48" t="s">
        <v>322</v>
      </c>
      <c r="C25" s="41"/>
      <c r="D25" s="41"/>
      <c r="E25" s="41"/>
      <c r="F25" s="54"/>
      <c r="G25" s="116"/>
      <c r="H25" s="116" t="s">
        <v>2</v>
      </c>
      <c r="I25" s="118">
        <f>SUM(I12:I24)</f>
        <v>1041.64455</v>
      </c>
      <c r="L25" s="48" t="s">
        <v>322</v>
      </c>
      <c r="P25" s="24"/>
      <c r="Q25" s="92"/>
      <c r="R25" s="21"/>
      <c r="S25" s="92" t="s">
        <v>2</v>
      </c>
      <c r="T25" s="21"/>
      <c r="U25" s="93">
        <f>SUM(U12:U24)</f>
        <v>0</v>
      </c>
    </row>
    <row r="26" spans="2:21" ht="13.5" thickTop="1">
      <c r="B26" s="44"/>
      <c r="C26" s="44"/>
      <c r="D26" s="44"/>
      <c r="E26" s="44"/>
      <c r="F26" s="113"/>
      <c r="G26" s="114"/>
      <c r="H26" s="114"/>
      <c r="I26" s="114"/>
      <c r="P26" s="24"/>
      <c r="Q26" s="21"/>
      <c r="R26" s="21"/>
      <c r="S26" s="21"/>
      <c r="T26" s="21"/>
      <c r="U26" s="21"/>
    </row>
    <row r="27" spans="2:21" ht="12.75">
      <c r="B27" s="48" t="s">
        <v>151</v>
      </c>
      <c r="C27" s="41"/>
      <c r="D27" s="41"/>
      <c r="E27" s="41"/>
      <c r="F27" s="54"/>
      <c r="G27" s="116"/>
      <c r="H27" s="116"/>
      <c r="I27" s="116"/>
      <c r="L27" s="7" t="s">
        <v>151</v>
      </c>
      <c r="P27" s="24"/>
      <c r="Q27" s="21"/>
      <c r="R27" s="21"/>
      <c r="S27" s="21"/>
      <c r="T27" s="21"/>
      <c r="U27" s="21"/>
    </row>
    <row r="28" spans="2:21" ht="12.75">
      <c r="B28" s="41" t="s">
        <v>150</v>
      </c>
      <c r="C28" s="41"/>
      <c r="D28" s="41"/>
      <c r="E28" s="41"/>
      <c r="F28" s="54" t="s">
        <v>154</v>
      </c>
      <c r="G28" s="116">
        <f>+MEDY*0.15</f>
        <v>1.2</v>
      </c>
      <c r="H28" s="116">
        <v>1</v>
      </c>
      <c r="I28" s="116">
        <f>G28*H28</f>
        <v>1.2</v>
      </c>
      <c r="L28" t="s">
        <v>150</v>
      </c>
      <c r="P28" s="24" t="s">
        <v>154</v>
      </c>
      <c r="Q28" s="119"/>
      <c r="R28" s="21"/>
      <c r="S28" s="119"/>
      <c r="T28" s="21"/>
      <c r="U28" s="119">
        <f>Q28*S28</f>
        <v>0</v>
      </c>
    </row>
    <row r="29" spans="2:21" ht="12.75">
      <c r="B29" s="41" t="s">
        <v>111</v>
      </c>
      <c r="C29" s="41"/>
      <c r="D29" s="41"/>
      <c r="E29" s="41"/>
      <c r="F29" s="54" t="s">
        <v>176</v>
      </c>
      <c r="G29" s="116">
        <f>G28*0.95</f>
        <v>1.14</v>
      </c>
      <c r="H29" s="116">
        <v>0.94</v>
      </c>
      <c r="I29" s="116">
        <f>G29*H29</f>
        <v>1.0715999999999999</v>
      </c>
      <c r="L29" t="s">
        <v>111</v>
      </c>
      <c r="P29" s="24" t="s">
        <v>176</v>
      </c>
      <c r="Q29" s="92"/>
      <c r="R29" s="21"/>
      <c r="S29" s="92"/>
      <c r="T29" s="21"/>
      <c r="U29" s="92">
        <f>Q29*S29</f>
        <v>0</v>
      </c>
    </row>
    <row r="30" spans="2:21" ht="12.75">
      <c r="B30" s="41" t="s">
        <v>107</v>
      </c>
      <c r="C30" s="41"/>
      <c r="D30" s="41"/>
      <c r="E30" s="41"/>
      <c r="F30" s="54" t="s">
        <v>176</v>
      </c>
      <c r="G30" s="116">
        <f>G28*0.95</f>
        <v>1.14</v>
      </c>
      <c r="H30" s="116">
        <v>0.15</v>
      </c>
      <c r="I30" s="116">
        <f>G30*0.15</f>
        <v>0.17099999999999999</v>
      </c>
      <c r="L30" t="s">
        <v>107</v>
      </c>
      <c r="P30" s="24" t="s">
        <v>176</v>
      </c>
      <c r="Q30" s="92"/>
      <c r="R30" s="21"/>
      <c r="S30" s="92"/>
      <c r="T30" s="21"/>
      <c r="U30" s="92">
        <f>Q30*0.15</f>
        <v>0</v>
      </c>
    </row>
    <row r="31" spans="2:21" ht="13.5" thickBot="1">
      <c r="B31" s="48" t="s">
        <v>269</v>
      </c>
      <c r="C31" s="48"/>
      <c r="D31" s="48"/>
      <c r="E31" s="48"/>
      <c r="F31" s="97"/>
      <c r="G31" s="124"/>
      <c r="H31" s="124"/>
      <c r="I31" s="118">
        <f>SUM(I28:I30)</f>
        <v>2.4425999999999997</v>
      </c>
      <c r="L31" s="48" t="s">
        <v>269</v>
      </c>
      <c r="M31" s="7"/>
      <c r="N31" s="7"/>
      <c r="O31" s="7"/>
      <c r="P31" s="31"/>
      <c r="Q31" s="92"/>
      <c r="R31" s="21"/>
      <c r="S31" s="92"/>
      <c r="T31" s="21"/>
      <c r="U31" s="93">
        <f>SUM(U28:U30)</f>
        <v>0</v>
      </c>
    </row>
    <row r="32" spans="2:21" ht="13.5" thickTop="1">
      <c r="B32" s="44"/>
      <c r="C32" s="44"/>
      <c r="D32" s="44"/>
      <c r="E32" s="44"/>
      <c r="F32" s="113"/>
      <c r="G32" s="114"/>
      <c r="H32" s="114"/>
      <c r="I32" s="114"/>
      <c r="P32" s="24"/>
      <c r="Q32" s="21"/>
      <c r="R32" s="21"/>
      <c r="S32" s="21"/>
      <c r="T32" s="21"/>
      <c r="U32" s="21"/>
    </row>
    <row r="33" spans="2:21" ht="12.75">
      <c r="B33" s="48" t="s">
        <v>323</v>
      </c>
      <c r="C33" s="48"/>
      <c r="D33" s="41"/>
      <c r="E33" s="41"/>
      <c r="F33" s="54"/>
      <c r="G33" s="116"/>
      <c r="H33" s="116"/>
      <c r="I33" s="116"/>
      <c r="L33" s="48" t="s">
        <v>323</v>
      </c>
      <c r="M33" s="7"/>
      <c r="P33" s="24"/>
      <c r="Q33" s="21"/>
      <c r="R33" s="21"/>
      <c r="S33" s="21"/>
      <c r="T33" s="21"/>
      <c r="U33" s="21"/>
    </row>
    <row r="34" spans="2:21" ht="12.75">
      <c r="B34" s="41" t="s">
        <v>284</v>
      </c>
      <c r="C34" s="41"/>
      <c r="D34" s="41"/>
      <c r="E34" s="41"/>
      <c r="F34" s="54" t="s">
        <v>81</v>
      </c>
      <c r="G34" s="116">
        <v>1</v>
      </c>
      <c r="H34" s="116">
        <f>FxdCost!E32</f>
        <v>840.6962898550725</v>
      </c>
      <c r="I34" s="116">
        <f>G34*H34</f>
        <v>840.6962898550725</v>
      </c>
      <c r="L34" t="s">
        <v>284</v>
      </c>
      <c r="P34" s="24" t="s">
        <v>81</v>
      </c>
      <c r="Q34" s="119"/>
      <c r="R34" s="21"/>
      <c r="S34" s="119"/>
      <c r="T34" s="21"/>
      <c r="U34" s="119">
        <f>Q34*S34</f>
        <v>0</v>
      </c>
    </row>
    <row r="35" spans="2:21" ht="12.75">
      <c r="B35" s="41" t="s">
        <v>199</v>
      </c>
      <c r="C35" s="41"/>
      <c r="D35" s="41"/>
      <c r="E35" s="41"/>
      <c r="F35" s="54" t="s">
        <v>58</v>
      </c>
      <c r="G35" s="116">
        <f>I25</f>
        <v>1041.64455</v>
      </c>
      <c r="H35" s="116">
        <v>0.15</v>
      </c>
      <c r="I35" s="116">
        <f>G35*H35</f>
        <v>156.2466825</v>
      </c>
      <c r="L35" t="s">
        <v>199</v>
      </c>
      <c r="P35" s="24" t="s">
        <v>58</v>
      </c>
      <c r="Q35" s="92"/>
      <c r="R35" s="21"/>
      <c r="S35" s="92"/>
      <c r="T35" s="21"/>
      <c r="U35" s="92">
        <f>Q35*S35</f>
        <v>0</v>
      </c>
    </row>
    <row r="36" spans="2:21" ht="12.75">
      <c r="B36" s="41" t="s">
        <v>171</v>
      </c>
      <c r="C36" s="41"/>
      <c r="D36" s="41"/>
      <c r="E36" s="41"/>
      <c r="F36" s="54" t="s">
        <v>81</v>
      </c>
      <c r="G36" s="116">
        <v>1</v>
      </c>
      <c r="H36" s="116">
        <f>SSet!H27</f>
        <v>857.4166666666667</v>
      </c>
      <c r="I36" s="116">
        <f>G36*H36</f>
        <v>857.4166666666667</v>
      </c>
      <c r="L36" t="s">
        <v>171</v>
      </c>
      <c r="P36" s="24" t="s">
        <v>81</v>
      </c>
      <c r="Q36" s="92"/>
      <c r="R36" s="21"/>
      <c r="S36" s="92"/>
      <c r="T36" s="21"/>
      <c r="U36" s="92">
        <f>Q36*S36</f>
        <v>0</v>
      </c>
    </row>
    <row r="37" spans="2:21" ht="13.5" thickBot="1">
      <c r="B37" s="48" t="s">
        <v>324</v>
      </c>
      <c r="C37" s="41"/>
      <c r="D37" s="41"/>
      <c r="E37" s="41"/>
      <c r="F37" s="54" t="s">
        <v>58</v>
      </c>
      <c r="G37" s="116"/>
      <c r="H37" s="116"/>
      <c r="I37" s="118">
        <f>SUM(I34:I36)</f>
        <v>1854.3596390217392</v>
      </c>
      <c r="L37" s="48" t="s">
        <v>324</v>
      </c>
      <c r="P37" s="54" t="s">
        <v>58</v>
      </c>
      <c r="Q37" s="92"/>
      <c r="R37" s="21"/>
      <c r="S37" s="92"/>
      <c r="T37" s="21"/>
      <c r="U37" s="93">
        <f>SUM(U34:U36)</f>
        <v>0</v>
      </c>
    </row>
    <row r="38" spans="2:21" ht="13.5" thickTop="1">
      <c r="B38" s="44"/>
      <c r="C38" s="44"/>
      <c r="D38" s="44"/>
      <c r="E38" s="44"/>
      <c r="F38" s="113"/>
      <c r="G38" s="115"/>
      <c r="H38" s="115"/>
      <c r="I38" s="115"/>
      <c r="P38" s="24"/>
      <c r="Q38" s="21"/>
      <c r="R38" s="21"/>
      <c r="S38" s="21"/>
      <c r="T38" s="21"/>
      <c r="U38" s="21"/>
    </row>
    <row r="39" spans="2:21" ht="13.5" thickBot="1">
      <c r="B39" s="48" t="s">
        <v>325</v>
      </c>
      <c r="C39" s="41"/>
      <c r="D39" s="41"/>
      <c r="E39" s="41"/>
      <c r="F39" s="54" t="s">
        <v>58</v>
      </c>
      <c r="G39" s="116"/>
      <c r="H39" s="116"/>
      <c r="I39" s="118">
        <f>I25+I31+I37</f>
        <v>2898.4467890217393</v>
      </c>
      <c r="L39" s="48" t="s">
        <v>325</v>
      </c>
      <c r="P39" s="54" t="s">
        <v>58</v>
      </c>
      <c r="Q39" s="92"/>
      <c r="R39" s="21"/>
      <c r="S39" s="92"/>
      <c r="T39" s="21"/>
      <c r="U39" s="93">
        <f>U25+U31+U37</f>
        <v>0</v>
      </c>
    </row>
    <row r="40" spans="2:21" ht="13.5" thickTop="1">
      <c r="B40" s="41"/>
      <c r="C40" s="41"/>
      <c r="D40" s="41"/>
      <c r="E40" s="41"/>
      <c r="F40" s="54"/>
      <c r="G40" s="116"/>
      <c r="H40" s="116"/>
      <c r="I40" s="116"/>
      <c r="P40" s="24"/>
      <c r="Q40" s="21"/>
      <c r="R40" s="21"/>
      <c r="S40" s="21"/>
      <c r="T40" s="21"/>
      <c r="U40" s="21"/>
    </row>
    <row r="41" spans="2:21" ht="12.75">
      <c r="B41" s="41" t="s">
        <v>178</v>
      </c>
      <c r="C41" s="41"/>
      <c r="D41" s="41"/>
      <c r="E41" s="41"/>
      <c r="F41" s="54" t="s">
        <v>58</v>
      </c>
      <c r="G41" s="116">
        <f>+MEDY*0.2</f>
        <v>1.6</v>
      </c>
      <c r="H41" s="116">
        <f>+MEDP</f>
        <v>475</v>
      </c>
      <c r="I41" s="116">
        <f>G41*H41</f>
        <v>760</v>
      </c>
      <c r="L41" t="s">
        <v>178</v>
      </c>
      <c r="P41" s="24" t="s">
        <v>58</v>
      </c>
      <c r="Q41" s="92"/>
      <c r="R41" s="21"/>
      <c r="S41" s="92"/>
      <c r="T41" s="21"/>
      <c r="U41" s="92">
        <f>Q41*S41</f>
        <v>0</v>
      </c>
    </row>
    <row r="42" spans="2:21" ht="13.5" thickBot="1">
      <c r="B42" s="48" t="s">
        <v>326</v>
      </c>
      <c r="C42" s="48"/>
      <c r="D42" s="48"/>
      <c r="E42" s="48"/>
      <c r="F42" s="97"/>
      <c r="G42" s="124"/>
      <c r="H42" s="124"/>
      <c r="I42" s="118">
        <f>I39-I41</f>
        <v>2138.4467890217393</v>
      </c>
      <c r="L42" s="48" t="s">
        <v>326</v>
      </c>
      <c r="M42" s="7"/>
      <c r="N42" s="7"/>
      <c r="O42" s="7"/>
      <c r="P42" s="31"/>
      <c r="Q42" s="92"/>
      <c r="R42" s="21"/>
      <c r="S42" s="92"/>
      <c r="T42" s="21"/>
      <c r="U42" s="93">
        <f>U39-U41</f>
        <v>0</v>
      </c>
    </row>
    <row r="43" spans="6:9" ht="13.5" thickTop="1">
      <c r="F43" s="24"/>
      <c r="G43" s="21"/>
      <c r="H43" s="21"/>
      <c r="I43" s="21"/>
    </row>
    <row r="45" spans="7:10" ht="12.75">
      <c r="G45" s="5"/>
      <c r="H45" s="5"/>
      <c r="I45" s="5"/>
      <c r="J45" s="15"/>
    </row>
    <row r="47" spans="2:5" ht="12.75">
      <c r="B47" s="44"/>
      <c r="C47" s="44"/>
      <c r="D47" s="44"/>
      <c r="E47" s="44"/>
    </row>
    <row r="49" spans="2:10" ht="12.75">
      <c r="B49" s="74"/>
      <c r="C49" s="74"/>
      <c r="D49" s="74"/>
      <c r="E49" s="74"/>
      <c r="F49" s="74"/>
      <c r="G49" s="74"/>
      <c r="H49" s="74"/>
      <c r="I49" s="74"/>
      <c r="J49" s="75"/>
    </row>
    <row r="50" spans="2:10" ht="12.75">
      <c r="B50" s="159"/>
      <c r="C50" s="159"/>
      <c r="D50" s="159"/>
      <c r="E50" s="159"/>
      <c r="F50" s="159"/>
      <c r="G50" s="159"/>
      <c r="H50" s="159"/>
      <c r="I50" s="159"/>
      <c r="J50" s="159"/>
    </row>
    <row r="51" spans="2:10" ht="12.75">
      <c r="B51" s="159"/>
      <c r="C51" s="159"/>
      <c r="D51" s="159"/>
      <c r="E51" s="159"/>
      <c r="F51" s="159"/>
      <c r="G51" s="159"/>
      <c r="H51" s="159"/>
      <c r="I51" s="159"/>
      <c r="J51" s="159"/>
    </row>
  </sheetData>
  <sheetProtection/>
  <mergeCells count="5">
    <mergeCell ref="B50:J50"/>
    <mergeCell ref="B51:J51"/>
    <mergeCell ref="B4:J4"/>
    <mergeCell ref="B5:J5"/>
    <mergeCell ref="L6:U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B1:S57"/>
  <sheetViews>
    <sheetView workbookViewId="0" topLeftCell="A1">
      <selection activeCell="B3" sqref="B3:I3"/>
    </sheetView>
  </sheetViews>
  <sheetFormatPr defaultColWidth="9.140625" defaultRowHeight="12.75"/>
  <cols>
    <col min="1" max="1" width="1.28515625" style="0" customWidth="1"/>
    <col min="2" max="2" width="39.00390625" style="0" customWidth="1"/>
    <col min="3" max="3" width="1.7109375" style="0" customWidth="1"/>
    <col min="4" max="4" width="6.7109375" style="0" customWidth="1"/>
    <col min="5" max="5" width="5.7109375" style="0" customWidth="1"/>
    <col min="6" max="6" width="7.7109375" style="0" customWidth="1"/>
    <col min="7" max="7" width="9.00390625" style="0" customWidth="1"/>
    <col min="8" max="8" width="2.57421875" style="0" customWidth="1"/>
    <col min="9" max="9" width="9.140625" style="0" customWidth="1"/>
    <col min="10" max="10" width="4.28125" style="0" customWidth="1"/>
    <col min="11" max="11" width="39.57421875" style="0" customWidth="1"/>
    <col min="12" max="12" width="0.9921875" style="0" customWidth="1"/>
    <col min="13" max="13" width="6.421875" style="0" customWidth="1"/>
    <col min="14" max="14" width="6.28125" style="0" customWidth="1"/>
    <col min="15" max="15" width="8.8515625" style="0" customWidth="1"/>
    <col min="16" max="16" width="2.421875" style="0" customWidth="1"/>
    <col min="17" max="17" width="8.140625" style="0" customWidth="1"/>
    <col min="18" max="18" width="2.421875" style="0" customWidth="1"/>
    <col min="19" max="19" width="9.7109375" style="0" customWidth="1"/>
  </cols>
  <sheetData>
    <row r="1" spans="10:11" ht="12.75">
      <c r="J1" s="96"/>
      <c r="K1" s="96"/>
    </row>
    <row r="2" spans="2:11" ht="15.75">
      <c r="B2" s="162" t="s">
        <v>353</v>
      </c>
      <c r="C2" s="162"/>
      <c r="D2" s="162"/>
      <c r="E2" s="162"/>
      <c r="F2" s="162"/>
      <c r="G2" s="162"/>
      <c r="H2" s="162"/>
      <c r="I2" s="162"/>
      <c r="J2" s="96"/>
      <c r="K2" s="96"/>
    </row>
    <row r="3" spans="2:19" ht="15.75">
      <c r="B3" s="162" t="s">
        <v>466</v>
      </c>
      <c r="C3" s="162"/>
      <c r="D3" s="162"/>
      <c r="E3" s="162"/>
      <c r="F3" s="162"/>
      <c r="G3" s="162"/>
      <c r="H3" s="162"/>
      <c r="I3" s="162"/>
      <c r="K3" s="87" t="s">
        <v>337</v>
      </c>
      <c r="M3" s="88"/>
      <c r="N3" s="88"/>
      <c r="O3" s="88"/>
      <c r="P3" s="88"/>
      <c r="Q3" s="88"/>
      <c r="S3" s="88"/>
    </row>
    <row r="4" spans="2:9" ht="15.75">
      <c r="B4" s="162"/>
      <c r="C4" s="163"/>
      <c r="D4" s="163"/>
      <c r="E4" s="163"/>
      <c r="F4" s="163"/>
      <c r="G4" s="163"/>
      <c r="H4" s="163"/>
      <c r="I4" s="163"/>
    </row>
    <row r="7" spans="2:19" ht="12.75">
      <c r="B7" s="97" t="s">
        <v>172</v>
      </c>
      <c r="C7" s="31"/>
      <c r="D7" s="31" t="s">
        <v>92</v>
      </c>
      <c r="E7" s="97" t="s">
        <v>289</v>
      </c>
      <c r="F7" s="97" t="s">
        <v>352</v>
      </c>
      <c r="G7" s="98" t="s">
        <v>221</v>
      </c>
      <c r="H7" s="98"/>
      <c r="I7" s="99" t="s">
        <v>319</v>
      </c>
      <c r="K7" s="97" t="s">
        <v>172</v>
      </c>
      <c r="L7" s="31"/>
      <c r="M7" s="31" t="s">
        <v>92</v>
      </c>
      <c r="N7" s="97" t="s">
        <v>289</v>
      </c>
      <c r="O7" s="97" t="s">
        <v>352</v>
      </c>
      <c r="P7" s="97"/>
      <c r="Q7" s="98" t="s">
        <v>221</v>
      </c>
      <c r="S7" s="99" t="s">
        <v>319</v>
      </c>
    </row>
    <row r="9" spans="2:11" ht="12.75">
      <c r="B9" s="7" t="s">
        <v>195</v>
      </c>
      <c r="K9" s="7" t="s">
        <v>195</v>
      </c>
    </row>
    <row r="10" spans="2:19" ht="12.75">
      <c r="B10" s="41" t="s">
        <v>418</v>
      </c>
      <c r="C10" s="41"/>
      <c r="D10" s="41"/>
      <c r="E10" s="43" t="s">
        <v>81</v>
      </c>
      <c r="F10" s="123">
        <v>1</v>
      </c>
      <c r="G10" s="116">
        <v>91.27</v>
      </c>
      <c r="H10" s="116"/>
      <c r="I10" s="116">
        <f>F10*G10</f>
        <v>91.27</v>
      </c>
      <c r="K10" s="7" t="s">
        <v>132</v>
      </c>
      <c r="N10" s="11"/>
      <c r="O10" s="21"/>
      <c r="Q10" s="15"/>
      <c r="S10" s="21"/>
    </row>
    <row r="11" spans="2:19" ht="12.75">
      <c r="B11" s="41" t="s">
        <v>414</v>
      </c>
      <c r="C11" s="41"/>
      <c r="D11" s="41"/>
      <c r="E11" s="54" t="s">
        <v>153</v>
      </c>
      <c r="F11" s="116">
        <v>60</v>
      </c>
      <c r="G11" s="116">
        <v>8</v>
      </c>
      <c r="H11" s="116"/>
      <c r="I11" s="116">
        <f>F$11*G$11</f>
        <v>480</v>
      </c>
      <c r="K11" t="s">
        <v>129</v>
      </c>
      <c r="M11" t="s">
        <v>310</v>
      </c>
      <c r="N11" s="24" t="s">
        <v>145</v>
      </c>
      <c r="O11" s="92"/>
      <c r="Q11" s="92"/>
      <c r="S11" s="92">
        <f>O$11*Q$11</f>
        <v>0</v>
      </c>
    </row>
    <row r="12" spans="2:14" ht="12.75">
      <c r="B12" s="48" t="s">
        <v>298</v>
      </c>
      <c r="C12" s="41"/>
      <c r="D12" s="41"/>
      <c r="E12" s="54"/>
      <c r="F12" s="116"/>
      <c r="G12" s="116"/>
      <c r="H12" s="116"/>
      <c r="I12" s="116"/>
      <c r="K12" s="7" t="s">
        <v>298</v>
      </c>
      <c r="N12" s="24"/>
    </row>
    <row r="13" spans="2:19" ht="12.75">
      <c r="B13" s="41" t="s">
        <v>416</v>
      </c>
      <c r="C13" s="41"/>
      <c r="D13" s="41"/>
      <c r="E13" s="54" t="s">
        <v>81</v>
      </c>
      <c r="F13" s="116">
        <v>6</v>
      </c>
      <c r="G13" s="116">
        <v>7.2</v>
      </c>
      <c r="H13" s="116"/>
      <c r="I13" s="116">
        <f>F13*G13</f>
        <v>43.2</v>
      </c>
      <c r="K13" t="s">
        <v>213</v>
      </c>
      <c r="M13" t="s">
        <v>74</v>
      </c>
      <c r="N13" s="24" t="s">
        <v>81</v>
      </c>
      <c r="O13" s="92"/>
      <c r="Q13" s="92"/>
      <c r="S13" s="92">
        <f>O13*Q13</f>
        <v>0</v>
      </c>
    </row>
    <row r="14" spans="2:19" ht="12.75">
      <c r="B14" s="41" t="s">
        <v>415</v>
      </c>
      <c r="C14" s="41"/>
      <c r="D14" s="41"/>
      <c r="E14" s="54" t="s">
        <v>81</v>
      </c>
      <c r="F14" s="116">
        <v>1</v>
      </c>
      <c r="G14" s="116">
        <v>52.16</v>
      </c>
      <c r="H14" s="116"/>
      <c r="I14" s="116">
        <f>F14*G14</f>
        <v>52.16</v>
      </c>
      <c r="K14" t="s">
        <v>211</v>
      </c>
      <c r="M14" t="s">
        <v>75</v>
      </c>
      <c r="N14" s="24" t="s">
        <v>81</v>
      </c>
      <c r="O14" s="92"/>
      <c r="Q14" s="92"/>
      <c r="S14" s="92">
        <f>O14*Q14</f>
        <v>0</v>
      </c>
    </row>
    <row r="15" spans="2:19" ht="12.75">
      <c r="B15" s="41" t="s">
        <v>417</v>
      </c>
      <c r="C15" s="41"/>
      <c r="D15" s="41"/>
      <c r="E15" s="54" t="s">
        <v>81</v>
      </c>
      <c r="F15" s="116">
        <v>1</v>
      </c>
      <c r="G15" s="116">
        <v>68.85</v>
      </c>
      <c r="H15" s="116"/>
      <c r="I15" s="116">
        <f>F$15*G$15</f>
        <v>68.85</v>
      </c>
      <c r="K15" s="41" t="s">
        <v>354</v>
      </c>
      <c r="M15" t="s">
        <v>78</v>
      </c>
      <c r="N15" s="24" t="s">
        <v>81</v>
      </c>
      <c r="O15" s="92"/>
      <c r="Q15" s="92"/>
      <c r="S15" s="92">
        <f>O$15*Q$15</f>
        <v>0</v>
      </c>
    </row>
    <row r="16" spans="2:11" ht="12.75">
      <c r="B16" s="48" t="s">
        <v>156</v>
      </c>
      <c r="C16" s="44"/>
      <c r="D16" s="44"/>
      <c r="E16" s="113"/>
      <c r="F16" s="114"/>
      <c r="G16" s="114"/>
      <c r="H16" s="114"/>
      <c r="I16" s="114"/>
      <c r="K16" s="7" t="s">
        <v>156</v>
      </c>
    </row>
    <row r="17" spans="2:19" ht="12.75">
      <c r="B17" s="41" t="s">
        <v>142</v>
      </c>
      <c r="C17" s="41"/>
      <c r="D17" s="41"/>
      <c r="E17" s="54" t="s">
        <v>81</v>
      </c>
      <c r="F17" s="116">
        <v>1</v>
      </c>
      <c r="G17" s="116">
        <v>100</v>
      </c>
      <c r="H17" s="116"/>
      <c r="I17" s="116">
        <f>F17*G17</f>
        <v>100</v>
      </c>
      <c r="K17" t="s">
        <v>142</v>
      </c>
      <c r="M17" t="s">
        <v>80</v>
      </c>
      <c r="N17" s="24" t="s">
        <v>81</v>
      </c>
      <c r="O17" s="92"/>
      <c r="Q17" s="92"/>
      <c r="S17" s="92">
        <f>O17*Q17</f>
        <v>0</v>
      </c>
    </row>
    <row r="18" spans="2:19" ht="12.75">
      <c r="B18" s="41" t="s">
        <v>157</v>
      </c>
      <c r="C18" s="41"/>
      <c r="D18" s="41"/>
      <c r="E18" s="54" t="s">
        <v>81</v>
      </c>
      <c r="F18" s="116">
        <v>1</v>
      </c>
      <c r="G18" s="116">
        <v>76.46</v>
      </c>
      <c r="H18" s="116"/>
      <c r="I18" s="116">
        <f>F18*G18</f>
        <v>76.46</v>
      </c>
      <c r="K18" t="s">
        <v>157</v>
      </c>
      <c r="M18" t="s">
        <v>78</v>
      </c>
      <c r="N18" s="24" t="s">
        <v>81</v>
      </c>
      <c r="O18" s="92"/>
      <c r="Q18" s="92"/>
      <c r="S18" s="92">
        <f>O18*Q18</f>
        <v>0</v>
      </c>
    </row>
    <row r="19" spans="2:19" ht="12.75">
      <c r="B19" s="41" t="s">
        <v>413</v>
      </c>
      <c r="C19" s="41"/>
      <c r="D19" s="41"/>
      <c r="E19" s="54" t="s">
        <v>388</v>
      </c>
      <c r="F19" s="116">
        <v>2</v>
      </c>
      <c r="G19" s="116">
        <v>8</v>
      </c>
      <c r="H19" s="116"/>
      <c r="I19" s="116">
        <f>F19*G19</f>
        <v>16</v>
      </c>
      <c r="K19" t="s">
        <v>281</v>
      </c>
      <c r="M19" t="s">
        <v>72</v>
      </c>
      <c r="N19" s="24" t="s">
        <v>81</v>
      </c>
      <c r="O19" s="92"/>
      <c r="Q19" s="92"/>
      <c r="S19" s="92">
        <f>O19*Q19</f>
        <v>0</v>
      </c>
    </row>
    <row r="20" spans="2:19" ht="12.75">
      <c r="B20" s="41" t="s">
        <v>171</v>
      </c>
      <c r="C20" s="41"/>
      <c r="D20" s="41"/>
      <c r="E20" s="54" t="s">
        <v>81</v>
      </c>
      <c r="F20" s="116">
        <v>1</v>
      </c>
      <c r="G20" s="116">
        <v>88.35</v>
      </c>
      <c r="H20" s="116"/>
      <c r="I20" s="116">
        <f>F20*G20</f>
        <v>88.35</v>
      </c>
      <c r="K20" s="41" t="s">
        <v>171</v>
      </c>
      <c r="N20" s="24" t="s">
        <v>81</v>
      </c>
      <c r="O20" s="92"/>
      <c r="Q20" s="92"/>
      <c r="S20" s="92">
        <f>O20*Q20</f>
        <v>0</v>
      </c>
    </row>
    <row r="21" spans="2:19" ht="12.75">
      <c r="B21" s="41" t="s">
        <v>167</v>
      </c>
      <c r="C21" s="41"/>
      <c r="D21" s="41"/>
      <c r="E21" s="54" t="s">
        <v>58</v>
      </c>
      <c r="F21" s="116">
        <f>SUM(I11:I20)</f>
        <v>925.0200000000001</v>
      </c>
      <c r="G21" s="116">
        <v>0.065</v>
      </c>
      <c r="H21" s="116"/>
      <c r="I21" s="116">
        <f>F21*G21</f>
        <v>60.12630000000001</v>
      </c>
      <c r="J21" s="41"/>
      <c r="K21" s="41" t="s">
        <v>167</v>
      </c>
      <c r="N21" s="24" t="s">
        <v>58</v>
      </c>
      <c r="O21" s="92"/>
      <c r="Q21" s="92"/>
      <c r="S21" s="92">
        <f>O21*Q21</f>
        <v>0</v>
      </c>
    </row>
    <row r="22" spans="2:19" ht="13.5" thickBot="1">
      <c r="B22" s="48" t="s">
        <v>274</v>
      </c>
      <c r="C22" s="41"/>
      <c r="D22" s="41"/>
      <c r="E22" s="54" t="s">
        <v>58</v>
      </c>
      <c r="F22" s="116"/>
      <c r="G22" s="116"/>
      <c r="H22" s="116"/>
      <c r="I22" s="118">
        <f>SUM(I11:I21)</f>
        <v>985.1463000000001</v>
      </c>
      <c r="K22" s="7" t="s">
        <v>274</v>
      </c>
      <c r="N22" s="54" t="s">
        <v>58</v>
      </c>
      <c r="O22" s="92"/>
      <c r="Q22" s="92"/>
      <c r="S22" s="93">
        <f>SUM(S11:S21)</f>
        <v>0</v>
      </c>
    </row>
    <row r="23" spans="2:14" ht="13.5" thickTop="1">
      <c r="B23" s="44"/>
      <c r="C23" s="44"/>
      <c r="D23" s="44"/>
      <c r="E23" s="113"/>
      <c r="F23" s="114"/>
      <c r="G23" s="114"/>
      <c r="H23" s="114"/>
      <c r="I23" s="114"/>
      <c r="N23" s="24"/>
    </row>
    <row r="24" spans="2:14" ht="12.75">
      <c r="B24" s="48" t="s">
        <v>151</v>
      </c>
      <c r="C24" s="44"/>
      <c r="D24" s="44"/>
      <c r="E24" s="113"/>
      <c r="F24" s="114"/>
      <c r="G24" s="114"/>
      <c r="H24" s="114"/>
      <c r="I24" s="114"/>
      <c r="K24" s="7" t="s">
        <v>151</v>
      </c>
      <c r="N24" s="24"/>
    </row>
    <row r="25" spans="2:19" ht="12.75">
      <c r="B25" s="41" t="s">
        <v>150</v>
      </c>
      <c r="C25" s="41"/>
      <c r="D25" s="41"/>
      <c r="E25" s="54" t="s">
        <v>154</v>
      </c>
      <c r="F25" s="116">
        <v>4000</v>
      </c>
      <c r="G25" s="116">
        <v>0.1</v>
      </c>
      <c r="H25" s="116"/>
      <c r="I25" s="116">
        <f>F25*G25</f>
        <v>400</v>
      </c>
      <c r="K25" t="s">
        <v>150</v>
      </c>
      <c r="N25" s="24" t="s">
        <v>154</v>
      </c>
      <c r="O25" s="92"/>
      <c r="Q25" s="92"/>
      <c r="S25" s="92">
        <f>O25*Q25</f>
        <v>0</v>
      </c>
    </row>
    <row r="26" spans="2:19" ht="12.75">
      <c r="B26" s="41" t="s">
        <v>419</v>
      </c>
      <c r="C26" s="41"/>
      <c r="D26" s="41"/>
      <c r="E26" s="54"/>
      <c r="F26" s="116">
        <v>151</v>
      </c>
      <c r="G26" s="116">
        <v>4.6</v>
      </c>
      <c r="H26" s="116"/>
      <c r="I26" s="116">
        <f>F26*G26</f>
        <v>694.5999999999999</v>
      </c>
      <c r="K26" t="s">
        <v>111</v>
      </c>
      <c r="N26" s="24" t="s">
        <v>176</v>
      </c>
      <c r="O26" s="92"/>
      <c r="Q26" s="92"/>
      <c r="S26" s="92">
        <f>O26*Q26</f>
        <v>0</v>
      </c>
    </row>
    <row r="27" spans="2:19" ht="12.75">
      <c r="B27" s="41" t="s">
        <v>420</v>
      </c>
      <c r="C27" s="41"/>
      <c r="D27" s="41"/>
      <c r="E27" s="54" t="s">
        <v>176</v>
      </c>
      <c r="F27" s="116">
        <f>F25*0.95</f>
        <v>3800</v>
      </c>
      <c r="G27" s="116">
        <v>0</v>
      </c>
      <c r="H27" s="116"/>
      <c r="I27" s="116">
        <f>F27*G27</f>
        <v>0</v>
      </c>
      <c r="K27" t="s">
        <v>107</v>
      </c>
      <c r="N27" s="24" t="s">
        <v>176</v>
      </c>
      <c r="O27" s="92"/>
      <c r="Q27" s="92"/>
      <c r="S27" s="92">
        <f>O27*Q27</f>
        <v>0</v>
      </c>
    </row>
    <row r="28" spans="2:19" ht="13.5" thickBot="1">
      <c r="B28" s="48" t="s">
        <v>269</v>
      </c>
      <c r="C28" s="48"/>
      <c r="D28" s="48"/>
      <c r="E28" s="97"/>
      <c r="F28" s="124"/>
      <c r="G28" s="124"/>
      <c r="H28" s="124"/>
      <c r="I28" s="118">
        <f>SUM(I25:I27)</f>
        <v>1094.6</v>
      </c>
      <c r="K28" s="7" t="s">
        <v>269</v>
      </c>
      <c r="L28" s="7"/>
      <c r="M28" s="7"/>
      <c r="N28" s="31"/>
      <c r="O28" s="92"/>
      <c r="Q28" s="92"/>
      <c r="S28" s="93">
        <f>SUM(S25:S27)</f>
        <v>0</v>
      </c>
    </row>
    <row r="29" spans="2:19" ht="14.25" thickBot="1" thickTop="1">
      <c r="B29" s="48" t="s">
        <v>333</v>
      </c>
      <c r="C29" s="48"/>
      <c r="D29" s="48"/>
      <c r="E29" s="54"/>
      <c r="F29" s="116"/>
      <c r="G29" s="116"/>
      <c r="H29" s="116"/>
      <c r="I29" s="125">
        <f>I22+I28</f>
        <v>2079.7463</v>
      </c>
      <c r="K29" s="48" t="s">
        <v>333</v>
      </c>
      <c r="L29" s="7"/>
      <c r="M29" s="7"/>
      <c r="N29" s="24"/>
      <c r="O29" s="92"/>
      <c r="Q29" s="92"/>
      <c r="S29" s="93">
        <f>S22+S28</f>
        <v>0</v>
      </c>
    </row>
    <row r="30" spans="2:14" ht="13.5" thickTop="1">
      <c r="B30" s="44"/>
      <c r="C30" s="44"/>
      <c r="D30" s="44"/>
      <c r="E30" s="113"/>
      <c r="F30" s="114"/>
      <c r="G30" s="114"/>
      <c r="H30" s="114"/>
      <c r="I30" s="114"/>
      <c r="N30" s="24"/>
    </row>
    <row r="31" spans="2:14" ht="12.75">
      <c r="B31" s="48" t="s">
        <v>136</v>
      </c>
      <c r="C31" s="44"/>
      <c r="D31" s="44"/>
      <c r="E31" s="113"/>
      <c r="F31" s="114"/>
      <c r="G31" s="114"/>
      <c r="H31" s="114"/>
      <c r="I31" s="114"/>
      <c r="K31" s="7" t="s">
        <v>136</v>
      </c>
      <c r="N31" s="24"/>
    </row>
    <row r="32" spans="2:19" ht="12.75">
      <c r="B32" s="41" t="s">
        <v>283</v>
      </c>
      <c r="C32" s="41"/>
      <c r="D32" s="41"/>
      <c r="E32" s="54" t="s">
        <v>81</v>
      </c>
      <c r="F32" s="116">
        <v>1</v>
      </c>
      <c r="G32" s="116">
        <f>FxdCost!E32</f>
        <v>840.6962898550725</v>
      </c>
      <c r="H32" s="116"/>
      <c r="I32" s="116">
        <f>F32*G32</f>
        <v>840.6962898550725</v>
      </c>
      <c r="K32" t="s">
        <v>283</v>
      </c>
      <c r="N32" s="24" t="s">
        <v>81</v>
      </c>
      <c r="O32" s="92"/>
      <c r="Q32" s="92"/>
      <c r="S32" s="92">
        <f>O32*Q32</f>
        <v>0</v>
      </c>
    </row>
    <row r="33" spans="2:19" ht="12.75">
      <c r="B33" s="41" t="s">
        <v>199</v>
      </c>
      <c r="C33" s="41"/>
      <c r="D33" s="41"/>
      <c r="E33" s="54" t="s">
        <v>58</v>
      </c>
      <c r="F33" s="116">
        <f>I22</f>
        <v>985.1463000000001</v>
      </c>
      <c r="G33" s="116">
        <v>0.15</v>
      </c>
      <c r="H33" s="116"/>
      <c r="I33" s="116">
        <f>F33*G33</f>
        <v>147.77194500000002</v>
      </c>
      <c r="K33" t="s">
        <v>199</v>
      </c>
      <c r="N33" s="24" t="s">
        <v>58</v>
      </c>
      <c r="O33" s="92"/>
      <c r="Q33" s="92"/>
      <c r="S33" s="92">
        <f>O33*Q33</f>
        <v>0</v>
      </c>
    </row>
    <row r="34" spans="2:19" ht="12.75">
      <c r="B34" s="41" t="s">
        <v>171</v>
      </c>
      <c r="C34" s="41"/>
      <c r="D34" s="41"/>
      <c r="E34" s="54" t="s">
        <v>81</v>
      </c>
      <c r="F34" s="116">
        <v>1</v>
      </c>
      <c r="G34" s="116">
        <f>+Drip!I28</f>
        <v>184.79916666666668</v>
      </c>
      <c r="H34" s="116"/>
      <c r="I34" s="116">
        <f>F34*G34</f>
        <v>184.79916666666668</v>
      </c>
      <c r="K34" t="s">
        <v>171</v>
      </c>
      <c r="N34" s="24" t="s">
        <v>81</v>
      </c>
      <c r="O34" s="92"/>
      <c r="Q34" s="92"/>
      <c r="S34" s="92">
        <f>O34*Q34</f>
        <v>0</v>
      </c>
    </row>
    <row r="35" spans="2:19" ht="13.5" thickBot="1">
      <c r="B35" s="48" t="s">
        <v>266</v>
      </c>
      <c r="C35" s="41"/>
      <c r="D35" s="41"/>
      <c r="E35" s="54"/>
      <c r="F35" s="116"/>
      <c r="G35" s="116"/>
      <c r="H35" s="116"/>
      <c r="I35" s="118">
        <f>SUM(I32:I34)</f>
        <v>1173.2674015217392</v>
      </c>
      <c r="K35" s="7" t="s">
        <v>266</v>
      </c>
      <c r="N35" s="24"/>
      <c r="O35" s="92"/>
      <c r="Q35" s="92"/>
      <c r="S35" s="93">
        <f>SUM(S32:S34)</f>
        <v>0</v>
      </c>
    </row>
    <row r="36" spans="2:14" ht="13.5" thickTop="1">
      <c r="B36" s="44"/>
      <c r="C36" s="44"/>
      <c r="D36" s="44"/>
      <c r="E36" s="113"/>
      <c r="F36" s="115"/>
      <c r="G36" s="115"/>
      <c r="H36" s="115"/>
      <c r="I36" s="44"/>
      <c r="N36" s="24"/>
    </row>
    <row r="37" spans="2:19" ht="13.5" thickBot="1">
      <c r="B37" s="48" t="s">
        <v>146</v>
      </c>
      <c r="C37" s="48"/>
      <c r="D37" s="48"/>
      <c r="E37" s="97"/>
      <c r="F37" s="101"/>
      <c r="G37" s="101"/>
      <c r="H37" s="101"/>
      <c r="I37" s="135">
        <f>I22+I28+I35</f>
        <v>3253.0137015217388</v>
      </c>
      <c r="K37" s="7" t="s">
        <v>146</v>
      </c>
      <c r="L37" s="7"/>
      <c r="M37" s="7"/>
      <c r="N37" s="31"/>
      <c r="O37" s="92"/>
      <c r="Q37" s="92"/>
      <c r="S37" s="93">
        <f>S22+S28+S35</f>
        <v>0</v>
      </c>
    </row>
    <row r="38" spans="2:19" ht="14.25" thickBot="1" thickTop="1">
      <c r="B38" s="48" t="s">
        <v>267</v>
      </c>
      <c r="C38" s="41"/>
      <c r="D38" s="41"/>
      <c r="E38" s="54"/>
      <c r="F38" s="123">
        <f>+MEDY*0.4</f>
        <v>3.2</v>
      </c>
      <c r="G38" s="123">
        <f>+MEDP</f>
        <v>475</v>
      </c>
      <c r="H38" s="123"/>
      <c r="I38" s="135">
        <f>F38*G38</f>
        <v>1520</v>
      </c>
      <c r="K38" s="7" t="s">
        <v>267</v>
      </c>
      <c r="N38" s="24"/>
      <c r="O38" s="92"/>
      <c r="Q38" s="92"/>
      <c r="S38" s="93">
        <f>O38*Q38</f>
        <v>0</v>
      </c>
    </row>
    <row r="39" spans="2:19" ht="14.25" thickBot="1" thickTop="1">
      <c r="B39" s="48" t="s">
        <v>334</v>
      </c>
      <c r="C39" s="41"/>
      <c r="D39" s="41"/>
      <c r="E39" s="54"/>
      <c r="F39" s="123"/>
      <c r="G39" s="123"/>
      <c r="H39" s="123"/>
      <c r="I39" s="118">
        <f>I37-I38</f>
        <v>1733.0137015217388</v>
      </c>
      <c r="K39" s="48" t="s">
        <v>334</v>
      </c>
      <c r="N39" s="24"/>
      <c r="O39" s="92"/>
      <c r="Q39" s="92"/>
      <c r="S39" s="93">
        <f>S37-S38</f>
        <v>0</v>
      </c>
    </row>
    <row r="40" ht="13.5" thickTop="1">
      <c r="E40" s="24"/>
    </row>
    <row r="42" spans="2:9" ht="12.75">
      <c r="B42" s="74"/>
      <c r="C42" s="74"/>
      <c r="D42" s="74"/>
      <c r="E42" s="74"/>
      <c r="F42" s="74"/>
      <c r="G42" s="74"/>
      <c r="H42" s="85"/>
      <c r="I42" s="74"/>
    </row>
    <row r="43" spans="2:9" ht="12.75">
      <c r="B43" s="159"/>
      <c r="C43" s="159"/>
      <c r="D43" s="159"/>
      <c r="E43" s="159"/>
      <c r="F43" s="159"/>
      <c r="G43" s="159"/>
      <c r="H43" s="159"/>
      <c r="I43" s="159"/>
    </row>
    <row r="44" spans="2:9" ht="12.75">
      <c r="B44" s="159"/>
      <c r="C44" s="159"/>
      <c r="D44" s="159"/>
      <c r="E44" s="159"/>
      <c r="F44" s="159"/>
      <c r="G44" s="159"/>
      <c r="H44" s="159"/>
      <c r="I44" s="159"/>
    </row>
    <row r="45" spans="2:9" ht="12.75">
      <c r="B45" s="44"/>
      <c r="C45" s="44"/>
      <c r="D45" s="44"/>
      <c r="E45" s="45"/>
      <c r="F45" s="45"/>
      <c r="G45" s="44"/>
      <c r="H45" s="44"/>
      <c r="I45" s="44"/>
    </row>
    <row r="46" spans="2:9" ht="12.75">
      <c r="B46" s="45"/>
      <c r="C46" s="44"/>
      <c r="D46" s="44"/>
      <c r="E46" s="44"/>
      <c r="F46" s="46"/>
      <c r="G46" s="46"/>
      <c r="H46" s="46"/>
      <c r="I46" s="46"/>
    </row>
    <row r="47" spans="2:9" ht="12.75">
      <c r="B47" s="44"/>
      <c r="C47" s="44"/>
      <c r="D47" s="44"/>
      <c r="E47" s="44"/>
      <c r="F47" s="46"/>
      <c r="G47" s="46"/>
      <c r="H47" s="46"/>
      <c r="I47" s="46"/>
    </row>
    <row r="48" spans="2:9" ht="12.75">
      <c r="B48" s="44"/>
      <c r="C48" s="44"/>
      <c r="D48" s="44"/>
      <c r="E48" s="44"/>
      <c r="F48" s="46"/>
      <c r="G48" s="46"/>
      <c r="H48" s="46"/>
      <c r="I48" s="46"/>
    </row>
    <row r="49" spans="2:9" ht="12.75">
      <c r="B49" s="44"/>
      <c r="C49" s="44"/>
      <c r="D49" s="44"/>
      <c r="E49" s="44"/>
      <c r="F49" s="46"/>
      <c r="G49" s="46"/>
      <c r="H49" s="46"/>
      <c r="I49" s="46"/>
    </row>
    <row r="50" spans="2:9" ht="12.75">
      <c r="B50" s="44"/>
      <c r="C50" s="44"/>
      <c r="D50" s="44"/>
      <c r="E50" s="44"/>
      <c r="F50" s="46"/>
      <c r="G50" s="46"/>
      <c r="H50" s="46"/>
      <c r="I50" s="46"/>
    </row>
    <row r="51" spans="2:9" ht="12.75">
      <c r="B51" s="44"/>
      <c r="C51" s="44"/>
      <c r="D51" s="44"/>
      <c r="E51" s="44"/>
      <c r="F51" s="46"/>
      <c r="G51" s="46"/>
      <c r="H51" s="46"/>
      <c r="I51" s="46"/>
    </row>
    <row r="52" spans="2:9" ht="12.75">
      <c r="B52" s="44"/>
      <c r="C52" s="44"/>
      <c r="D52" s="44"/>
      <c r="E52" s="44"/>
      <c r="F52" s="46"/>
      <c r="G52" s="46"/>
      <c r="H52" s="46"/>
      <c r="I52" s="46"/>
    </row>
    <row r="53" spans="2:9" ht="12.75">
      <c r="B53" s="45"/>
      <c r="C53" s="44"/>
      <c r="D53" s="44"/>
      <c r="E53" s="44"/>
      <c r="F53" s="44"/>
      <c r="G53" s="46"/>
      <c r="H53" s="46"/>
      <c r="I53" s="47"/>
    </row>
    <row r="54" spans="2:9" ht="12.75">
      <c r="B54" s="44"/>
      <c r="C54" s="44"/>
      <c r="D54" s="44"/>
      <c r="E54" s="44"/>
      <c r="F54" s="44"/>
      <c r="G54" s="46"/>
      <c r="H54" s="46"/>
      <c r="I54" s="46"/>
    </row>
    <row r="55" spans="2:9" ht="12.75">
      <c r="B55" s="44"/>
      <c r="C55" s="44"/>
      <c r="D55" s="44"/>
      <c r="E55" s="44"/>
      <c r="F55" s="44"/>
      <c r="G55" s="46"/>
      <c r="H55" s="46"/>
      <c r="I55" s="46"/>
    </row>
    <row r="56" spans="2:9" ht="12.75">
      <c r="B56" s="44"/>
      <c r="C56" s="44"/>
      <c r="D56" s="44"/>
      <c r="E56" s="44"/>
      <c r="F56" s="44"/>
      <c r="G56" s="46"/>
      <c r="H56" s="46"/>
      <c r="I56" s="46"/>
    </row>
    <row r="57" spans="2:9" ht="12.75">
      <c r="B57" s="45"/>
      <c r="C57" s="44"/>
      <c r="D57" s="44"/>
      <c r="E57" s="44"/>
      <c r="F57" s="44"/>
      <c r="G57" s="46"/>
      <c r="H57" s="46"/>
      <c r="I57" s="47"/>
    </row>
  </sheetData>
  <sheetProtection/>
  <mergeCells count="5">
    <mergeCell ref="B3:I3"/>
    <mergeCell ref="B4:I4"/>
    <mergeCell ref="B43:I43"/>
    <mergeCell ref="B44:I44"/>
    <mergeCell ref="B2:I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2:H44"/>
  <sheetViews>
    <sheetView zoomScalePageLayoutView="0" workbookViewId="0" topLeftCell="B1">
      <selection activeCell="L12" sqref="L12"/>
    </sheetView>
  </sheetViews>
  <sheetFormatPr defaultColWidth="9.140625" defaultRowHeight="12.75"/>
  <cols>
    <col min="1" max="1" width="4.7109375" style="0" customWidth="1"/>
    <col min="2" max="2" width="34.421875" style="0" customWidth="1"/>
    <col min="4" max="4" width="5.28125" style="0" customWidth="1"/>
    <col min="7" max="7" width="9.8515625" style="0" customWidth="1"/>
  </cols>
  <sheetData>
    <row r="2" spans="2:8" ht="15">
      <c r="B2" s="157" t="s">
        <v>450</v>
      </c>
      <c r="C2" s="157"/>
      <c r="D2" s="157"/>
      <c r="E2" s="157"/>
      <c r="F2" s="157"/>
      <c r="G2" s="157"/>
      <c r="H2" s="88"/>
    </row>
    <row r="3" spans="2:7" ht="15.75">
      <c r="B3" s="160" t="s">
        <v>337</v>
      </c>
      <c r="C3" s="160"/>
      <c r="D3" s="160"/>
      <c r="E3" s="160"/>
      <c r="F3" s="160"/>
      <c r="G3" s="160"/>
    </row>
    <row r="4" spans="2:8" ht="12.75">
      <c r="B4" s="44"/>
      <c r="C4" s="164"/>
      <c r="D4" s="164"/>
      <c r="E4" s="164"/>
      <c r="F4" s="164"/>
      <c r="G4" s="164"/>
      <c r="H4" s="164"/>
    </row>
    <row r="7" spans="2:7" ht="12.75">
      <c r="B7" s="94" t="s">
        <v>172</v>
      </c>
      <c r="C7" s="94" t="s">
        <v>289</v>
      </c>
      <c r="D7" s="94"/>
      <c r="E7" s="94" t="s">
        <v>232</v>
      </c>
      <c r="F7" s="94" t="s">
        <v>221</v>
      </c>
      <c r="G7" s="94" t="s">
        <v>86</v>
      </c>
    </row>
    <row r="8" spans="2:7" ht="12.75">
      <c r="B8" s="31" t="s">
        <v>219</v>
      </c>
      <c r="F8" s="21"/>
      <c r="G8" s="21"/>
    </row>
    <row r="9" spans="2:7" ht="12.75">
      <c r="B9" s="31" t="s">
        <v>299</v>
      </c>
      <c r="C9" s="7"/>
      <c r="F9" s="22"/>
      <c r="G9" s="22"/>
    </row>
    <row r="10" spans="2:7" ht="12.75">
      <c r="B10" s="24" t="s">
        <v>216</v>
      </c>
      <c r="C10" s="24" t="s">
        <v>154</v>
      </c>
      <c r="E10" s="15">
        <v>0</v>
      </c>
      <c r="F10" s="15">
        <v>0</v>
      </c>
      <c r="G10" s="22">
        <f aca="true" t="shared" si="0" ref="G10:G16">E10*F10</f>
        <v>0</v>
      </c>
    </row>
    <row r="11" spans="2:7" ht="12.75">
      <c r="B11" s="24" t="s">
        <v>214</v>
      </c>
      <c r="C11" s="24" t="s">
        <v>230</v>
      </c>
      <c r="E11" s="15">
        <v>0</v>
      </c>
      <c r="F11" s="15">
        <v>0</v>
      </c>
      <c r="G11" s="22">
        <f t="shared" si="0"/>
        <v>0</v>
      </c>
    </row>
    <row r="12" spans="2:7" ht="12.75">
      <c r="B12" s="24" t="s">
        <v>215</v>
      </c>
      <c r="C12" s="24" t="s">
        <v>230</v>
      </c>
      <c r="E12" s="15">
        <v>0</v>
      </c>
      <c r="F12" s="15">
        <v>0</v>
      </c>
      <c r="G12" s="22">
        <f t="shared" si="0"/>
        <v>0</v>
      </c>
    </row>
    <row r="13" spans="2:7" ht="12.75">
      <c r="B13" s="24" t="s">
        <v>212</v>
      </c>
      <c r="C13" s="24" t="s">
        <v>145</v>
      </c>
      <c r="E13" s="15">
        <v>0</v>
      </c>
      <c r="F13" s="15">
        <v>0</v>
      </c>
      <c r="G13" s="22">
        <f t="shared" si="0"/>
        <v>0</v>
      </c>
    </row>
    <row r="14" spans="2:7" ht="12.75">
      <c r="B14" s="24" t="s">
        <v>280</v>
      </c>
      <c r="C14" s="24" t="s">
        <v>153</v>
      </c>
      <c r="E14" s="15">
        <v>0</v>
      </c>
      <c r="F14" s="15">
        <v>0</v>
      </c>
      <c r="G14" s="22">
        <f t="shared" si="0"/>
        <v>0</v>
      </c>
    </row>
    <row r="15" spans="2:7" ht="12.75">
      <c r="B15" s="24" t="s">
        <v>238</v>
      </c>
      <c r="C15" s="24" t="s">
        <v>145</v>
      </c>
      <c r="E15" s="15">
        <v>0</v>
      </c>
      <c r="F15" s="15">
        <v>0</v>
      </c>
      <c r="G15" s="22">
        <f t="shared" si="0"/>
        <v>0</v>
      </c>
    </row>
    <row r="16" spans="2:7" ht="12.75">
      <c r="B16" s="24" t="s">
        <v>239</v>
      </c>
      <c r="C16" s="24" t="s">
        <v>145</v>
      </c>
      <c r="E16" s="15">
        <v>0</v>
      </c>
      <c r="F16" s="15">
        <v>0</v>
      </c>
      <c r="G16" s="22">
        <f t="shared" si="0"/>
        <v>0</v>
      </c>
    </row>
    <row r="17" spans="2:7" ht="13.5" thickBot="1">
      <c r="B17" s="97" t="s">
        <v>257</v>
      </c>
      <c r="C17" s="24"/>
      <c r="E17" s="15"/>
      <c r="F17" s="15"/>
      <c r="G17" s="56">
        <f>SUM(G10:G16)</f>
        <v>0</v>
      </c>
    </row>
    <row r="18" spans="2:7" ht="13.5" thickTop="1">
      <c r="B18" s="24"/>
      <c r="C18" s="24"/>
      <c r="E18" s="15"/>
      <c r="F18" s="15"/>
      <c r="G18" s="22"/>
    </row>
    <row r="19" spans="2:7" ht="12.75">
      <c r="B19" s="31" t="s">
        <v>204</v>
      </c>
      <c r="C19" s="31"/>
      <c r="E19" s="15"/>
      <c r="F19" s="15"/>
      <c r="G19" s="22"/>
    </row>
    <row r="20" spans="2:7" ht="12.75">
      <c r="B20" s="24" t="s">
        <v>158</v>
      </c>
      <c r="C20" s="24" t="s">
        <v>154</v>
      </c>
      <c r="E20" s="15">
        <v>0</v>
      </c>
      <c r="F20" s="15">
        <v>0</v>
      </c>
      <c r="G20" s="22">
        <f aca="true" t="shared" si="1" ref="G20:G29">E20*F20</f>
        <v>0</v>
      </c>
    </row>
    <row r="21" spans="2:7" ht="12.75">
      <c r="B21" s="24" t="s">
        <v>191</v>
      </c>
      <c r="C21" s="24" t="s">
        <v>154</v>
      </c>
      <c r="E21" s="15">
        <v>0</v>
      </c>
      <c r="F21" s="15">
        <v>0</v>
      </c>
      <c r="G21" s="22">
        <f t="shared" si="1"/>
        <v>0</v>
      </c>
    </row>
    <row r="22" spans="2:7" ht="12.75">
      <c r="B22" s="24" t="s">
        <v>143</v>
      </c>
      <c r="C22" s="24" t="s">
        <v>200</v>
      </c>
      <c r="E22" s="15">
        <v>0</v>
      </c>
      <c r="F22" s="15">
        <v>0</v>
      </c>
      <c r="G22" s="22">
        <f t="shared" si="1"/>
        <v>0</v>
      </c>
    </row>
    <row r="23" spans="2:7" ht="12.75">
      <c r="B23" s="24" t="s">
        <v>205</v>
      </c>
      <c r="C23" s="24" t="s">
        <v>226</v>
      </c>
      <c r="E23" s="15">
        <v>0</v>
      </c>
      <c r="F23" s="15">
        <v>0</v>
      </c>
      <c r="G23" s="22">
        <f t="shared" si="1"/>
        <v>0</v>
      </c>
    </row>
    <row r="24" spans="2:8" ht="12.75">
      <c r="B24" s="24" t="s">
        <v>177</v>
      </c>
      <c r="C24" s="24" t="s">
        <v>154</v>
      </c>
      <c r="E24" s="15">
        <v>0</v>
      </c>
      <c r="F24" s="15">
        <v>0</v>
      </c>
      <c r="G24" s="22">
        <f t="shared" si="1"/>
        <v>0</v>
      </c>
      <c r="H24" s="15"/>
    </row>
    <row r="25" spans="2:8" ht="12.75">
      <c r="B25" s="24" t="s">
        <v>99</v>
      </c>
      <c r="C25" s="24" t="s">
        <v>154</v>
      </c>
      <c r="E25" s="15">
        <v>0</v>
      </c>
      <c r="F25" s="15">
        <v>0</v>
      </c>
      <c r="G25" s="22">
        <f t="shared" si="1"/>
        <v>0</v>
      </c>
      <c r="H25" s="15"/>
    </row>
    <row r="26" spans="2:8" ht="12.75">
      <c r="B26" s="24" t="s">
        <v>237</v>
      </c>
      <c r="C26" s="24" t="s">
        <v>138</v>
      </c>
      <c r="E26" s="15">
        <v>0</v>
      </c>
      <c r="F26" s="15">
        <v>0</v>
      </c>
      <c r="G26" s="22">
        <f t="shared" si="1"/>
        <v>0</v>
      </c>
      <c r="H26" s="15"/>
    </row>
    <row r="27" spans="2:8" ht="12.75">
      <c r="B27" s="24" t="s">
        <v>197</v>
      </c>
      <c r="C27" s="24" t="s">
        <v>93</v>
      </c>
      <c r="E27" s="15">
        <v>0</v>
      </c>
      <c r="F27" s="15">
        <v>0</v>
      </c>
      <c r="G27" s="22">
        <f t="shared" si="1"/>
        <v>0</v>
      </c>
      <c r="H27" s="15"/>
    </row>
    <row r="28" spans="2:8" ht="12.75">
      <c r="B28" s="24" t="s">
        <v>197</v>
      </c>
      <c r="C28" s="24" t="s">
        <v>93</v>
      </c>
      <c r="E28" s="15">
        <v>0</v>
      </c>
      <c r="F28" s="15">
        <v>0</v>
      </c>
      <c r="G28" s="22">
        <f t="shared" si="1"/>
        <v>0</v>
      </c>
      <c r="H28" s="15"/>
    </row>
    <row r="29" spans="2:8" ht="12.75">
      <c r="B29" s="24" t="s">
        <v>197</v>
      </c>
      <c r="C29" s="24" t="s">
        <v>93</v>
      </c>
      <c r="E29" s="15">
        <v>0</v>
      </c>
      <c r="F29" s="15">
        <v>0</v>
      </c>
      <c r="G29" s="22">
        <f t="shared" si="1"/>
        <v>0</v>
      </c>
      <c r="H29" s="15"/>
    </row>
    <row r="30" spans="2:8" ht="13.5" thickBot="1">
      <c r="B30" s="97" t="s">
        <v>257</v>
      </c>
      <c r="C30" s="24"/>
      <c r="E30" s="15"/>
      <c r="F30" s="15"/>
      <c r="G30" s="56">
        <f>SUM(G20:G29)</f>
        <v>0</v>
      </c>
      <c r="H30" s="15"/>
    </row>
    <row r="31" spans="2:8" ht="13.5" thickTop="1">
      <c r="B31" s="24"/>
      <c r="C31" s="24"/>
      <c r="E31" s="15"/>
      <c r="F31" s="15"/>
      <c r="G31" s="22"/>
      <c r="H31" s="15"/>
    </row>
    <row r="32" spans="2:8" ht="12.75">
      <c r="B32" s="24" t="s">
        <v>125</v>
      </c>
      <c r="C32" s="24" t="s">
        <v>154</v>
      </c>
      <c r="E32" s="15">
        <v>0</v>
      </c>
      <c r="F32" s="15">
        <v>0</v>
      </c>
      <c r="G32" s="22">
        <f>E32*F32</f>
        <v>0</v>
      </c>
      <c r="H32" s="15"/>
    </row>
    <row r="33" spans="2:7" ht="12.75">
      <c r="B33" s="24" t="s">
        <v>210</v>
      </c>
      <c r="C33" s="24" t="s">
        <v>154</v>
      </c>
      <c r="E33" s="15">
        <v>0</v>
      </c>
      <c r="F33" s="15">
        <v>0</v>
      </c>
      <c r="G33" s="22">
        <f>E33*F33</f>
        <v>0</v>
      </c>
    </row>
    <row r="34" spans="2:7" ht="12.75">
      <c r="B34" s="24" t="s">
        <v>282</v>
      </c>
      <c r="C34" s="24" t="s">
        <v>153</v>
      </c>
      <c r="E34" s="15">
        <v>0</v>
      </c>
      <c r="F34" s="15">
        <v>0</v>
      </c>
      <c r="G34" s="22">
        <f>E34*F34</f>
        <v>0</v>
      </c>
    </row>
    <row r="35" spans="2:7" ht="12.75">
      <c r="B35" s="24"/>
      <c r="E35" s="15"/>
      <c r="F35" s="15"/>
      <c r="G35" s="23"/>
    </row>
    <row r="36" spans="2:7" ht="12.75">
      <c r="B36" s="24"/>
      <c r="E36" s="15"/>
      <c r="F36" s="15"/>
      <c r="G36" s="22"/>
    </row>
    <row r="37" spans="2:7" ht="13.5" thickBot="1">
      <c r="B37" s="95" t="s">
        <v>257</v>
      </c>
      <c r="E37" s="15"/>
      <c r="F37" s="15"/>
      <c r="G37" s="56">
        <f>G17+G30+G35</f>
        <v>0</v>
      </c>
    </row>
    <row r="38" ht="13.5" thickTop="1">
      <c r="G38" s="10"/>
    </row>
    <row r="42" spans="2:8" ht="12.75">
      <c r="B42" s="74"/>
      <c r="C42" s="74"/>
      <c r="D42" s="74"/>
      <c r="E42" s="74"/>
      <c r="F42" s="74"/>
      <c r="G42" s="74"/>
      <c r="H42" s="74"/>
    </row>
    <row r="43" spans="2:8" ht="12.75">
      <c r="B43" s="159"/>
      <c r="C43" s="159"/>
      <c r="D43" s="159"/>
      <c r="E43" s="159"/>
      <c r="F43" s="159"/>
      <c r="G43" s="159"/>
      <c r="H43" s="159"/>
    </row>
    <row r="44" spans="1:8" ht="12.75">
      <c r="A44" t="s">
        <v>68</v>
      </c>
      <c r="B44" s="159"/>
      <c r="C44" s="159"/>
      <c r="D44" s="159"/>
      <c r="E44" s="159"/>
      <c r="F44" s="159"/>
      <c r="G44" s="159"/>
      <c r="H44" s="159"/>
    </row>
  </sheetData>
  <sheetProtection/>
  <mergeCells count="5">
    <mergeCell ref="C4:H4"/>
    <mergeCell ref="B43:H43"/>
    <mergeCell ref="B44:H44"/>
    <mergeCell ref="B2:G2"/>
    <mergeCell ref="B3:G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3:K59"/>
  <sheetViews>
    <sheetView zoomScalePageLayoutView="0" workbookViewId="0" topLeftCell="A1">
      <selection activeCell="N28" sqref="N28"/>
    </sheetView>
  </sheetViews>
  <sheetFormatPr defaultColWidth="9.140625" defaultRowHeight="12.75"/>
  <cols>
    <col min="1" max="1" width="4.140625" style="0" customWidth="1"/>
    <col min="3" max="3" width="5.421875" style="0" customWidth="1"/>
    <col min="4" max="4" width="10.28125" style="0" customWidth="1"/>
    <col min="5" max="5" width="6.7109375" style="0" customWidth="1"/>
    <col min="6" max="6" width="7.57421875" style="0" customWidth="1"/>
    <col min="7" max="7" width="6.7109375" style="0" customWidth="1"/>
    <col min="8" max="8" width="7.57421875" style="0" customWidth="1"/>
    <col min="9" max="9" width="14.57421875" style="0" customWidth="1"/>
    <col min="10" max="10" width="9.421875" style="0" customWidth="1"/>
  </cols>
  <sheetData>
    <row r="3" spans="2:11" ht="15.75">
      <c r="B3" s="166" t="s">
        <v>451</v>
      </c>
      <c r="C3" s="166"/>
      <c r="D3" s="166"/>
      <c r="E3" s="166"/>
      <c r="F3" s="166"/>
      <c r="G3" s="166"/>
      <c r="H3" s="166"/>
      <c r="I3" s="166"/>
      <c r="J3" s="166"/>
      <c r="K3" s="166"/>
    </row>
    <row r="4" spans="2:11" ht="15.75">
      <c r="B4" s="160" t="s">
        <v>337</v>
      </c>
      <c r="C4" s="160"/>
      <c r="D4" s="160"/>
      <c r="E4" s="160"/>
      <c r="F4" s="160"/>
      <c r="G4" s="160"/>
      <c r="H4" s="160"/>
      <c r="I4" s="160"/>
      <c r="J4" s="160"/>
      <c r="K4" s="160"/>
    </row>
    <row r="5" spans="4:11" ht="12.75">
      <c r="D5" s="5"/>
      <c r="E5" s="5"/>
      <c r="F5" s="5"/>
      <c r="G5" s="5"/>
      <c r="H5" s="5"/>
      <c r="I5" s="5"/>
      <c r="J5" s="5"/>
      <c r="K5" s="5"/>
    </row>
    <row r="6" spans="2:11" ht="12.75">
      <c r="B6" s="165" t="s">
        <v>57</v>
      </c>
      <c r="C6" s="48"/>
      <c r="D6" s="90" t="s">
        <v>121</v>
      </c>
      <c r="E6" s="90" t="s">
        <v>133</v>
      </c>
      <c r="F6" s="91" t="s">
        <v>133</v>
      </c>
      <c r="G6" s="90" t="s">
        <v>82</v>
      </c>
      <c r="H6" s="90" t="s">
        <v>193</v>
      </c>
      <c r="I6" s="90" t="s">
        <v>140</v>
      </c>
      <c r="J6" s="90" t="s">
        <v>180</v>
      </c>
      <c r="K6" s="90" t="s">
        <v>173</v>
      </c>
    </row>
    <row r="7" spans="2:11" ht="12.75">
      <c r="B7" s="165"/>
      <c r="C7" s="48"/>
      <c r="D7" s="90" t="s">
        <v>302</v>
      </c>
      <c r="E7" s="90" t="s">
        <v>245</v>
      </c>
      <c r="F7" s="91" t="s">
        <v>119</v>
      </c>
      <c r="G7" s="90" t="s">
        <v>201</v>
      </c>
      <c r="H7" s="90" t="s">
        <v>255</v>
      </c>
      <c r="I7" s="90" t="s">
        <v>290</v>
      </c>
      <c r="J7" s="90" t="s">
        <v>233</v>
      </c>
      <c r="K7" s="90" t="s">
        <v>290</v>
      </c>
    </row>
    <row r="8" spans="2:11" ht="12.75">
      <c r="B8" s="165"/>
      <c r="C8" s="48"/>
      <c r="D8" s="90" t="s">
        <v>62</v>
      </c>
      <c r="E8" s="90" t="s">
        <v>65</v>
      </c>
      <c r="F8" s="91" t="s">
        <v>60</v>
      </c>
      <c r="G8" s="90" t="s">
        <v>152</v>
      </c>
      <c r="H8" s="90" t="s">
        <v>198</v>
      </c>
      <c r="I8" s="90" t="s">
        <v>63</v>
      </c>
      <c r="J8" s="90" t="s">
        <v>61</v>
      </c>
      <c r="K8" s="90" t="s">
        <v>64</v>
      </c>
    </row>
    <row r="9" spans="4:11" ht="12.75">
      <c r="D9" s="5"/>
      <c r="E9" s="5"/>
      <c r="F9" s="5"/>
      <c r="G9" s="5"/>
      <c r="H9" s="5"/>
      <c r="I9" s="5"/>
      <c r="J9" s="5"/>
      <c r="K9" s="5"/>
    </row>
    <row r="10" spans="2:11" ht="12.75">
      <c r="B10" s="31" t="s">
        <v>217</v>
      </c>
      <c r="C10" s="24"/>
      <c r="D10" s="5"/>
      <c r="E10" s="5"/>
      <c r="F10" s="5"/>
      <c r="G10" s="5"/>
      <c r="H10" s="5"/>
      <c r="I10" s="5"/>
      <c r="J10" s="5"/>
      <c r="K10" s="5"/>
    </row>
    <row r="11" spans="2:11" ht="12.75">
      <c r="B11" s="54" t="s">
        <v>246</v>
      </c>
      <c r="C11" s="24"/>
      <c r="D11" s="5"/>
      <c r="E11" s="5"/>
      <c r="F11" s="5"/>
      <c r="G11" s="5" t="s">
        <v>0</v>
      </c>
      <c r="H11" s="9" t="s">
        <v>0</v>
      </c>
      <c r="I11" s="5"/>
      <c r="J11" s="5" t="s">
        <v>0</v>
      </c>
      <c r="K11" s="5" t="s">
        <v>0</v>
      </c>
    </row>
    <row r="12" spans="2:11" ht="12.75">
      <c r="B12" s="54" t="s">
        <v>355</v>
      </c>
      <c r="C12" s="24"/>
      <c r="D12" s="5">
        <v>20</v>
      </c>
      <c r="E12" s="5">
        <v>3</v>
      </c>
      <c r="F12" s="9">
        <v>70</v>
      </c>
      <c r="G12" s="5">
        <f>(D12*E12*(F12/100))/8.25</f>
        <v>5.090909090909091</v>
      </c>
      <c r="H12" s="9">
        <v>2</v>
      </c>
      <c r="I12" s="5">
        <f>(H12*(1/G12))*0.05*75</f>
        <v>1.4732142857142856</v>
      </c>
      <c r="J12" s="5">
        <f>(F42+F33)*(1/G12*H12)</f>
        <v>1.7188285714285712</v>
      </c>
      <c r="K12" s="5">
        <f>H12*(1/G12)*1.2</f>
        <v>0.4714285714285714</v>
      </c>
    </row>
    <row r="13" spans="2:11" ht="12.75">
      <c r="B13" s="54" t="s">
        <v>85</v>
      </c>
      <c r="C13" s="24"/>
      <c r="D13" s="5">
        <v>40</v>
      </c>
      <c r="E13" s="5">
        <v>2.5</v>
      </c>
      <c r="F13" s="9">
        <v>65</v>
      </c>
      <c r="G13" s="5">
        <f>(D13*E13*(F13/100))/8.25</f>
        <v>7.878787878787879</v>
      </c>
      <c r="H13" s="9">
        <v>12</v>
      </c>
      <c r="I13" s="5">
        <f>(H13*(1/G13))*0.05*325</f>
        <v>24.75</v>
      </c>
      <c r="J13" s="5">
        <f>(F43+F34)*(1/G13*H13)</f>
        <v>35.434384615384616</v>
      </c>
      <c r="K13" s="5">
        <f>H13*(1/G13)*1.2</f>
        <v>1.8276923076923075</v>
      </c>
    </row>
    <row r="14" spans="2:11" ht="12.75">
      <c r="B14" s="54" t="s">
        <v>356</v>
      </c>
      <c r="C14" s="24"/>
      <c r="D14" s="5">
        <v>15</v>
      </c>
      <c r="E14" s="5">
        <v>6</v>
      </c>
      <c r="F14" s="9">
        <v>95</v>
      </c>
      <c r="G14" s="5">
        <f>(D14*E14*(F14/100))/8.25</f>
        <v>10.363636363636363</v>
      </c>
      <c r="H14" s="9">
        <v>10</v>
      </c>
      <c r="I14" s="5">
        <f>(H14*(1/G14))*0.05*125</f>
        <v>6.030701754385967</v>
      </c>
      <c r="J14" s="5">
        <f>(F43+F35)*(1/G14*H14)</f>
        <v>4.144298245614036</v>
      </c>
      <c r="K14" s="5">
        <f>H14*(1/G14)*1.2</f>
        <v>1.1578947368421053</v>
      </c>
    </row>
    <row r="15" spans="2:3" ht="12.75">
      <c r="B15" s="24"/>
      <c r="C15" s="24"/>
    </row>
    <row r="16" spans="2:11" ht="12.75">
      <c r="B16" s="98" t="s">
        <v>275</v>
      </c>
      <c r="C16" s="24"/>
      <c r="D16" s="5"/>
      <c r="F16" s="5"/>
      <c r="G16" s="5"/>
      <c r="H16" s="5"/>
      <c r="I16" s="8">
        <f>SUM(I12:I15)</f>
        <v>32.25391604010025</v>
      </c>
      <c r="J16" s="8">
        <f>SUM(J12:J15)</f>
        <v>41.29751143242723</v>
      </c>
      <c r="K16" s="8">
        <f>SUM(K12:K15)</f>
        <v>3.4570156159629843</v>
      </c>
    </row>
    <row r="17" spans="2:11" ht="12.75">
      <c r="B17" s="34"/>
      <c r="C17" s="24"/>
      <c r="D17" s="5"/>
      <c r="E17" s="5"/>
      <c r="F17" s="5"/>
      <c r="G17" s="5"/>
      <c r="H17" s="5"/>
      <c r="I17" s="5"/>
      <c r="J17" s="5"/>
      <c r="K17" s="5"/>
    </row>
    <row r="18" spans="2:11" ht="12.75">
      <c r="B18" s="95" t="s">
        <v>148</v>
      </c>
      <c r="C18" s="24"/>
      <c r="D18" s="5"/>
      <c r="E18" s="5"/>
      <c r="F18" s="5"/>
      <c r="G18" s="5"/>
      <c r="H18" s="5"/>
      <c r="I18" s="5"/>
      <c r="J18" s="5"/>
      <c r="K18" s="5"/>
    </row>
    <row r="19" spans="2:11" ht="12.75">
      <c r="B19" s="100" t="s">
        <v>357</v>
      </c>
      <c r="C19" s="24"/>
      <c r="D19" s="9">
        <v>40</v>
      </c>
      <c r="E19" s="5">
        <v>1</v>
      </c>
      <c r="F19" s="9">
        <v>90</v>
      </c>
      <c r="G19" s="5">
        <f>(D19*E19*(F19/100))/8.25</f>
        <v>4.363636363636363</v>
      </c>
      <c r="H19" s="9">
        <v>3</v>
      </c>
      <c r="I19" s="5">
        <f>(H19*(1/G19))*0.05*90</f>
        <v>3.0937500000000004</v>
      </c>
      <c r="J19" s="5">
        <f>(H61+F44)*(1/G19*H19)</f>
        <v>5.5</v>
      </c>
      <c r="K19" s="5">
        <f>H19*(1/G19)*1.2</f>
        <v>0.825</v>
      </c>
    </row>
    <row r="20" spans="2:11" ht="12.75">
      <c r="B20" s="54" t="s">
        <v>358</v>
      </c>
      <c r="C20" s="24"/>
      <c r="D20" s="11">
        <v>10</v>
      </c>
      <c r="E20" s="5">
        <v>3</v>
      </c>
      <c r="F20" s="11">
        <v>90</v>
      </c>
      <c r="G20" s="5">
        <f>(D20*E20*(F20/100))/8.25</f>
        <v>3.272727272727273</v>
      </c>
      <c r="H20" s="9">
        <v>3</v>
      </c>
      <c r="I20" s="5">
        <f>(H20*(1/G20))*0.05*75</f>
        <v>3.4374999999999996</v>
      </c>
      <c r="J20" s="5">
        <f>(F38+F42)*(1/G20*H20)</f>
        <v>9.366224999999998</v>
      </c>
      <c r="K20" s="5">
        <f>H20*(1/G20)*1.2</f>
        <v>1.0999999999999999</v>
      </c>
    </row>
    <row r="21" spans="2:11" ht="12.75">
      <c r="B21" s="54" t="s">
        <v>148</v>
      </c>
      <c r="C21" s="24"/>
      <c r="D21" s="11">
        <v>10</v>
      </c>
      <c r="E21" s="5">
        <v>2</v>
      </c>
      <c r="F21" s="11">
        <v>80</v>
      </c>
      <c r="G21" s="5">
        <v>7</v>
      </c>
      <c r="H21" s="9">
        <v>3</v>
      </c>
      <c r="I21" s="5">
        <f>(H21*(1/G21))*0.05*125</f>
        <v>2.6785714285714284</v>
      </c>
      <c r="J21" s="5">
        <f>(F39+F43)*(1/G21*H21)</f>
        <v>4.894285714285714</v>
      </c>
      <c r="K21" s="5">
        <f>H21*(1/G21)*1.2</f>
        <v>0.5142857142857142</v>
      </c>
    </row>
    <row r="22" spans="2:11" ht="12.75">
      <c r="B22" s="54" t="s">
        <v>359</v>
      </c>
      <c r="C22" s="24"/>
      <c r="H22" s="9"/>
      <c r="I22" s="5">
        <v>5</v>
      </c>
      <c r="J22" s="5">
        <v>0.5</v>
      </c>
      <c r="K22" s="5">
        <v>1</v>
      </c>
    </row>
    <row r="23" spans="2:11" ht="12.75">
      <c r="B23" s="98" t="s">
        <v>268</v>
      </c>
      <c r="C23" s="24"/>
      <c r="I23" s="8">
        <f>SUM(I19:I22)</f>
        <v>14.209821428571429</v>
      </c>
      <c r="J23" s="8">
        <f>SUM(J19:J22)</f>
        <v>20.26051071428571</v>
      </c>
      <c r="K23" s="8">
        <f>SUM(K19:K22)</f>
        <v>3.439285714285714</v>
      </c>
    </row>
    <row r="30" spans="2:7" ht="12.75">
      <c r="B30" s="34"/>
      <c r="C30" s="34"/>
      <c r="D30" s="34" t="s">
        <v>109</v>
      </c>
      <c r="E30" s="34"/>
      <c r="F30" s="34" t="s">
        <v>241</v>
      </c>
      <c r="G30" s="34" t="s">
        <v>141</v>
      </c>
    </row>
    <row r="31" spans="2:7" ht="12.75">
      <c r="B31" s="34"/>
      <c r="C31" s="34"/>
      <c r="D31" s="34"/>
      <c r="E31" s="34"/>
      <c r="F31" s="34"/>
      <c r="G31" s="34"/>
    </row>
    <row r="32" spans="2:7" ht="12.75">
      <c r="B32" s="34" t="s">
        <v>116</v>
      </c>
      <c r="C32" s="35"/>
      <c r="D32" s="35">
        <v>600</v>
      </c>
      <c r="E32" s="15">
        <v>0.33</v>
      </c>
      <c r="F32" s="15">
        <f aca="true" t="shared" si="0" ref="F32:F44">D32/1000*E32</f>
        <v>0.198</v>
      </c>
      <c r="G32" s="15">
        <f aca="true" t="shared" si="1" ref="G32:G43">C32*0.05</f>
        <v>0</v>
      </c>
    </row>
    <row r="33" spans="2:7" ht="12.75">
      <c r="B33" s="34" t="s">
        <v>246</v>
      </c>
      <c r="C33" s="35">
        <v>200</v>
      </c>
      <c r="D33" s="35">
        <v>400</v>
      </c>
      <c r="E33" s="15">
        <v>0.75</v>
      </c>
      <c r="F33" s="15">
        <f t="shared" si="0"/>
        <v>0.30000000000000004</v>
      </c>
      <c r="G33" s="15">
        <f t="shared" si="1"/>
        <v>10</v>
      </c>
    </row>
    <row r="34" spans="2:7" ht="12.75">
      <c r="B34" s="34" t="s">
        <v>85</v>
      </c>
      <c r="C34" s="35"/>
      <c r="D34" s="35">
        <v>56700</v>
      </c>
      <c r="E34" s="15">
        <v>0.35000000000000003</v>
      </c>
      <c r="F34" s="15">
        <f t="shared" si="0"/>
        <v>19.845000000000002</v>
      </c>
      <c r="G34" s="15">
        <f t="shared" si="1"/>
        <v>0</v>
      </c>
    </row>
    <row r="35" spans="2:7" ht="12.75">
      <c r="B35" s="34" t="s">
        <v>190</v>
      </c>
      <c r="C35" s="35"/>
      <c r="D35" s="35">
        <v>3500</v>
      </c>
      <c r="E35" s="15">
        <v>0.25</v>
      </c>
      <c r="F35" s="15">
        <f t="shared" si="0"/>
        <v>0.875</v>
      </c>
      <c r="G35" s="15">
        <f t="shared" si="1"/>
        <v>0</v>
      </c>
    </row>
    <row r="36" spans="1:7" ht="12.75">
      <c r="A36" t="s">
        <v>68</v>
      </c>
      <c r="B36" s="24" t="s">
        <v>243</v>
      </c>
      <c r="C36" s="35">
        <v>90</v>
      </c>
      <c r="D36" s="35">
        <v>95000</v>
      </c>
      <c r="E36" s="21">
        <v>0.6</v>
      </c>
      <c r="F36" s="15">
        <f t="shared" si="0"/>
        <v>57</v>
      </c>
      <c r="G36" s="15">
        <f t="shared" si="1"/>
        <v>4.5</v>
      </c>
    </row>
    <row r="37" spans="2:7" ht="12.75">
      <c r="B37" s="24"/>
      <c r="C37" s="35"/>
      <c r="D37" s="21"/>
      <c r="E37" s="21"/>
      <c r="F37" s="15">
        <f t="shared" si="0"/>
        <v>0</v>
      </c>
      <c r="G37" s="15">
        <f t="shared" si="1"/>
        <v>0</v>
      </c>
    </row>
    <row r="38" spans="2:7" ht="12.75">
      <c r="B38" s="24" t="s">
        <v>248</v>
      </c>
      <c r="C38" s="35"/>
      <c r="D38" s="21">
        <v>15750</v>
      </c>
      <c r="E38" s="21">
        <v>0.39</v>
      </c>
      <c r="F38" s="15">
        <f t="shared" si="0"/>
        <v>6.1425</v>
      </c>
      <c r="G38" s="15">
        <f t="shared" si="1"/>
        <v>0</v>
      </c>
    </row>
    <row r="39" spans="2:7" ht="12.75">
      <c r="B39" s="24" t="s">
        <v>149</v>
      </c>
      <c r="C39" s="35"/>
      <c r="D39" s="21">
        <v>32000</v>
      </c>
      <c r="E39" s="21">
        <v>0.25</v>
      </c>
      <c r="F39" s="15">
        <f t="shared" si="0"/>
        <v>8</v>
      </c>
      <c r="G39" s="15">
        <f t="shared" si="1"/>
        <v>0</v>
      </c>
    </row>
    <row r="40" spans="2:7" ht="12.75">
      <c r="B40" s="24" t="s">
        <v>296</v>
      </c>
      <c r="C40" s="35"/>
      <c r="D40" s="21">
        <v>2500</v>
      </c>
      <c r="E40" s="21"/>
      <c r="F40" s="15">
        <f t="shared" si="0"/>
        <v>0</v>
      </c>
      <c r="G40" s="15">
        <f t="shared" si="1"/>
        <v>0</v>
      </c>
    </row>
    <row r="41" spans="2:7" ht="12.75">
      <c r="B41" s="34" t="s">
        <v>118</v>
      </c>
      <c r="C41" s="35"/>
      <c r="D41" s="35">
        <v>10000</v>
      </c>
      <c r="E41" s="15">
        <v>0.1</v>
      </c>
      <c r="F41" s="15">
        <f t="shared" si="0"/>
        <v>1</v>
      </c>
      <c r="G41" s="15">
        <f t="shared" si="1"/>
        <v>0</v>
      </c>
    </row>
    <row r="42" spans="2:7" ht="12.75">
      <c r="B42" s="34" t="s">
        <v>285</v>
      </c>
      <c r="C42" s="35">
        <v>75</v>
      </c>
      <c r="D42" s="35">
        <v>67920</v>
      </c>
      <c r="E42" s="15">
        <v>0.06</v>
      </c>
      <c r="F42" s="15">
        <f t="shared" si="0"/>
        <v>4.0752</v>
      </c>
      <c r="G42" s="15">
        <f t="shared" si="1"/>
        <v>3.75</v>
      </c>
    </row>
    <row r="43" spans="2:7" ht="12.75">
      <c r="B43" s="34" t="s">
        <v>286</v>
      </c>
      <c r="C43" s="35">
        <v>125</v>
      </c>
      <c r="D43" s="35">
        <v>57000</v>
      </c>
      <c r="E43" s="15">
        <v>0.06</v>
      </c>
      <c r="F43" s="15">
        <f t="shared" si="0"/>
        <v>3.42</v>
      </c>
      <c r="G43" s="15">
        <f t="shared" si="1"/>
        <v>6.25</v>
      </c>
    </row>
    <row r="44" spans="2:7" ht="12.75">
      <c r="B44" s="24" t="s">
        <v>287</v>
      </c>
      <c r="C44" s="35">
        <v>200</v>
      </c>
      <c r="D44" s="21">
        <v>20000</v>
      </c>
      <c r="E44" s="15">
        <v>0.4</v>
      </c>
      <c r="F44" s="15">
        <f t="shared" si="0"/>
        <v>8</v>
      </c>
      <c r="G44" s="15">
        <v>5.1</v>
      </c>
    </row>
    <row r="58" spans="5:6" ht="12.75">
      <c r="E58" s="3"/>
      <c r="F58" s="11"/>
    </row>
    <row r="59" ht="12.75">
      <c r="F59" s="11"/>
    </row>
  </sheetData>
  <sheetProtection/>
  <mergeCells count="3">
    <mergeCell ref="B6:B8"/>
    <mergeCell ref="B3:K3"/>
    <mergeCell ref="B4:K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4:IU40"/>
  <sheetViews>
    <sheetView workbookViewId="0" topLeftCell="A1">
      <selection activeCell="B35" sqref="B35"/>
    </sheetView>
  </sheetViews>
  <sheetFormatPr defaultColWidth="9.140625" defaultRowHeight="12.75"/>
  <cols>
    <col min="1" max="1" width="1.421875" style="0" customWidth="1"/>
    <col min="2" max="2" width="27.00390625" style="0" customWidth="1"/>
    <col min="3" max="3" width="1.421875" style="0" customWidth="1"/>
    <col min="4" max="4" width="9.421875" style="0" customWidth="1"/>
    <col min="5" max="5" width="9.8515625" style="0" customWidth="1"/>
    <col min="6" max="6" width="8.140625" style="0" customWidth="1"/>
    <col min="7" max="7" width="5.421875" style="0" customWidth="1"/>
    <col min="8" max="8" width="6.28125" style="0" customWidth="1"/>
    <col min="9" max="9" width="6.7109375" style="0" customWidth="1"/>
    <col min="10" max="10" width="7.57421875" style="0" customWidth="1"/>
    <col min="11" max="11" width="7.7109375" style="4" customWidth="1"/>
  </cols>
  <sheetData>
    <row r="2" ht="15" customHeight="1"/>
    <row r="4" spans="2:11" ht="15.75">
      <c r="B4" s="166" t="s">
        <v>436</v>
      </c>
      <c r="C4" s="166"/>
      <c r="D4" s="166"/>
      <c r="E4" s="166"/>
      <c r="F4" s="166"/>
      <c r="G4" s="166"/>
      <c r="H4" s="166"/>
      <c r="I4" s="166"/>
      <c r="J4" s="166"/>
      <c r="K4" s="166"/>
    </row>
    <row r="5" spans="1:11" ht="15.75">
      <c r="A5" s="40"/>
      <c r="B5" s="162" t="s">
        <v>437</v>
      </c>
      <c r="C5" s="162"/>
      <c r="D5" s="162"/>
      <c r="E5" s="162"/>
      <c r="F5" s="162"/>
      <c r="G5" s="162"/>
      <c r="H5" s="162"/>
      <c r="I5" s="162"/>
      <c r="J5" s="162"/>
      <c r="K5" s="162"/>
    </row>
    <row r="6" ht="12.75">
      <c r="A6" s="40"/>
    </row>
    <row r="7" ht="12.75">
      <c r="A7" s="40"/>
    </row>
    <row r="8" spans="1:4" ht="12.75">
      <c r="A8" s="40"/>
      <c r="B8" t="s">
        <v>82</v>
      </c>
      <c r="D8" s="48">
        <v>10</v>
      </c>
    </row>
    <row r="9" spans="1:11" ht="12.75">
      <c r="A9" s="40"/>
      <c r="B9" t="s">
        <v>164</v>
      </c>
      <c r="D9" s="48">
        <v>0.065</v>
      </c>
      <c r="G9" s="40"/>
      <c r="H9" s="40"/>
      <c r="I9" s="40"/>
      <c r="J9" s="40"/>
      <c r="K9" s="72"/>
    </row>
    <row r="10" ht="12.75">
      <c r="A10" s="40"/>
    </row>
    <row r="11" ht="12.75">
      <c r="A11" s="40"/>
    </row>
    <row r="12" ht="12.75">
      <c r="A12" s="40"/>
    </row>
    <row r="13" spans="1:11" ht="12.75">
      <c r="A13" s="40"/>
      <c r="B13" s="42"/>
      <c r="C13" s="42"/>
      <c r="D13" s="90" t="s">
        <v>202</v>
      </c>
      <c r="E13" s="91" t="s">
        <v>0</v>
      </c>
      <c r="F13" s="42"/>
      <c r="G13" s="42"/>
      <c r="H13" s="42"/>
      <c r="I13" s="42"/>
      <c r="J13" s="42"/>
      <c r="K13" s="90"/>
    </row>
    <row r="14" spans="1:11" ht="12.75">
      <c r="A14" s="40"/>
      <c r="B14" s="42"/>
      <c r="C14" s="42"/>
      <c r="D14" s="90" t="s">
        <v>291</v>
      </c>
      <c r="E14" s="91" t="s">
        <v>0</v>
      </c>
      <c r="F14" s="42"/>
      <c r="G14" s="42"/>
      <c r="H14" s="42"/>
      <c r="I14" s="42"/>
      <c r="J14" s="42"/>
      <c r="K14" s="90"/>
    </row>
    <row r="15" spans="1:11" ht="12.75">
      <c r="A15" s="40"/>
      <c r="B15" s="42"/>
      <c r="C15" s="42"/>
      <c r="D15" s="90" t="s">
        <v>139</v>
      </c>
      <c r="E15" s="91" t="s">
        <v>229</v>
      </c>
      <c r="F15" s="90" t="s">
        <v>242</v>
      </c>
      <c r="G15" s="90" t="s">
        <v>311</v>
      </c>
      <c r="H15" s="42"/>
      <c r="I15" s="42"/>
      <c r="J15" s="42" t="s">
        <v>360</v>
      </c>
      <c r="K15" s="90"/>
    </row>
    <row r="16" spans="1:11" ht="12.75">
      <c r="A16" s="40"/>
      <c r="B16" s="90" t="s">
        <v>56</v>
      </c>
      <c r="C16" s="42"/>
      <c r="D16" s="90" t="s">
        <v>110</v>
      </c>
      <c r="E16" s="91" t="s">
        <v>221</v>
      </c>
      <c r="F16" s="90" t="s">
        <v>292</v>
      </c>
      <c r="G16" s="90" t="s">
        <v>179</v>
      </c>
      <c r="H16" s="90" t="s">
        <v>113</v>
      </c>
      <c r="I16" s="90" t="s">
        <v>163</v>
      </c>
      <c r="J16" s="90" t="s">
        <v>361</v>
      </c>
      <c r="K16" s="90" t="s">
        <v>124</v>
      </c>
    </row>
    <row r="17" spans="1:11" ht="12.75">
      <c r="A17" s="40"/>
      <c r="B17" s="41"/>
      <c r="C17" s="41"/>
      <c r="D17" s="41"/>
      <c r="E17" s="123"/>
      <c r="F17" s="123"/>
      <c r="G17" s="123"/>
      <c r="H17" s="123"/>
      <c r="I17" s="123"/>
      <c r="J17" s="123"/>
      <c r="K17" s="116"/>
    </row>
    <row r="18" spans="1:255" ht="12.75">
      <c r="A18" s="71"/>
      <c r="B18" s="54" t="s">
        <v>430</v>
      </c>
      <c r="C18" s="41"/>
      <c r="D18" s="129">
        <v>1</v>
      </c>
      <c r="E18" s="130">
        <v>700</v>
      </c>
      <c r="F18" s="130">
        <f aca="true" t="shared" si="0" ref="F18:F28">E18*0.2</f>
        <v>140</v>
      </c>
      <c r="G18" s="130">
        <v>5</v>
      </c>
      <c r="H18" s="130">
        <f aca="true" t="shared" si="1" ref="H18:H28">(E18-F18)/G18*D18</f>
        <v>112</v>
      </c>
      <c r="I18" s="130">
        <f aca="true" t="shared" si="2" ref="I18:I28">(E18+F18)/2*D$9*D18</f>
        <v>27.3</v>
      </c>
      <c r="J18" s="130">
        <f aca="true" t="shared" si="3" ref="J18:J28">(E18+F18)/2*0.014*D18</f>
        <v>5.88</v>
      </c>
      <c r="K18" s="116">
        <f aca="true" t="shared" si="4" ref="K18:K28">(H18+I18+J18)/$D$8</f>
        <v>14.518</v>
      </c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</row>
    <row r="19" spans="1:11" ht="12.75">
      <c r="A19" s="40"/>
      <c r="B19" s="54" t="s">
        <v>431</v>
      </c>
      <c r="C19" s="41"/>
      <c r="D19" s="129">
        <v>1</v>
      </c>
      <c r="E19" s="130">
        <v>4000</v>
      </c>
      <c r="F19" s="130">
        <f t="shared" si="0"/>
        <v>800</v>
      </c>
      <c r="G19" s="130">
        <v>8</v>
      </c>
      <c r="H19" s="130">
        <f t="shared" si="1"/>
        <v>400</v>
      </c>
      <c r="I19" s="130">
        <f t="shared" si="2"/>
        <v>156</v>
      </c>
      <c r="J19" s="130">
        <f t="shared" si="3"/>
        <v>33.6</v>
      </c>
      <c r="K19" s="116">
        <f t="shared" si="4"/>
        <v>58.96</v>
      </c>
    </row>
    <row r="20" spans="1:11" ht="12.75">
      <c r="A20" s="40"/>
      <c r="B20" s="54" t="s">
        <v>432</v>
      </c>
      <c r="D20" s="13">
        <v>0.75</v>
      </c>
      <c r="E20" s="35">
        <v>4000</v>
      </c>
      <c r="F20" s="35">
        <f t="shared" si="0"/>
        <v>800</v>
      </c>
      <c r="G20" s="35">
        <v>10</v>
      </c>
      <c r="H20" s="35">
        <f t="shared" si="1"/>
        <v>240</v>
      </c>
      <c r="I20" s="35">
        <f t="shared" si="2"/>
        <v>117</v>
      </c>
      <c r="J20" s="35">
        <f t="shared" si="3"/>
        <v>25.200000000000003</v>
      </c>
      <c r="K20" s="15">
        <f t="shared" si="4"/>
        <v>38.22</v>
      </c>
    </row>
    <row r="21" spans="1:12" ht="12.75">
      <c r="A21" s="40"/>
      <c r="B21" s="100" t="s">
        <v>425</v>
      </c>
      <c r="C21" s="131"/>
      <c r="D21" s="129">
        <v>1</v>
      </c>
      <c r="E21" s="130">
        <v>42000</v>
      </c>
      <c r="F21" s="130">
        <f t="shared" si="0"/>
        <v>8400</v>
      </c>
      <c r="G21" s="130">
        <v>15</v>
      </c>
      <c r="H21" s="130">
        <f t="shared" si="1"/>
        <v>2240</v>
      </c>
      <c r="I21" s="130">
        <f t="shared" si="2"/>
        <v>1638</v>
      </c>
      <c r="J21" s="130">
        <f t="shared" si="3"/>
        <v>352.8</v>
      </c>
      <c r="K21" s="116">
        <f t="shared" si="4"/>
        <v>423.08000000000004</v>
      </c>
      <c r="L21" s="41"/>
    </row>
    <row r="22" spans="1:12" ht="12.75">
      <c r="A22" s="40"/>
      <c r="B22" s="100" t="s">
        <v>426</v>
      </c>
      <c r="C22" s="131"/>
      <c r="D22" s="129">
        <v>0.75</v>
      </c>
      <c r="E22" s="130">
        <v>14000</v>
      </c>
      <c r="F22" s="130">
        <f t="shared" si="0"/>
        <v>2800</v>
      </c>
      <c r="G22" s="130">
        <v>15</v>
      </c>
      <c r="H22" s="130">
        <f t="shared" si="1"/>
        <v>560</v>
      </c>
      <c r="I22" s="130">
        <f t="shared" si="2"/>
        <v>409.5</v>
      </c>
      <c r="J22" s="130">
        <f t="shared" si="3"/>
        <v>88.2</v>
      </c>
      <c r="K22" s="116">
        <f t="shared" si="4"/>
        <v>105.77000000000001</v>
      </c>
      <c r="L22" s="41"/>
    </row>
    <row r="23" spans="1:11" ht="12.75">
      <c r="A23" s="40"/>
      <c r="B23" s="100" t="s">
        <v>427</v>
      </c>
      <c r="C23" s="131"/>
      <c r="D23" s="129">
        <v>1</v>
      </c>
      <c r="E23" s="130">
        <v>4000</v>
      </c>
      <c r="F23" s="130">
        <f t="shared" si="0"/>
        <v>800</v>
      </c>
      <c r="G23" s="130">
        <v>10</v>
      </c>
      <c r="H23" s="130">
        <f t="shared" si="1"/>
        <v>320</v>
      </c>
      <c r="I23" s="130">
        <f t="shared" si="2"/>
        <v>156</v>
      </c>
      <c r="J23" s="130">
        <f t="shared" si="3"/>
        <v>33.6</v>
      </c>
      <c r="K23" s="116">
        <f t="shared" si="4"/>
        <v>50.96</v>
      </c>
    </row>
    <row r="24" spans="1:11" ht="12.75">
      <c r="A24" s="40"/>
      <c r="B24" s="100" t="s">
        <v>428</v>
      </c>
      <c r="C24" s="131"/>
      <c r="D24" s="129">
        <v>1</v>
      </c>
      <c r="E24" s="132">
        <v>2500</v>
      </c>
      <c r="F24" s="130">
        <f t="shared" si="0"/>
        <v>500</v>
      </c>
      <c r="G24" s="123">
        <v>10</v>
      </c>
      <c r="H24" s="130">
        <f t="shared" si="1"/>
        <v>200</v>
      </c>
      <c r="I24" s="130">
        <f t="shared" si="2"/>
        <v>97.5</v>
      </c>
      <c r="J24" s="130">
        <f t="shared" si="3"/>
        <v>21</v>
      </c>
      <c r="K24" s="116">
        <f t="shared" si="4"/>
        <v>31.85</v>
      </c>
    </row>
    <row r="25" spans="1:11" ht="12.75">
      <c r="A25" s="40"/>
      <c r="B25" s="131" t="s">
        <v>429</v>
      </c>
      <c r="C25" s="131"/>
      <c r="D25" s="129">
        <v>1</v>
      </c>
      <c r="E25" s="130">
        <v>600</v>
      </c>
      <c r="F25" s="130">
        <f t="shared" si="0"/>
        <v>120</v>
      </c>
      <c r="G25" s="123">
        <v>15</v>
      </c>
      <c r="H25" s="130">
        <f t="shared" si="1"/>
        <v>32</v>
      </c>
      <c r="I25" s="130">
        <f t="shared" si="2"/>
        <v>23.400000000000002</v>
      </c>
      <c r="J25" s="130">
        <f t="shared" si="3"/>
        <v>5.04</v>
      </c>
      <c r="K25" s="116">
        <f t="shared" si="4"/>
        <v>6.0440000000000005</v>
      </c>
    </row>
    <row r="26" spans="1:11" ht="12.75">
      <c r="A26" s="40"/>
      <c r="B26" s="131" t="s">
        <v>433</v>
      </c>
      <c r="C26" s="131"/>
      <c r="D26" s="129">
        <v>1</v>
      </c>
      <c r="E26" s="130">
        <v>1500</v>
      </c>
      <c r="F26" s="130">
        <f t="shared" si="0"/>
        <v>300</v>
      </c>
      <c r="G26" s="123">
        <v>15</v>
      </c>
      <c r="H26" s="130">
        <f t="shared" si="1"/>
        <v>80</v>
      </c>
      <c r="I26" s="130">
        <f t="shared" si="2"/>
        <v>58.5</v>
      </c>
      <c r="J26" s="130">
        <f t="shared" si="3"/>
        <v>12.6</v>
      </c>
      <c r="K26" s="116">
        <f t="shared" si="4"/>
        <v>15.11</v>
      </c>
    </row>
    <row r="27" spans="1:11" ht="12.75">
      <c r="A27" s="40"/>
      <c r="B27" s="131" t="s">
        <v>434</v>
      </c>
      <c r="C27" s="131"/>
      <c r="D27" s="129">
        <v>1</v>
      </c>
      <c r="E27" s="130">
        <v>600</v>
      </c>
      <c r="F27" s="130">
        <f t="shared" si="0"/>
        <v>120</v>
      </c>
      <c r="G27" s="123">
        <v>23</v>
      </c>
      <c r="H27" s="130">
        <f t="shared" si="1"/>
        <v>20.869565217391305</v>
      </c>
      <c r="I27" s="130">
        <f t="shared" si="2"/>
        <v>23.400000000000002</v>
      </c>
      <c r="J27" s="130">
        <f t="shared" si="3"/>
        <v>5.04</v>
      </c>
      <c r="K27" s="116">
        <f t="shared" si="4"/>
        <v>4.93095652173913</v>
      </c>
    </row>
    <row r="28" spans="1:11" ht="12.75">
      <c r="A28" s="40"/>
      <c r="B28" s="4" t="s">
        <v>435</v>
      </c>
      <c r="C28" s="4"/>
      <c r="D28" s="133">
        <v>1</v>
      </c>
      <c r="E28" s="9">
        <v>8000</v>
      </c>
      <c r="F28" s="9">
        <f t="shared" si="0"/>
        <v>1600</v>
      </c>
      <c r="G28">
        <v>12</v>
      </c>
      <c r="H28" s="130">
        <f t="shared" si="1"/>
        <v>533.3333333333334</v>
      </c>
      <c r="I28">
        <f t="shared" si="2"/>
        <v>312</v>
      </c>
      <c r="J28">
        <f t="shared" si="3"/>
        <v>67.2</v>
      </c>
      <c r="K28">
        <f t="shared" si="4"/>
        <v>91.25333333333334</v>
      </c>
    </row>
    <row r="29" spans="1:11" ht="13.5" thickBot="1">
      <c r="A29" s="40"/>
      <c r="B29" s="6" t="s">
        <v>271</v>
      </c>
      <c r="D29" s="11"/>
      <c r="E29" s="57">
        <f>SUM(E18:E28)</f>
        <v>81900</v>
      </c>
      <c r="F29" s="58">
        <f>SUM(F18:F28)</f>
        <v>16380</v>
      </c>
      <c r="G29" s="7"/>
      <c r="H29" s="59">
        <f>SUM(H18:H28)</f>
        <v>4738.202898550724</v>
      </c>
      <c r="I29" s="59">
        <f>SUM(I18:I28)</f>
        <v>3018.6000000000004</v>
      </c>
      <c r="J29" s="59">
        <f>SUM(J18:J28)</f>
        <v>650.16</v>
      </c>
      <c r="K29" s="59">
        <f>SUM(K18:K28)</f>
        <v>840.6962898550726</v>
      </c>
    </row>
    <row r="30" spans="1:11" ht="13.5" thickTop="1">
      <c r="A30" s="40"/>
      <c r="D30" s="11"/>
      <c r="E30" s="11"/>
      <c r="F30" s="11"/>
      <c r="G30" s="11"/>
      <c r="H30" s="11"/>
      <c r="I30" s="11"/>
      <c r="J30" s="11"/>
      <c r="K30" s="5"/>
    </row>
    <row r="31" spans="1:11" ht="13.5" thickBot="1">
      <c r="A31" s="40"/>
      <c r="B31" s="6" t="s">
        <v>266</v>
      </c>
      <c r="E31" s="103">
        <f>H29+I29+J29</f>
        <v>8406.962898550724</v>
      </c>
      <c r="F31" s="11"/>
      <c r="G31" s="11"/>
      <c r="H31" s="11"/>
      <c r="I31" s="9"/>
      <c r="J31" s="11"/>
      <c r="K31" s="5"/>
    </row>
    <row r="32" spans="1:11" ht="14.25" thickBot="1" thickTop="1">
      <c r="A32" s="40"/>
      <c r="B32" s="6" t="s">
        <v>137</v>
      </c>
      <c r="E32" s="102">
        <f>E31/D8</f>
        <v>840.6962898550725</v>
      </c>
      <c r="F32" s="11"/>
      <c r="G32" s="11"/>
      <c r="H32" s="11"/>
      <c r="J32" s="11"/>
      <c r="K32" s="5"/>
    </row>
    <row r="33" spans="4:11" ht="13.5" thickTop="1">
      <c r="D33" s="11"/>
      <c r="E33" s="11"/>
      <c r="F33" s="11"/>
      <c r="G33" s="11"/>
      <c r="H33" s="11"/>
      <c r="J33" s="11"/>
      <c r="K33" s="5"/>
    </row>
    <row r="34" spans="4:11" ht="12.75">
      <c r="D34" s="11"/>
      <c r="E34" s="11"/>
      <c r="F34" s="11"/>
      <c r="G34" s="11"/>
      <c r="H34" s="11"/>
      <c r="J34" s="11"/>
      <c r="K34" s="5"/>
    </row>
    <row r="35" spans="2:11" ht="12.75">
      <c r="B35" s="41" t="s">
        <v>363</v>
      </c>
      <c r="D35" s="11"/>
      <c r="E35" s="11"/>
      <c r="F35" s="11"/>
      <c r="G35" s="11"/>
      <c r="H35" s="11"/>
      <c r="J35" s="11"/>
      <c r="K35" s="5"/>
    </row>
    <row r="36" spans="4:11" ht="12.75">
      <c r="D36" s="11"/>
      <c r="E36" s="11"/>
      <c r="F36" s="11"/>
      <c r="G36" s="11"/>
      <c r="H36" s="11"/>
      <c r="J36" s="11"/>
      <c r="K36" s="5"/>
    </row>
    <row r="37" spans="2:11" ht="12.75">
      <c r="B37" s="74"/>
      <c r="C37" s="74"/>
      <c r="D37" s="74"/>
      <c r="E37" s="74"/>
      <c r="F37" s="74"/>
      <c r="G37" s="74"/>
      <c r="H37" s="74"/>
      <c r="J37" s="75"/>
      <c r="K37" s="5"/>
    </row>
    <row r="38" spans="2:11" ht="12.75">
      <c r="B38" s="159"/>
      <c r="C38" s="159"/>
      <c r="D38" s="159"/>
      <c r="E38" s="159"/>
      <c r="F38" s="159"/>
      <c r="G38" s="159"/>
      <c r="H38" s="159"/>
      <c r="I38" s="159"/>
      <c r="J38" s="159"/>
      <c r="K38" s="5"/>
    </row>
    <row r="39" spans="2:11" ht="12.75">
      <c r="B39" s="159"/>
      <c r="C39" s="159"/>
      <c r="D39" s="159"/>
      <c r="E39" s="159"/>
      <c r="F39" s="159"/>
      <c r="G39" s="159"/>
      <c r="H39" s="159"/>
      <c r="I39" s="159"/>
      <c r="J39" s="159"/>
      <c r="K39" s="5"/>
    </row>
    <row r="40" spans="4:11" ht="12.75">
      <c r="D40" s="11"/>
      <c r="E40" s="11"/>
      <c r="F40" s="11"/>
      <c r="G40" s="11"/>
      <c r="H40" s="11"/>
      <c r="I40" s="11"/>
      <c r="J40" s="11"/>
      <c r="K40" s="5"/>
    </row>
    <row r="47" ht="12.75"/>
    <row r="48" ht="12.75"/>
    <row r="49" ht="12.75"/>
  </sheetData>
  <sheetProtection/>
  <mergeCells count="4">
    <mergeCell ref="B38:J38"/>
    <mergeCell ref="B39:J39"/>
    <mergeCell ref="B5:K5"/>
    <mergeCell ref="B4:K4"/>
  </mergeCells>
  <printOptions/>
  <pageMargins left="0.75" right="0.75" top="1" bottom="1" header="0.5" footer="0.5"/>
  <pageSetup horizontalDpi="600" verticalDpi="600" orientation="portrait" r:id="rId2"/>
  <colBreaks count="1" manualBreakCount="1">
    <brk id="11" max="49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2:J62"/>
  <sheetViews>
    <sheetView zoomScale="140" zoomScaleNormal="140" zoomScalePageLayoutView="0" workbookViewId="0" topLeftCell="A1">
      <selection activeCell="L15" sqref="L15"/>
    </sheetView>
  </sheetViews>
  <sheetFormatPr defaultColWidth="9.140625" defaultRowHeight="12.75"/>
  <cols>
    <col min="1" max="1" width="2.57421875" style="0" customWidth="1"/>
    <col min="2" max="2" width="15.57421875" style="0" customWidth="1"/>
    <col min="3" max="3" width="9.7109375" style="0" customWidth="1"/>
    <col min="4" max="4" width="7.8515625" style="0" customWidth="1"/>
    <col min="5" max="5" width="8.140625" style="0" customWidth="1"/>
    <col min="6" max="6" width="7.00390625" style="0" customWidth="1"/>
    <col min="7" max="7" width="9.57421875" style="0" customWidth="1"/>
    <col min="8" max="8" width="11.28125" style="0" customWidth="1"/>
    <col min="9" max="9" width="10.140625" style="0" customWidth="1"/>
    <col min="10" max="10" width="8.140625" style="0" customWidth="1"/>
  </cols>
  <sheetData>
    <row r="2" ht="15" customHeight="1">
      <c r="J2" s="87"/>
    </row>
    <row r="3" spans="1:10" ht="12.75" customHeight="1">
      <c r="A3" s="4"/>
      <c r="B3" s="162" t="s">
        <v>445</v>
      </c>
      <c r="C3" s="162"/>
      <c r="D3" s="162"/>
      <c r="E3" s="162"/>
      <c r="F3" s="162"/>
      <c r="G3" s="162"/>
      <c r="H3" s="162"/>
      <c r="I3" s="162"/>
      <c r="J3" s="104"/>
    </row>
    <row r="4" spans="1:9" ht="15.75">
      <c r="A4" s="4"/>
      <c r="B4" s="162" t="s">
        <v>444</v>
      </c>
      <c r="C4" s="162"/>
      <c r="D4" s="162"/>
      <c r="E4" s="162"/>
      <c r="F4" s="162"/>
      <c r="G4" s="162"/>
      <c r="H4" s="162"/>
      <c r="I4" s="162"/>
    </row>
    <row r="5" ht="12.75">
      <c r="A5" s="4"/>
    </row>
    <row r="6" spans="1:8" ht="12.75">
      <c r="A6" s="4"/>
      <c r="C6" s="39"/>
      <c r="D6" s="39"/>
      <c r="E6" s="39"/>
      <c r="F6" s="39"/>
      <c r="G6" s="39"/>
      <c r="H6" s="39"/>
    </row>
    <row r="7" spans="1:10" ht="12.75">
      <c r="A7" s="4"/>
      <c r="B7" s="170" t="s">
        <v>96</v>
      </c>
      <c r="C7" s="170"/>
      <c r="D7" s="170"/>
      <c r="E7" s="170"/>
      <c r="F7" s="170">
        <v>10</v>
      </c>
      <c r="G7" s="171" t="s">
        <v>82</v>
      </c>
      <c r="H7" s="172"/>
      <c r="I7" s="170"/>
      <c r="J7" s="170"/>
    </row>
    <row r="8" spans="1:10" ht="12.75">
      <c r="A8" s="4"/>
      <c r="B8" s="170" t="s">
        <v>244</v>
      </c>
      <c r="C8" s="170"/>
      <c r="D8" s="170"/>
      <c r="E8" s="170"/>
      <c r="F8" s="173" t="s">
        <v>364</v>
      </c>
      <c r="G8" s="170"/>
      <c r="H8" s="170"/>
      <c r="I8" s="170"/>
      <c r="J8" s="170"/>
    </row>
    <row r="9" spans="1:10" ht="12.75">
      <c r="A9" s="4"/>
      <c r="B9" s="170" t="s">
        <v>166</v>
      </c>
      <c r="C9" s="170"/>
      <c r="D9" s="170"/>
      <c r="E9" s="170"/>
      <c r="F9" s="174">
        <v>0.065</v>
      </c>
      <c r="G9" s="170"/>
      <c r="H9" s="172"/>
      <c r="I9" s="170"/>
      <c r="J9" s="170"/>
    </row>
    <row r="10" spans="1:10" ht="12.75">
      <c r="A10" s="4"/>
      <c r="B10" s="170" t="s">
        <v>250</v>
      </c>
      <c r="C10" s="170"/>
      <c r="D10" s="170"/>
      <c r="E10" s="170"/>
      <c r="F10" s="170">
        <v>0.015</v>
      </c>
      <c r="G10" s="170"/>
      <c r="H10" s="170"/>
      <c r="I10" s="170"/>
      <c r="J10" s="170"/>
    </row>
    <row r="11" spans="1:10" ht="12.75">
      <c r="A11" s="4"/>
      <c r="B11" s="170" t="s">
        <v>115</v>
      </c>
      <c r="C11" s="170"/>
      <c r="D11" s="170"/>
      <c r="E11" s="170"/>
      <c r="F11" s="170">
        <v>600</v>
      </c>
      <c r="G11" s="170"/>
      <c r="H11" s="36"/>
      <c r="I11" s="170"/>
      <c r="J11" s="170"/>
    </row>
    <row r="12" spans="1:10" ht="12.75">
      <c r="A12" s="4"/>
      <c r="B12" s="170"/>
      <c r="C12" s="170"/>
      <c r="D12" s="170"/>
      <c r="E12" s="170"/>
      <c r="F12" s="170"/>
      <c r="G12" s="170"/>
      <c r="H12" s="170"/>
      <c r="I12" s="170"/>
      <c r="J12" s="170"/>
    </row>
    <row r="13" spans="1:10" ht="12.75">
      <c r="A13" s="4"/>
      <c r="B13" s="170"/>
      <c r="C13" s="170"/>
      <c r="D13" s="170"/>
      <c r="E13" s="170"/>
      <c r="F13" s="170"/>
      <c r="G13" s="170"/>
      <c r="H13" s="170"/>
      <c r="I13" s="170"/>
      <c r="J13" s="170"/>
    </row>
    <row r="14" spans="1:10" ht="12.75">
      <c r="A14" s="4"/>
      <c r="B14" s="170" t="s">
        <v>170</v>
      </c>
      <c r="C14" s="170"/>
      <c r="D14" s="170"/>
      <c r="E14" s="170"/>
      <c r="F14" s="170"/>
      <c r="G14" s="170"/>
      <c r="H14" s="170"/>
      <c r="I14" s="170"/>
      <c r="J14" s="170"/>
    </row>
    <row r="15" spans="1:10" ht="12.75">
      <c r="A15" s="4"/>
      <c r="B15" s="170"/>
      <c r="C15" s="170"/>
      <c r="D15" s="170"/>
      <c r="E15" s="175" t="s">
        <v>369</v>
      </c>
      <c r="F15" s="175" t="s">
        <v>368</v>
      </c>
      <c r="G15" s="175"/>
      <c r="H15" s="175"/>
      <c r="I15" s="175" t="s">
        <v>371</v>
      </c>
      <c r="J15" s="170"/>
    </row>
    <row r="16" spans="1:10" ht="12.75">
      <c r="A16" s="4"/>
      <c r="B16" s="170" t="s">
        <v>365</v>
      </c>
      <c r="C16" s="170"/>
      <c r="D16" s="170"/>
      <c r="E16" s="175" t="s">
        <v>109</v>
      </c>
      <c r="F16" s="175" t="s">
        <v>179</v>
      </c>
      <c r="G16" s="175" t="s">
        <v>370</v>
      </c>
      <c r="H16" s="176" t="s">
        <v>164</v>
      </c>
      <c r="I16" s="176" t="s">
        <v>361</v>
      </c>
      <c r="J16" s="170"/>
    </row>
    <row r="17" spans="1:10" ht="12.75">
      <c r="A17" s="4"/>
      <c r="B17" s="170" t="s">
        <v>397</v>
      </c>
      <c r="C17" s="170"/>
      <c r="D17" s="170"/>
      <c r="E17" s="177">
        <v>3630</v>
      </c>
      <c r="F17" s="177">
        <v>20</v>
      </c>
      <c r="G17" s="177">
        <f aca="true" t="shared" si="0" ref="G17:G23">E17/F17</f>
        <v>181.5</v>
      </c>
      <c r="H17" s="177">
        <f>(E17/2)*F9</f>
        <v>117.97500000000001</v>
      </c>
      <c r="I17" s="177">
        <f>(E17/2)*F10</f>
        <v>27.224999999999998</v>
      </c>
      <c r="J17" s="170"/>
    </row>
    <row r="18" spans="1:10" ht="12.75">
      <c r="A18" s="4"/>
      <c r="B18" s="170" t="s">
        <v>398</v>
      </c>
      <c r="C18" s="170"/>
      <c r="D18" s="170"/>
      <c r="E18" s="177">
        <v>88.5</v>
      </c>
      <c r="F18" s="177">
        <v>10</v>
      </c>
      <c r="G18" s="177">
        <f t="shared" si="0"/>
        <v>8.85</v>
      </c>
      <c r="H18" s="177">
        <f>(E18/2)*F9</f>
        <v>2.87625</v>
      </c>
      <c r="I18" s="177">
        <f>(E18/2)*F10</f>
        <v>0.66375</v>
      </c>
      <c r="J18" s="170"/>
    </row>
    <row r="19" spans="1:10" ht="12.75">
      <c r="A19" s="4"/>
      <c r="B19" s="170" t="s">
        <v>399</v>
      </c>
      <c r="C19" s="170"/>
      <c r="D19" s="170"/>
      <c r="E19" s="177">
        <v>289</v>
      </c>
      <c r="F19" s="177">
        <v>10</v>
      </c>
      <c r="G19" s="177">
        <f t="shared" si="0"/>
        <v>28.9</v>
      </c>
      <c r="H19" s="177">
        <f>(E19/2)*F10</f>
        <v>2.1675</v>
      </c>
      <c r="I19" s="177">
        <f>(E19/2)*F10</f>
        <v>2.1675</v>
      </c>
      <c r="J19" s="170"/>
    </row>
    <row r="20" spans="1:10" ht="12.75">
      <c r="A20" s="4"/>
      <c r="B20" s="170" t="s">
        <v>300</v>
      </c>
      <c r="C20" s="170"/>
      <c r="D20" s="170"/>
      <c r="E20" s="177">
        <v>9800</v>
      </c>
      <c r="F20" s="177">
        <v>25</v>
      </c>
      <c r="G20" s="177">
        <f t="shared" si="0"/>
        <v>392</v>
      </c>
      <c r="H20" s="177">
        <f>(E20/2)*F9</f>
        <v>318.5</v>
      </c>
      <c r="I20" s="177">
        <f>(E20/2)*F10</f>
        <v>73.5</v>
      </c>
      <c r="J20" s="170"/>
    </row>
    <row r="21" spans="1:10" ht="12.75">
      <c r="A21" s="4"/>
      <c r="B21" s="170" t="s">
        <v>130</v>
      </c>
      <c r="C21" s="170"/>
      <c r="D21" s="170"/>
      <c r="E21" s="177">
        <v>1000</v>
      </c>
      <c r="F21" s="177">
        <v>15</v>
      </c>
      <c r="G21" s="177">
        <f t="shared" si="0"/>
        <v>66.66666666666667</v>
      </c>
      <c r="H21" s="177">
        <f>(E21/2)*F9</f>
        <v>32.5</v>
      </c>
      <c r="I21" s="177">
        <f>(E21/2)*F10</f>
        <v>7.5</v>
      </c>
      <c r="J21" s="170"/>
    </row>
    <row r="22" spans="1:10" ht="12.75">
      <c r="A22" s="4"/>
      <c r="B22" s="170" t="s">
        <v>187</v>
      </c>
      <c r="C22" s="170"/>
      <c r="D22" s="170"/>
      <c r="E22" s="177"/>
      <c r="F22" s="177">
        <v>20</v>
      </c>
      <c r="G22" s="177">
        <f t="shared" si="0"/>
        <v>0</v>
      </c>
      <c r="H22" s="177">
        <f>(E22/2)*F9</f>
        <v>0</v>
      </c>
      <c r="I22" s="177">
        <f>(E22/2)*F10</f>
        <v>0</v>
      </c>
      <c r="J22" s="170"/>
    </row>
    <row r="23" spans="1:10" ht="12.75">
      <c r="A23" s="4"/>
      <c r="B23" s="170" t="s">
        <v>162</v>
      </c>
      <c r="C23" s="170"/>
      <c r="D23" s="170"/>
      <c r="E23" s="177">
        <v>6500</v>
      </c>
      <c r="F23" s="177">
        <v>20</v>
      </c>
      <c r="G23" s="177">
        <f t="shared" si="0"/>
        <v>325</v>
      </c>
      <c r="H23" s="177">
        <f>(E23/2)*F9</f>
        <v>211.25</v>
      </c>
      <c r="I23" s="177">
        <f>(E23/2)*F10</f>
        <v>48.75</v>
      </c>
      <c r="J23" s="170"/>
    </row>
    <row r="24" spans="1:10" ht="13.5" thickBot="1">
      <c r="A24" s="4"/>
      <c r="B24" s="170" t="s">
        <v>272</v>
      </c>
      <c r="C24" s="170"/>
      <c r="D24" s="170"/>
      <c r="E24" s="178">
        <f>SUM(E17:E23)</f>
        <v>21307.5</v>
      </c>
      <c r="F24" s="175"/>
      <c r="G24" s="178">
        <f>SUM(G17:G23)</f>
        <v>1002.9166666666666</v>
      </c>
      <c r="H24" s="178">
        <f>SUM(H17:H23)</f>
        <v>685.26875</v>
      </c>
      <c r="I24" s="178">
        <f>SUM(I17:I23)</f>
        <v>159.80625</v>
      </c>
      <c r="J24" s="170"/>
    </row>
    <row r="25" spans="1:10" ht="13.5" thickTop="1">
      <c r="A25" s="4"/>
      <c r="B25" s="170"/>
      <c r="C25" s="170"/>
      <c r="D25" s="170"/>
      <c r="E25" s="175"/>
      <c r="F25" s="175"/>
      <c r="G25" s="175"/>
      <c r="H25" s="175"/>
      <c r="I25" s="170"/>
      <c r="J25" s="170"/>
    </row>
    <row r="26" spans="1:10" ht="13.5" thickBot="1">
      <c r="A26" s="4"/>
      <c r="B26" s="170" t="s">
        <v>261</v>
      </c>
      <c r="C26" s="170"/>
      <c r="D26" s="170"/>
      <c r="E26" s="175"/>
      <c r="F26" s="175"/>
      <c r="G26" s="175"/>
      <c r="H26" s="175"/>
      <c r="I26" s="178">
        <f>G24+H24+I24</f>
        <v>1847.9916666666668</v>
      </c>
      <c r="J26" s="170"/>
    </row>
    <row r="27" spans="1:10" ht="13.5" thickTop="1">
      <c r="A27" s="4"/>
      <c r="B27" s="170"/>
      <c r="C27" s="170"/>
      <c r="D27" s="170"/>
      <c r="E27" s="175"/>
      <c r="F27" s="175"/>
      <c r="G27" s="175"/>
      <c r="H27" s="175"/>
      <c r="I27" s="175"/>
      <c r="J27" s="170"/>
    </row>
    <row r="28" spans="1:10" ht="13.5" thickBot="1">
      <c r="A28" s="4"/>
      <c r="B28" s="170" t="s">
        <v>90</v>
      </c>
      <c r="C28" s="170"/>
      <c r="D28" s="170"/>
      <c r="E28" s="175"/>
      <c r="F28" s="175"/>
      <c r="G28" s="175"/>
      <c r="H28" s="175"/>
      <c r="I28" s="179">
        <f>I26/F7</f>
        <v>184.79916666666668</v>
      </c>
      <c r="J28" s="170"/>
    </row>
    <row r="29" spans="1:10" ht="13.5" thickTop="1">
      <c r="A29" s="4"/>
      <c r="B29" s="170"/>
      <c r="C29" s="170"/>
      <c r="D29" s="170"/>
      <c r="E29" s="170"/>
      <c r="F29" s="170"/>
      <c r="G29" s="170"/>
      <c r="H29" s="170"/>
      <c r="I29" s="170"/>
      <c r="J29" s="170"/>
    </row>
    <row r="30" spans="1:10" ht="12.75">
      <c r="A30" s="4"/>
      <c r="B30" s="170" t="s">
        <v>195</v>
      </c>
      <c r="C30" s="170"/>
      <c r="D30" s="170"/>
      <c r="E30" s="175"/>
      <c r="F30" s="175"/>
      <c r="G30" s="175"/>
      <c r="H30" s="175"/>
      <c r="I30" s="175"/>
      <c r="J30" s="170"/>
    </row>
    <row r="31" spans="1:10" ht="12.75">
      <c r="A31" s="4"/>
      <c r="B31" s="170"/>
      <c r="C31" s="170"/>
      <c r="D31" s="170"/>
      <c r="E31" s="175"/>
      <c r="F31" s="175"/>
      <c r="G31" s="175"/>
      <c r="H31" s="175"/>
      <c r="I31" s="175"/>
      <c r="J31" s="170"/>
    </row>
    <row r="32" spans="1:10" ht="12.75">
      <c r="A32" s="4"/>
      <c r="B32" s="170" t="s">
        <v>188</v>
      </c>
      <c r="C32" s="170"/>
      <c r="D32" s="170"/>
      <c r="E32" s="175"/>
      <c r="F32" s="175"/>
      <c r="G32" s="177">
        <f>IF(F7&lt;=40,5,IF(F7&lt;=100,20,IF(F7&lt;=200,40,80)))</f>
        <v>5</v>
      </c>
      <c r="H32" s="175"/>
      <c r="I32" s="175"/>
      <c r="J32" s="170"/>
    </row>
    <row r="33" spans="1:10" ht="12.75">
      <c r="A33" s="4"/>
      <c r="B33" s="170" t="s">
        <v>234</v>
      </c>
      <c r="C33" s="170"/>
      <c r="D33" s="170"/>
      <c r="E33" s="175"/>
      <c r="F33" s="175"/>
      <c r="G33" s="177">
        <v>800</v>
      </c>
      <c r="H33" s="175"/>
      <c r="I33" s="175"/>
      <c r="J33" s="170"/>
    </row>
    <row r="34" spans="1:10" ht="12.75">
      <c r="A34" s="4"/>
      <c r="B34" s="170" t="s">
        <v>91</v>
      </c>
      <c r="C34" s="170"/>
      <c r="D34" s="170"/>
      <c r="E34" s="175"/>
      <c r="F34" s="175"/>
      <c r="G34" s="177">
        <v>1080</v>
      </c>
      <c r="H34" s="175"/>
      <c r="I34" s="175"/>
      <c r="J34" s="170"/>
    </row>
    <row r="35" spans="1:10" ht="12.75">
      <c r="A35" s="4"/>
      <c r="B35" s="170" t="s">
        <v>120</v>
      </c>
      <c r="C35" s="170"/>
      <c r="D35" s="170"/>
      <c r="E35" s="175"/>
      <c r="F35" s="175"/>
      <c r="G35" s="177"/>
      <c r="H35" s="175"/>
      <c r="I35" s="175"/>
      <c r="J35" s="170"/>
    </row>
    <row r="36" spans="1:10" ht="12.75">
      <c r="A36" s="4"/>
      <c r="B36" s="170" t="s">
        <v>366</v>
      </c>
      <c r="C36" s="170"/>
      <c r="D36" s="170"/>
      <c r="E36" s="175"/>
      <c r="F36" s="175"/>
      <c r="G36" s="177">
        <f>G32*0</f>
        <v>0</v>
      </c>
      <c r="H36" s="175"/>
      <c r="I36" s="175"/>
      <c r="J36" s="170"/>
    </row>
    <row r="37" spans="1:10" ht="12.75">
      <c r="A37" s="4"/>
      <c r="B37" s="170" t="s">
        <v>367</v>
      </c>
      <c r="C37" s="170"/>
      <c r="D37" s="170"/>
      <c r="E37" s="175"/>
      <c r="F37" s="175"/>
      <c r="G37" s="176">
        <v>0.12</v>
      </c>
      <c r="H37" s="175"/>
      <c r="I37" s="175"/>
      <c r="J37" s="170"/>
    </row>
    <row r="38" spans="1:10" ht="12.75">
      <c r="A38" s="4"/>
      <c r="B38" s="170" t="s">
        <v>87</v>
      </c>
      <c r="C38" s="170"/>
      <c r="D38" s="170"/>
      <c r="E38" s="175"/>
      <c r="F38" s="175"/>
      <c r="G38" s="177">
        <v>600</v>
      </c>
      <c r="H38" s="175"/>
      <c r="I38" s="175"/>
      <c r="J38" s="170"/>
    </row>
    <row r="39" spans="1:10" ht="12.75">
      <c r="A39" s="4"/>
      <c r="B39" s="170" t="s">
        <v>89</v>
      </c>
      <c r="C39" s="170"/>
      <c r="D39" s="170"/>
      <c r="E39" s="175"/>
      <c r="F39" s="175"/>
      <c r="G39" s="175"/>
      <c r="H39" s="175"/>
      <c r="I39" s="176">
        <f>G38/F7</f>
        <v>60</v>
      </c>
      <c r="J39" s="170"/>
    </row>
    <row r="40" spans="1:10" ht="13.5" thickBot="1">
      <c r="A40" s="4"/>
      <c r="B40" s="170" t="s">
        <v>194</v>
      </c>
      <c r="C40" s="170"/>
      <c r="D40" s="170"/>
      <c r="E40" s="175"/>
      <c r="F40" s="175"/>
      <c r="G40" s="175"/>
      <c r="H40" s="175"/>
      <c r="I40" s="179">
        <f>(G33+G38)/F7</f>
        <v>140</v>
      </c>
      <c r="J40" s="170"/>
    </row>
    <row r="41" spans="1:10" ht="13.5" thickTop="1">
      <c r="A41" s="4"/>
      <c r="B41" s="36"/>
      <c r="C41" s="36"/>
      <c r="D41" s="36"/>
      <c r="E41" s="37"/>
      <c r="F41" s="37"/>
      <c r="G41" s="37"/>
      <c r="H41" s="37"/>
      <c r="I41" s="37"/>
      <c r="J41" s="170"/>
    </row>
    <row r="42" spans="1:10" ht="12.75">
      <c r="A42" s="4"/>
      <c r="B42" s="170"/>
      <c r="C42" s="170"/>
      <c r="D42" s="170"/>
      <c r="E42" s="175"/>
      <c r="F42" s="175"/>
      <c r="G42" s="175"/>
      <c r="H42" s="175"/>
      <c r="I42" s="175"/>
      <c r="J42" s="170"/>
    </row>
    <row r="43" spans="1:10" ht="13.5" thickBot="1">
      <c r="A43" s="4"/>
      <c r="B43" s="170" t="s">
        <v>259</v>
      </c>
      <c r="C43" s="170"/>
      <c r="D43" s="170"/>
      <c r="E43" s="175"/>
      <c r="F43" s="175"/>
      <c r="G43" s="175"/>
      <c r="H43" s="175"/>
      <c r="I43" s="179">
        <f>I28+I40</f>
        <v>324.7991666666667</v>
      </c>
      <c r="J43" s="170"/>
    </row>
    <row r="44" spans="1:10" ht="13.5" thickTop="1">
      <c r="A44" s="4"/>
      <c r="B44" s="170"/>
      <c r="C44" s="170"/>
      <c r="D44" s="170"/>
      <c r="E44" s="170"/>
      <c r="F44" s="170"/>
      <c r="G44" s="170"/>
      <c r="H44" s="170"/>
      <c r="I44" s="170"/>
      <c r="J44" s="170"/>
    </row>
    <row r="45" spans="1:10" ht="12.75">
      <c r="A45" s="4"/>
      <c r="B45" s="170"/>
      <c r="C45" s="170"/>
      <c r="D45" s="170"/>
      <c r="E45" s="175"/>
      <c r="F45" s="175"/>
      <c r="G45" s="175"/>
      <c r="H45" s="175"/>
      <c r="I45" s="175"/>
      <c r="J45" s="170"/>
    </row>
    <row r="46" spans="1:9" ht="12.75">
      <c r="A46" s="4"/>
      <c r="B46" s="41"/>
      <c r="E46" s="11"/>
      <c r="F46" s="11"/>
      <c r="G46" s="11"/>
      <c r="H46" s="11"/>
      <c r="I46" s="11"/>
    </row>
    <row r="47" ht="12.75">
      <c r="A47" s="4"/>
    </row>
    <row r="48" ht="12.75">
      <c r="A48" s="4"/>
    </row>
    <row r="49" spans="1:9" ht="12.75">
      <c r="A49" s="4"/>
      <c r="E49" s="11"/>
      <c r="F49" s="11"/>
      <c r="G49" s="11"/>
      <c r="H49" s="11"/>
      <c r="I49" s="11"/>
    </row>
    <row r="50" spans="1:9" ht="12.75">
      <c r="A50" s="4"/>
      <c r="E50" s="11"/>
      <c r="F50" s="11"/>
      <c r="G50" s="11"/>
      <c r="H50" s="11"/>
      <c r="I50" s="11"/>
    </row>
    <row r="51" spans="1:9" ht="12.75">
      <c r="A51" s="4"/>
      <c r="E51" s="11"/>
      <c r="F51" s="11"/>
      <c r="G51" s="11"/>
      <c r="H51" s="11"/>
      <c r="I51" s="11"/>
    </row>
    <row r="52" ht="12.75">
      <c r="A52" s="4"/>
    </row>
    <row r="53" ht="12.75">
      <c r="A53" s="4"/>
    </row>
    <row r="54" spans="1:9" ht="12.75">
      <c r="A54" s="4"/>
      <c r="E54" s="11"/>
      <c r="F54" s="11"/>
      <c r="G54" s="11"/>
      <c r="H54" s="11"/>
      <c r="I54" s="11"/>
    </row>
    <row r="55" spans="1:9" ht="12.75">
      <c r="A55" s="4"/>
      <c r="E55" s="11"/>
      <c r="F55" s="11"/>
      <c r="G55" s="11"/>
      <c r="H55" s="11"/>
      <c r="I55" s="11"/>
    </row>
    <row r="56" spans="1:9" ht="12.75">
      <c r="A56" s="4"/>
      <c r="E56" s="11"/>
      <c r="F56" s="11"/>
      <c r="G56" s="11"/>
      <c r="H56" s="11"/>
      <c r="I56" s="11"/>
    </row>
    <row r="60" spans="2:10" ht="12.75">
      <c r="B60" s="74"/>
      <c r="C60" s="74"/>
      <c r="D60" s="74"/>
      <c r="E60" s="74"/>
      <c r="F60" s="74"/>
      <c r="G60" s="74"/>
      <c r="H60" s="74"/>
      <c r="I60" s="74"/>
      <c r="J60" s="75"/>
    </row>
    <row r="61" spans="2:10" ht="12.75">
      <c r="B61" s="159"/>
      <c r="C61" s="159"/>
      <c r="D61" s="159"/>
      <c r="E61" s="159"/>
      <c r="F61" s="159"/>
      <c r="G61" s="159"/>
      <c r="H61" s="159"/>
      <c r="I61" s="159"/>
      <c r="J61" s="159"/>
    </row>
    <row r="62" spans="2:10" ht="12.75">
      <c r="B62" s="159"/>
      <c r="C62" s="159"/>
      <c r="D62" s="159"/>
      <c r="E62" s="159"/>
      <c r="F62" s="159"/>
      <c r="G62" s="159"/>
      <c r="H62" s="159"/>
      <c r="I62" s="159"/>
      <c r="J62" s="159"/>
    </row>
  </sheetData>
  <sheetProtection/>
  <mergeCells count="4">
    <mergeCell ref="B4:I4"/>
    <mergeCell ref="B3:I3"/>
    <mergeCell ref="B62:J62"/>
    <mergeCell ref="B61:J6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7"/>
  </sheetPr>
  <dimension ref="A2:N65"/>
  <sheetViews>
    <sheetView zoomScale="130" zoomScaleNormal="130" workbookViewId="0" topLeftCell="A25">
      <selection activeCell="I47" sqref="I47"/>
    </sheetView>
  </sheetViews>
  <sheetFormatPr defaultColWidth="9.140625" defaultRowHeight="12.75"/>
  <cols>
    <col min="1" max="1" width="2.57421875" style="0" customWidth="1"/>
    <col min="2" max="2" width="11.7109375" style="0" customWidth="1"/>
    <col min="3" max="3" width="9.00390625" style="0" customWidth="1"/>
    <col min="4" max="4" width="10.7109375" style="0" customWidth="1"/>
    <col min="5" max="5" width="8.7109375" style="0" customWidth="1"/>
    <col min="6" max="6" width="14.00390625" style="0" customWidth="1"/>
    <col min="7" max="7" width="13.28125" style="0" customWidth="1"/>
    <col min="8" max="8" width="11.00390625" style="0" customWidth="1"/>
    <col min="9" max="9" width="12.421875" style="0" customWidth="1"/>
  </cols>
  <sheetData>
    <row r="2" spans="2:8" ht="15.75">
      <c r="B2" s="162" t="s">
        <v>452</v>
      </c>
      <c r="C2" s="162"/>
      <c r="D2" s="162"/>
      <c r="E2" s="162"/>
      <c r="F2" s="162"/>
      <c r="G2" s="162"/>
      <c r="H2" s="162"/>
    </row>
    <row r="3" spans="2:8" ht="15.75">
      <c r="B3" s="160" t="s">
        <v>337</v>
      </c>
      <c r="C3" s="160"/>
      <c r="D3" s="160"/>
      <c r="E3" s="160"/>
      <c r="F3" s="160"/>
      <c r="G3" s="160"/>
      <c r="H3" s="160"/>
    </row>
    <row r="4" spans="3:7" ht="15.75">
      <c r="C4" s="167"/>
      <c r="D4" s="168"/>
      <c r="E4" s="168"/>
      <c r="F4" s="168"/>
      <c r="G4" s="168"/>
    </row>
    <row r="5" spans="2:9" ht="15">
      <c r="B5" t="s">
        <v>96</v>
      </c>
      <c r="E5" s="18">
        <v>10</v>
      </c>
      <c r="F5" s="5" t="s">
        <v>83</v>
      </c>
      <c r="I5" s="88"/>
    </row>
    <row r="6" spans="2:6" ht="12.75">
      <c r="B6" s="41" t="s">
        <v>373</v>
      </c>
      <c r="E6" s="43" t="s">
        <v>374</v>
      </c>
      <c r="F6" s="11"/>
    </row>
    <row r="7" spans="2:6" ht="12.75">
      <c r="B7" t="s">
        <v>166</v>
      </c>
      <c r="E7" s="11"/>
      <c r="F7" s="33">
        <v>0.065</v>
      </c>
    </row>
    <row r="8" spans="2:6" ht="12.75">
      <c r="B8" t="s">
        <v>250</v>
      </c>
      <c r="E8" s="11"/>
      <c r="F8" s="11">
        <v>0.015</v>
      </c>
    </row>
    <row r="9" spans="2:6" ht="12.75">
      <c r="B9" t="s">
        <v>115</v>
      </c>
      <c r="E9" s="11"/>
      <c r="F9" s="9">
        <v>600</v>
      </c>
    </row>
    <row r="10" spans="1:2" ht="12.75">
      <c r="A10" s="40"/>
      <c r="B10" s="7" t="s">
        <v>170</v>
      </c>
    </row>
    <row r="11" spans="1:8" ht="12.75">
      <c r="A11" s="40"/>
      <c r="D11" s="42" t="s">
        <v>369</v>
      </c>
      <c r="E11" s="42" t="s">
        <v>368</v>
      </c>
      <c r="F11" s="42" t="s">
        <v>370</v>
      </c>
      <c r="G11" s="90" t="s">
        <v>164</v>
      </c>
      <c r="H11" s="90" t="s">
        <v>360</v>
      </c>
    </row>
    <row r="12" spans="1:8" ht="12.75">
      <c r="A12" s="40"/>
      <c r="D12" s="16" t="s">
        <v>109</v>
      </c>
      <c r="E12" s="42" t="s">
        <v>179</v>
      </c>
      <c r="F12" s="11"/>
      <c r="G12" s="11"/>
      <c r="H12" s="42" t="s">
        <v>372</v>
      </c>
    </row>
    <row r="13" spans="1:8" ht="12.75">
      <c r="A13" s="40"/>
      <c r="B13" s="41" t="s">
        <v>314</v>
      </c>
      <c r="D13" s="9">
        <f>960*E5</f>
        <v>9600</v>
      </c>
      <c r="E13" s="9">
        <v>20</v>
      </c>
      <c r="F13" s="9">
        <f aca="true" t="shared" si="0" ref="F13:F23">D13/E13</f>
        <v>480</v>
      </c>
      <c r="G13" s="9">
        <f>(D13/2)*F7</f>
        <v>312</v>
      </c>
      <c r="H13" s="9">
        <f>(D13/2)*F8</f>
        <v>72</v>
      </c>
    </row>
    <row r="14" spans="1:8" ht="12.75">
      <c r="A14" s="40"/>
      <c r="B14" s="41" t="s">
        <v>315</v>
      </c>
      <c r="D14" s="9">
        <v>1400</v>
      </c>
      <c r="E14" s="9">
        <v>10</v>
      </c>
      <c r="F14" s="9">
        <f t="shared" si="0"/>
        <v>140</v>
      </c>
      <c r="G14" s="9">
        <f>(D14/2)*F7</f>
        <v>45.5</v>
      </c>
      <c r="H14" s="9">
        <f>(D14/2)*F8</f>
        <v>10.5</v>
      </c>
    </row>
    <row r="15" spans="1:8" ht="12.75">
      <c r="A15" s="40"/>
      <c r="B15" s="41" t="s">
        <v>316</v>
      </c>
      <c r="D15" s="9">
        <v>50000</v>
      </c>
      <c r="E15" s="9">
        <v>25</v>
      </c>
      <c r="F15" s="9">
        <f t="shared" si="0"/>
        <v>2000</v>
      </c>
      <c r="G15" s="9">
        <f>(D15/2)*F7</f>
        <v>1625</v>
      </c>
      <c r="H15" s="9">
        <f>(D15/2)*F8</f>
        <v>375</v>
      </c>
    </row>
    <row r="16" spans="1:14" ht="12.75">
      <c r="A16" s="40"/>
      <c r="B16" t="s">
        <v>227</v>
      </c>
      <c r="D16" s="9">
        <v>16000</v>
      </c>
      <c r="E16" s="9">
        <v>15</v>
      </c>
      <c r="F16" s="9">
        <f t="shared" si="0"/>
        <v>1066.6666666666667</v>
      </c>
      <c r="G16" s="9">
        <f>(D16/2)*F7</f>
        <v>520</v>
      </c>
      <c r="H16" s="9">
        <f>(D16/2)*F$8</f>
        <v>120</v>
      </c>
      <c r="N16" s="40"/>
    </row>
    <row r="17" spans="1:8" ht="12.75">
      <c r="A17" s="40"/>
      <c r="B17" t="s">
        <v>105</v>
      </c>
      <c r="D17" s="9">
        <v>1000</v>
      </c>
      <c r="E17" s="9">
        <v>10</v>
      </c>
      <c r="F17" s="9">
        <f t="shared" si="0"/>
        <v>100</v>
      </c>
      <c r="G17" s="9">
        <f>(D18/2)*F7</f>
        <v>65</v>
      </c>
      <c r="H17" s="9">
        <f>(D17/2)*F8</f>
        <v>7.5</v>
      </c>
    </row>
    <row r="18" spans="1:8" ht="12.75">
      <c r="A18" s="40"/>
      <c r="B18" t="s">
        <v>134</v>
      </c>
      <c r="D18" s="9">
        <v>2000</v>
      </c>
      <c r="E18" s="9">
        <v>5</v>
      </c>
      <c r="F18" s="9">
        <f t="shared" si="0"/>
        <v>400</v>
      </c>
      <c r="G18" s="9">
        <f>(D18/2)*F7</f>
        <v>65</v>
      </c>
      <c r="H18" s="9">
        <f>(D18/2)*F$8</f>
        <v>15</v>
      </c>
    </row>
    <row r="19" spans="1:8" ht="12.75">
      <c r="A19" s="40"/>
      <c r="B19" t="s">
        <v>184</v>
      </c>
      <c r="D19" s="9">
        <v>2000</v>
      </c>
      <c r="E19" s="9">
        <v>5</v>
      </c>
      <c r="F19" s="9">
        <f t="shared" si="0"/>
        <v>400</v>
      </c>
      <c r="G19" s="9">
        <f>(D19/2)*F7</f>
        <v>65</v>
      </c>
      <c r="H19" s="9">
        <f>(D19/2)*F$8</f>
        <v>15</v>
      </c>
    </row>
    <row r="20" spans="1:8" ht="12.75">
      <c r="A20" s="40"/>
      <c r="B20" t="s">
        <v>112</v>
      </c>
      <c r="D20" s="9">
        <v>500</v>
      </c>
      <c r="E20" s="9">
        <v>5</v>
      </c>
      <c r="F20" s="9">
        <f t="shared" si="0"/>
        <v>100</v>
      </c>
      <c r="G20" s="9">
        <f>(D20/2)*F7</f>
        <v>16.25</v>
      </c>
      <c r="H20" s="9">
        <f>(D20/2)*F$8</f>
        <v>3.75</v>
      </c>
    </row>
    <row r="21" spans="1:8" ht="12.75">
      <c r="A21" s="40"/>
      <c r="B21" t="s">
        <v>297</v>
      </c>
      <c r="D21" s="9">
        <v>1500</v>
      </c>
      <c r="E21" s="9">
        <v>20</v>
      </c>
      <c r="F21" s="9">
        <f t="shared" si="0"/>
        <v>75</v>
      </c>
      <c r="G21" s="9">
        <f>(D21/2)*F7</f>
        <v>48.75</v>
      </c>
      <c r="H21" s="9">
        <f>(D21/2)*F8</f>
        <v>11.25</v>
      </c>
    </row>
    <row r="22" spans="1:8" ht="12.75">
      <c r="A22" s="40"/>
      <c r="B22" t="s">
        <v>186</v>
      </c>
      <c r="D22" s="9">
        <v>625</v>
      </c>
      <c r="E22" s="9">
        <v>5</v>
      </c>
      <c r="F22" s="9">
        <f t="shared" si="0"/>
        <v>125</v>
      </c>
      <c r="G22" s="9">
        <f>(D22/2)*F7</f>
        <v>20.3125</v>
      </c>
      <c r="H22" s="9">
        <f>(D22/2)*F8</f>
        <v>4.6875</v>
      </c>
    </row>
    <row r="23" spans="1:8" ht="12.75">
      <c r="A23" s="40"/>
      <c r="B23" t="s">
        <v>160</v>
      </c>
      <c r="D23" s="9">
        <f>300*E5</f>
        <v>3000</v>
      </c>
      <c r="E23" s="9">
        <v>20</v>
      </c>
      <c r="F23" s="9">
        <f t="shared" si="0"/>
        <v>150</v>
      </c>
      <c r="G23" s="9">
        <f>(D23/2)*F7</f>
        <v>97.5</v>
      </c>
      <c r="H23" s="9">
        <f>(D23/2)*F8</f>
        <v>22.5</v>
      </c>
    </row>
    <row r="24" spans="1:8" ht="13.5" thickBot="1">
      <c r="A24" s="40"/>
      <c r="B24" s="7" t="s">
        <v>272</v>
      </c>
      <c r="D24" s="50">
        <f>SUM(D13:D23)</f>
        <v>87625</v>
      </c>
      <c r="E24" s="11"/>
      <c r="F24" s="105">
        <f>SUM(F13:F23)</f>
        <v>5036.666666666667</v>
      </c>
      <c r="G24" s="105">
        <f>SUM(G13:G23)</f>
        <v>2880.3125</v>
      </c>
      <c r="H24" s="105">
        <f>SUM(H13:H23)</f>
        <v>657.1875</v>
      </c>
    </row>
    <row r="25" spans="1:8" ht="13.5" thickTop="1">
      <c r="A25" s="40"/>
      <c r="D25" s="11"/>
      <c r="E25" s="11"/>
      <c r="F25" s="11"/>
      <c r="G25" s="11"/>
      <c r="H25" s="11"/>
    </row>
    <row r="26" spans="1:8" ht="13.5" thickBot="1">
      <c r="A26" s="40"/>
      <c r="B26" s="7" t="s">
        <v>261</v>
      </c>
      <c r="D26" s="11"/>
      <c r="E26" s="11"/>
      <c r="F26" s="11"/>
      <c r="G26" s="11"/>
      <c r="H26" s="50">
        <f>F24+G24+H24</f>
        <v>8574.166666666668</v>
      </c>
    </row>
    <row r="27" spans="1:8" ht="14.25" thickBot="1" thickTop="1">
      <c r="A27" s="40"/>
      <c r="B27" s="7" t="s">
        <v>90</v>
      </c>
      <c r="D27" s="11"/>
      <c r="E27" s="11"/>
      <c r="F27" s="11"/>
      <c r="G27" s="11"/>
      <c r="H27" s="60">
        <f>H26/E5</f>
        <v>857.4166666666667</v>
      </c>
    </row>
    <row r="28" spans="1:8" ht="13.5" thickTop="1">
      <c r="A28" s="40"/>
      <c r="B28" s="7" t="s">
        <v>195</v>
      </c>
      <c r="D28" s="11"/>
      <c r="E28" s="11"/>
      <c r="F28" s="11"/>
      <c r="G28" s="11"/>
      <c r="H28" s="11"/>
    </row>
    <row r="29" spans="1:8" ht="12.75">
      <c r="A29" s="40"/>
      <c r="B29" t="s">
        <v>188</v>
      </c>
      <c r="D29" s="11"/>
      <c r="E29" s="11"/>
      <c r="F29" s="11">
        <v>50</v>
      </c>
      <c r="G29" s="11"/>
      <c r="H29" s="11"/>
    </row>
    <row r="30" spans="1:8" ht="12.75">
      <c r="A30" s="40"/>
      <c r="B30" t="s">
        <v>234</v>
      </c>
      <c r="D30" s="11"/>
      <c r="E30" s="11"/>
      <c r="F30" s="9">
        <v>625</v>
      </c>
      <c r="G30" s="11"/>
      <c r="H30" s="11"/>
    </row>
    <row r="31" spans="1:8" ht="12.75">
      <c r="A31" s="40"/>
      <c r="B31" t="s">
        <v>91</v>
      </c>
      <c r="D31" s="11"/>
      <c r="E31" s="11"/>
      <c r="F31" s="11">
        <v>100</v>
      </c>
      <c r="G31" s="11"/>
      <c r="H31" s="11"/>
    </row>
    <row r="32" spans="1:8" ht="12.75">
      <c r="A32" s="40"/>
      <c r="B32" t="s">
        <v>120</v>
      </c>
      <c r="D32" s="11"/>
      <c r="E32" s="11"/>
      <c r="F32" s="11"/>
      <c r="G32" s="11"/>
      <c r="H32" s="11"/>
    </row>
    <row r="33" spans="1:8" ht="12.75">
      <c r="A33" s="40"/>
      <c r="B33" t="s">
        <v>15</v>
      </c>
      <c r="D33" s="11"/>
      <c r="E33" s="11"/>
      <c r="F33" s="11">
        <v>1100</v>
      </c>
      <c r="G33" s="11"/>
      <c r="H33" s="11"/>
    </row>
    <row r="34" spans="1:8" ht="12.75">
      <c r="A34" s="40"/>
      <c r="B34" t="s">
        <v>35</v>
      </c>
      <c r="D34" s="11"/>
      <c r="E34" s="11"/>
      <c r="F34" s="11">
        <v>0.12</v>
      </c>
      <c r="G34" s="11"/>
      <c r="H34" s="11"/>
    </row>
    <row r="35" spans="1:8" ht="12.75">
      <c r="A35" s="40"/>
      <c r="B35" t="s">
        <v>87</v>
      </c>
      <c r="D35" s="11"/>
      <c r="E35" s="11"/>
      <c r="F35" s="9">
        <v>1245</v>
      </c>
      <c r="G35" s="11"/>
      <c r="H35" s="11"/>
    </row>
    <row r="36" spans="1:8" ht="12.75">
      <c r="A36" s="40"/>
      <c r="B36" t="s">
        <v>89</v>
      </c>
      <c r="D36" s="11"/>
      <c r="E36" s="11"/>
      <c r="F36" s="11"/>
      <c r="G36" s="11"/>
      <c r="H36" s="5">
        <f>F35/E5</f>
        <v>124.5</v>
      </c>
    </row>
    <row r="37" spans="1:8" ht="13.5" thickBot="1">
      <c r="A37" s="40"/>
      <c r="B37" s="7" t="s">
        <v>194</v>
      </c>
      <c r="D37" s="11"/>
      <c r="E37" s="11"/>
      <c r="F37" s="11"/>
      <c r="G37" s="11"/>
      <c r="H37" s="60">
        <f>(F30+F35)/E5</f>
        <v>187</v>
      </c>
    </row>
    <row r="38" spans="1:8" ht="13.5" thickTop="1">
      <c r="A38" s="40"/>
      <c r="D38" s="11"/>
      <c r="E38" s="11"/>
      <c r="F38" s="11"/>
      <c r="G38" s="11"/>
      <c r="H38" s="11"/>
    </row>
    <row r="39" spans="1:8" ht="13.5" thickBot="1">
      <c r="A39" s="40"/>
      <c r="B39" s="7" t="s">
        <v>259</v>
      </c>
      <c r="D39" s="11"/>
      <c r="E39" s="11"/>
      <c r="F39" s="11"/>
      <c r="G39" s="11"/>
      <c r="H39" s="60">
        <f>H27+H37</f>
        <v>1044.4166666666667</v>
      </c>
    </row>
    <row r="40" ht="13.5" thickTop="1">
      <c r="A40" s="40"/>
    </row>
    <row r="41" spans="1:8" ht="12.75">
      <c r="A41" s="40"/>
      <c r="B41" s="107" t="s">
        <v>69</v>
      </c>
      <c r="C41" s="107"/>
      <c r="D41" s="107"/>
      <c r="E41" s="107"/>
      <c r="F41" s="107"/>
      <c r="G41" s="107"/>
      <c r="H41" s="107"/>
    </row>
    <row r="42" spans="1:8" ht="12.75">
      <c r="A42" s="40"/>
      <c r="B42" s="107" t="s">
        <v>453</v>
      </c>
      <c r="C42" s="107"/>
      <c r="D42" s="107"/>
      <c r="E42" s="107"/>
      <c r="F42" s="107"/>
      <c r="G42" s="107"/>
      <c r="H42" s="107"/>
    </row>
    <row r="43" spans="1:8" ht="12.75">
      <c r="A43" s="40"/>
      <c r="B43" s="107" t="s">
        <v>6</v>
      </c>
      <c r="C43" s="107"/>
      <c r="D43" s="107"/>
      <c r="E43" s="107"/>
      <c r="F43" s="107"/>
      <c r="G43" s="107"/>
      <c r="H43" s="107"/>
    </row>
    <row r="44" spans="1:8" ht="12.75">
      <c r="A44" s="40"/>
      <c r="B44" s="107" t="s">
        <v>454</v>
      </c>
      <c r="C44" s="107"/>
      <c r="D44" s="107"/>
      <c r="E44" s="107"/>
      <c r="F44" s="107"/>
      <c r="G44" s="107"/>
      <c r="H44" s="107"/>
    </row>
    <row r="45" spans="1:9" ht="12.75">
      <c r="A45" s="40"/>
      <c r="I45" s="107"/>
    </row>
    <row r="46" spans="1:9" ht="12.75">
      <c r="A46" s="40"/>
      <c r="B46" s="107"/>
      <c r="I46" s="107"/>
    </row>
    <row r="47" spans="1:9" ht="12.75">
      <c r="A47" s="40"/>
      <c r="B47" s="107"/>
      <c r="I47" s="107"/>
    </row>
    <row r="48" spans="1:9" ht="12.75">
      <c r="A48" s="40"/>
      <c r="I48" s="107"/>
    </row>
    <row r="49" spans="1:9" ht="12.75">
      <c r="A49" s="40"/>
      <c r="B49" s="107"/>
      <c r="C49" s="107"/>
      <c r="D49" s="107"/>
      <c r="E49" s="107"/>
      <c r="F49" s="107"/>
      <c r="G49" s="107"/>
      <c r="H49" s="107"/>
      <c r="I49" s="107"/>
    </row>
    <row r="50" spans="1:9" ht="12.75">
      <c r="A50" s="40"/>
      <c r="B50" s="41"/>
      <c r="C50" s="41"/>
      <c r="D50" s="41"/>
      <c r="E50" s="41"/>
      <c r="F50" s="41"/>
      <c r="G50" s="41"/>
      <c r="H50" s="41"/>
      <c r="I50" s="41"/>
    </row>
    <row r="51" spans="1:9" ht="12.75">
      <c r="A51" s="40"/>
      <c r="C51" s="107"/>
      <c r="D51" s="107"/>
      <c r="E51" s="107"/>
      <c r="F51" s="107"/>
      <c r="G51" s="107"/>
      <c r="H51" s="107"/>
      <c r="I51" s="107"/>
    </row>
    <row r="52" spans="1:8" ht="12.75">
      <c r="A52" s="40"/>
      <c r="D52" s="11"/>
      <c r="E52" s="11"/>
      <c r="F52" s="11"/>
      <c r="G52" s="11"/>
      <c r="H52" s="11"/>
    </row>
    <row r="53" spans="1:10" ht="12.75">
      <c r="A53" s="40"/>
      <c r="J53" s="44"/>
    </row>
    <row r="54" spans="1:10" ht="12.75">
      <c r="A54" s="40"/>
      <c r="J54" s="44"/>
    </row>
    <row r="55" spans="1:10" ht="12.75">
      <c r="A55" s="40"/>
      <c r="J55" s="44"/>
    </row>
    <row r="56" ht="12.75">
      <c r="J56" s="44"/>
    </row>
    <row r="57" ht="12.75">
      <c r="J57" s="44"/>
    </row>
    <row r="58" ht="12.75">
      <c r="J58" s="44"/>
    </row>
    <row r="59" ht="12.75">
      <c r="J59" s="44"/>
    </row>
    <row r="63" spans="2:10" ht="12.75">
      <c r="B63" s="74"/>
      <c r="C63" s="74"/>
      <c r="D63" s="74"/>
      <c r="E63" s="74"/>
      <c r="F63" s="74"/>
      <c r="G63" s="74"/>
      <c r="H63" s="74"/>
      <c r="I63" s="74"/>
      <c r="J63" s="75"/>
    </row>
    <row r="64" spans="2:10" ht="12.75">
      <c r="B64" s="159"/>
      <c r="C64" s="159"/>
      <c r="D64" s="159"/>
      <c r="E64" s="159"/>
      <c r="F64" s="159"/>
      <c r="G64" s="159"/>
      <c r="H64" s="159"/>
      <c r="I64" s="159"/>
      <c r="J64" s="159"/>
    </row>
    <row r="65" spans="2:10" ht="12.75">
      <c r="B65" s="159"/>
      <c r="C65" s="159"/>
      <c r="D65" s="159"/>
      <c r="E65" s="159"/>
      <c r="F65" s="159"/>
      <c r="G65" s="159"/>
      <c r="H65" s="159"/>
      <c r="I65" s="159"/>
      <c r="J65" s="159"/>
    </row>
  </sheetData>
  <sheetProtection/>
  <mergeCells count="5">
    <mergeCell ref="B65:J65"/>
    <mergeCell ref="C4:G4"/>
    <mergeCell ref="B64:J64"/>
    <mergeCell ref="B2:H2"/>
    <mergeCell ref="B3:H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Fonsah</dc:creator>
  <cp:keywords/>
  <dc:description/>
  <cp:lastModifiedBy>Esendugue Greg Fonsah</cp:lastModifiedBy>
  <cp:lastPrinted>2020-03-19T13:54:39Z</cp:lastPrinted>
  <dcterms:created xsi:type="dcterms:W3CDTF">2017-06-26T16:31:50Z</dcterms:created>
  <dcterms:modified xsi:type="dcterms:W3CDTF">2021-01-06T21:27:22Z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0x010100F8CF221911E6094A9806396E4589B962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