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ziehl/Desktop/2022 M&amp;B/"/>
    </mc:Choice>
  </mc:AlternateContent>
  <xr:revisionPtr revIDLastSave="0" documentId="13_ncr:1_{D727F5FA-59C0-A54C-B5AC-950DC3FD6F82}" xr6:coauthVersionLast="47" xr6:coauthVersionMax="47" xr10:uidLastSave="{00000000-0000-0000-0000-000000000000}"/>
  <bookViews>
    <workbookView xWindow="17480" yWindow="1560" windowWidth="27560" windowHeight="16300" tabRatio="790" activeTab="1" xr2:uid="{00000000-000D-0000-FFFF-FFFF00000000}"/>
  </bookViews>
  <sheets>
    <sheet name="Sheet1" sheetId="18" state="hidden" r:id="rId1"/>
    <sheet name="Conventional" sheetId="1" r:id="rId2"/>
    <sheet name="Prices" sheetId="10" state="hidden" r:id="rId3"/>
    <sheet name="Strip-Till" sheetId="2" r:id="rId4"/>
    <sheet name="Peanut Price Calculator" sheetId="17" r:id="rId5"/>
    <sheet name="Price Comparison" sheetId="14" r:id="rId6"/>
    <sheet name="CTillCharts" sheetId="11" r:id="rId7"/>
    <sheet name="STillCharts" sheetId="16" r:id="rId8"/>
    <sheet name="Irrigated" sheetId="7" state="hidden" r:id="rId9"/>
    <sheet name="Dryland" sheetId="3" state="hidden" r:id="rId10"/>
    <sheet name="Irrigated ST" sheetId="9" state="hidden" r:id="rId11"/>
    <sheet name="Dryland ST" sheetId="8" state="hidden" r:id="rId12"/>
  </sheets>
  <definedNames>
    <definedName name="_xlnm.Print_Area" localSheetId="1">Conventional!$A$1:$AA$48</definedName>
    <definedName name="_xlnm.Print_Area" localSheetId="6">CTillCharts!$A$1:$M$408</definedName>
    <definedName name="_xlnm.Print_Area" localSheetId="9">Dryland!$A$6:$M$38</definedName>
    <definedName name="_xlnm.Print_Area" localSheetId="11">'Dryland ST'!$A$6:$M$38</definedName>
    <definedName name="_xlnm.Print_Area" localSheetId="8">Irrigated!$A$4:$M$38</definedName>
    <definedName name="_xlnm.Print_Area" localSheetId="10">'Irrigated ST'!$A$3:$M$38</definedName>
    <definedName name="_xlnm.Print_Area" localSheetId="4">'Peanut Price Calculator'!$A$9:$I$28</definedName>
    <definedName name="_xlnm.Print_Area" localSheetId="5">'Price Comparison'!$A$1:$I$18</definedName>
    <definedName name="_xlnm.Print_Area" localSheetId="7">STillCharts!$A$1:$M$408</definedName>
    <definedName name="_xlnm.Print_Area" localSheetId="3">'Strip-Till'!$A$1:$U$50</definedName>
    <definedName name="TVC" localSheetId="7">Dryland!#REF!</definedName>
    <definedName name="TVC">Dryland!#REF!</definedName>
    <definedName name="yield" localSheetId="7">Dryland!#REF!</definedName>
    <definedName name="yield">Dryland!#REF!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2" l="1"/>
  <c r="B21" i="2"/>
  <c r="L16" i="2"/>
  <c r="B16" i="2"/>
  <c r="L35" i="1"/>
  <c r="B35" i="1"/>
  <c r="L20" i="1"/>
  <c r="B20" i="1"/>
  <c r="B15" i="1"/>
  <c r="L15" i="1"/>
  <c r="L13" i="1"/>
  <c r="B13" i="1"/>
  <c r="D36" i="2"/>
  <c r="N36" i="2"/>
  <c r="D21" i="2"/>
  <c r="N21" i="2"/>
  <c r="N16" i="2"/>
  <c r="D16" i="2"/>
  <c r="D14" i="2"/>
  <c r="N14" i="2"/>
  <c r="D35" i="1"/>
  <c r="N35" i="1"/>
  <c r="D20" i="1"/>
  <c r="N20" i="1"/>
  <c r="N19" i="1"/>
  <c r="D19" i="1"/>
  <c r="N15" i="1"/>
  <c r="D15" i="1"/>
  <c r="N13" i="1"/>
  <c r="D13" i="1"/>
  <c r="H36" i="2"/>
  <c r="R36" i="2"/>
  <c r="R21" i="2"/>
  <c r="H21" i="2"/>
  <c r="R16" i="2"/>
  <c r="H16" i="2"/>
  <c r="R11" i="2"/>
  <c r="H11" i="2"/>
  <c r="R35" i="1"/>
  <c r="H35" i="1"/>
  <c r="R20" i="1"/>
  <c r="H20" i="1"/>
  <c r="R15" i="1"/>
  <c r="H15" i="1"/>
  <c r="J15" i="1"/>
  <c r="R13" i="1"/>
  <c r="H13" i="1"/>
  <c r="R11" i="1"/>
  <c r="H11" i="1"/>
  <c r="T35" i="1"/>
  <c r="T20" i="1"/>
  <c r="T15" i="1"/>
  <c r="T13" i="1"/>
  <c r="T21" i="2"/>
  <c r="T16" i="2"/>
  <c r="J36" i="2"/>
  <c r="J23" i="2"/>
  <c r="J21" i="2"/>
  <c r="J16" i="2"/>
  <c r="J35" i="1"/>
  <c r="J20" i="1"/>
  <c r="J13" i="1"/>
  <c r="P36" i="2"/>
  <c r="P21" i="2"/>
  <c r="P16" i="2"/>
  <c r="P35" i="1"/>
  <c r="P22" i="1"/>
  <c r="P20" i="1"/>
  <c r="P15" i="1"/>
  <c r="P13" i="1"/>
  <c r="F36" i="2"/>
  <c r="F21" i="2"/>
  <c r="F16" i="2"/>
  <c r="F11" i="2"/>
  <c r="F35" i="1"/>
  <c r="F20" i="1"/>
  <c r="F15" i="1"/>
  <c r="F13" i="1"/>
  <c r="V35" i="1" l="1"/>
  <c r="V20" i="1"/>
  <c r="V15" i="1"/>
  <c r="V13" i="1"/>
  <c r="X35" i="1"/>
  <c r="X20" i="1"/>
  <c r="X19" i="1"/>
  <c r="X15" i="1"/>
  <c r="X13" i="1"/>
  <c r="X11" i="1"/>
  <c r="T36" i="2"/>
  <c r="L36" i="2"/>
  <c r="A23" i="17" l="1"/>
  <c r="A12" i="17"/>
  <c r="F8" i="2"/>
  <c r="L27" i="1" l="1"/>
  <c r="B27" i="1"/>
  <c r="B28" i="2"/>
  <c r="L28" i="2"/>
  <c r="B19" i="1"/>
  <c r="L19" i="1"/>
  <c r="B12" i="1"/>
  <c r="J21" i="1" l="1"/>
  <c r="H21" i="1"/>
  <c r="F21" i="1"/>
  <c r="B21" i="1"/>
  <c r="B26" i="1" s="1"/>
  <c r="D21" i="1"/>
  <c r="J8" i="2" l="1"/>
  <c r="H8" i="2"/>
  <c r="T19" i="1" l="1"/>
  <c r="T26" i="1" s="1"/>
  <c r="H24" i="2" l="1"/>
  <c r="H19" i="1" l="1"/>
  <c r="H26" i="1" s="1"/>
  <c r="R19" i="1"/>
  <c r="R26" i="1" s="1"/>
  <c r="D26" i="1" l="1"/>
  <c r="D48" i="2" l="1"/>
  <c r="N24" i="2" l="1"/>
  <c r="P24" i="2"/>
  <c r="D24" i="2"/>
  <c r="F24" i="2"/>
  <c r="D4" i="9"/>
  <c r="T24" i="2"/>
  <c r="L24" i="2"/>
  <c r="J24" i="2"/>
  <c r="B24" i="2"/>
  <c r="P19" i="1"/>
  <c r="P26" i="1" s="1"/>
  <c r="F19" i="1"/>
  <c r="F26" i="1" s="1"/>
  <c r="X26" i="1"/>
  <c r="V19" i="1"/>
  <c r="V26" i="1" s="1"/>
  <c r="B8" i="2"/>
  <c r="B4" i="9" s="1"/>
  <c r="F48" i="2"/>
  <c r="H48" i="2"/>
  <c r="A27" i="17"/>
  <c r="A16" i="17"/>
  <c r="B17" i="17" s="1"/>
  <c r="D8" i="1" s="1"/>
  <c r="X8" i="1"/>
  <c r="X9" i="1" s="1"/>
  <c r="A2" i="2"/>
  <c r="B50" i="2"/>
  <c r="T29" i="2"/>
  <c r="T8" i="2"/>
  <c r="T9" i="2" s="1"/>
  <c r="R24" i="2"/>
  <c r="R8" i="2"/>
  <c r="E4" i="8" s="1"/>
  <c r="P29" i="2"/>
  <c r="P8" i="2"/>
  <c r="P9" i="2" s="1"/>
  <c r="J29" i="2"/>
  <c r="J9" i="2"/>
  <c r="E4" i="9"/>
  <c r="F29" i="2"/>
  <c r="N18" i="2"/>
  <c r="N19" i="2"/>
  <c r="N7" i="2"/>
  <c r="N29" i="2" s="1"/>
  <c r="D18" i="2"/>
  <c r="D19" i="2"/>
  <c r="D7" i="2"/>
  <c r="D29" i="2" s="1"/>
  <c r="L18" i="2"/>
  <c r="L19" i="2"/>
  <c r="L13" i="2"/>
  <c r="L8" i="2"/>
  <c r="L9" i="2" s="1"/>
  <c r="B18" i="2"/>
  <c r="B19" i="2"/>
  <c r="B13" i="2"/>
  <c r="A33" i="2"/>
  <c r="A34" i="2"/>
  <c r="X28" i="1"/>
  <c r="V28" i="1"/>
  <c r="T28" i="1"/>
  <c r="T8" i="1"/>
  <c r="T9" i="1" s="1"/>
  <c r="R8" i="1"/>
  <c r="R9" i="1" s="1"/>
  <c r="P28" i="1"/>
  <c r="P8" i="1"/>
  <c r="P9" i="1" s="1"/>
  <c r="N26" i="1"/>
  <c r="N7" i="1"/>
  <c r="N28" i="1" s="1"/>
  <c r="L12" i="1"/>
  <c r="L26" i="1" s="1"/>
  <c r="L8" i="1"/>
  <c r="L9" i="1" s="1"/>
  <c r="J19" i="1"/>
  <c r="J26" i="1" s="1"/>
  <c r="J28" i="1"/>
  <c r="F28" i="1"/>
  <c r="D7" i="1"/>
  <c r="B269" i="11" s="1"/>
  <c r="D10" i="18"/>
  <c r="D11" i="18" s="1"/>
  <c r="D12" i="18" s="1"/>
  <c r="A10" i="18"/>
  <c r="A11" i="18" s="1"/>
  <c r="A12" i="18" s="1"/>
  <c r="E10" i="18"/>
  <c r="E11" i="18" s="1"/>
  <c r="E12" i="18" s="1"/>
  <c r="C10" i="18"/>
  <c r="C11" i="18" s="1"/>
  <c r="C12" i="18" s="1"/>
  <c r="B10" i="18"/>
  <c r="B11" i="18" s="1"/>
  <c r="B12" i="18" s="1"/>
  <c r="D3" i="18"/>
  <c r="D4" i="18" s="1"/>
  <c r="D5" i="18" s="1"/>
  <c r="A3" i="18"/>
  <c r="A4" i="18" s="1"/>
  <c r="A5" i="18" s="1"/>
  <c r="E3" i="18"/>
  <c r="E4" i="18" s="1"/>
  <c r="E5" i="18" s="1"/>
  <c r="C3" i="18"/>
  <c r="C4" i="18" s="1"/>
  <c r="C5" i="18" s="1"/>
  <c r="B3" i="18"/>
  <c r="B4" i="18" s="1"/>
  <c r="B5" i="18" s="1"/>
  <c r="J37" i="2"/>
  <c r="A3" i="2"/>
  <c r="B3" i="9"/>
  <c r="K13" i="9" s="1"/>
  <c r="I13" i="9" s="1"/>
  <c r="B37" i="2"/>
  <c r="B372" i="11"/>
  <c r="A1" i="2"/>
  <c r="D37" i="2"/>
  <c r="F37" i="2"/>
  <c r="H37" i="2"/>
  <c r="B4" i="17"/>
  <c r="B6" i="17" s="1"/>
  <c r="A49" i="2"/>
  <c r="B406" i="16"/>
  <c r="B405" i="16"/>
  <c r="B337" i="16"/>
  <c r="B336" i="16"/>
  <c r="B304" i="16"/>
  <c r="B303" i="16"/>
  <c r="B236" i="16"/>
  <c r="B235" i="16"/>
  <c r="B100" i="16"/>
  <c r="B99" i="16"/>
  <c r="B66" i="16"/>
  <c r="B65" i="16"/>
  <c r="B406" i="11"/>
  <c r="B405" i="11"/>
  <c r="B337" i="11"/>
  <c r="B336" i="11"/>
  <c r="B304" i="11"/>
  <c r="B303" i="11"/>
  <c r="B236" i="11"/>
  <c r="B235" i="11"/>
  <c r="B133" i="11"/>
  <c r="B100" i="11"/>
  <c r="B99" i="11"/>
  <c r="B66" i="11"/>
  <c r="B65" i="11"/>
  <c r="D67" i="10"/>
  <c r="E67" i="10"/>
  <c r="B67" i="10"/>
  <c r="E46" i="10"/>
  <c r="D46" i="10"/>
  <c r="B46" i="10"/>
  <c r="T77" i="10"/>
  <c r="T78" i="10" s="1"/>
  <c r="T79" i="10" s="1"/>
  <c r="T80" i="10" s="1"/>
  <c r="T81" i="10" s="1"/>
  <c r="T82" i="10" s="1"/>
  <c r="T83" i="10" s="1"/>
  <c r="T84" i="10" s="1"/>
  <c r="N77" i="10"/>
  <c r="N78" i="10" s="1"/>
  <c r="N79" i="10" s="1"/>
  <c r="N80" i="10" s="1"/>
  <c r="N81" i="10" s="1"/>
  <c r="N82" i="10" s="1"/>
  <c r="N83" i="10" s="1"/>
  <c r="N84" i="10" s="1"/>
  <c r="B77" i="10"/>
  <c r="B78" i="10" s="1"/>
  <c r="B79" i="10" s="1"/>
  <c r="B80" i="10" s="1"/>
  <c r="B81" i="10" s="1"/>
  <c r="B82" i="10" s="1"/>
  <c r="B83" i="10" s="1"/>
  <c r="B84" i="10" s="1"/>
  <c r="T56" i="10"/>
  <c r="T57" i="10" s="1"/>
  <c r="T58" i="10" s="1"/>
  <c r="T59" i="10" s="1"/>
  <c r="N56" i="10"/>
  <c r="N57" i="10" s="1"/>
  <c r="N58" i="10" s="1"/>
  <c r="N59" i="10" s="1"/>
  <c r="N60" i="10" s="1"/>
  <c r="N61" i="10" s="1"/>
  <c r="N62" i="10" s="1"/>
  <c r="N63" i="10" s="1"/>
  <c r="B56" i="10"/>
  <c r="B57" i="10" s="1"/>
  <c r="B58" i="10" s="1"/>
  <c r="B59" i="10" s="1"/>
  <c r="B60" i="10" s="1"/>
  <c r="B61" i="10" s="1"/>
  <c r="B62" i="10" s="1"/>
  <c r="B63" i="10" s="1"/>
  <c r="B35" i="10"/>
  <c r="B34" i="10" s="1"/>
  <c r="B33" i="10" s="1"/>
  <c r="N14" i="10"/>
  <c r="N15" i="10" s="1"/>
  <c r="N16" i="10" s="1"/>
  <c r="N17" i="10" s="1"/>
  <c r="N18" i="10" s="1"/>
  <c r="N19" i="10" s="1"/>
  <c r="N20" i="10" s="1"/>
  <c r="N21" i="10" s="1"/>
  <c r="T14" i="10"/>
  <c r="T13" i="10" s="1"/>
  <c r="T12" i="10" s="1"/>
  <c r="T11" i="10" s="1"/>
  <c r="T10" i="10" s="1"/>
  <c r="T9" i="10" s="1"/>
  <c r="T8" i="10" s="1"/>
  <c r="T7" i="10" s="1"/>
  <c r="T35" i="10"/>
  <c r="T36" i="10" s="1"/>
  <c r="T37" i="10" s="1"/>
  <c r="N35" i="10"/>
  <c r="N36" i="10" s="1"/>
  <c r="N37" i="10" s="1"/>
  <c r="N38" i="10" s="1"/>
  <c r="N39" i="10" s="1"/>
  <c r="N40" i="10" s="1"/>
  <c r="N41" i="10" s="1"/>
  <c r="N42" i="10" s="1"/>
  <c r="E25" i="10"/>
  <c r="D25" i="10"/>
  <c r="B25" i="10"/>
  <c r="B14" i="10"/>
  <c r="B15" i="10" s="1"/>
  <c r="B16" i="10" s="1"/>
  <c r="B17" i="10" s="1"/>
  <c r="E4" i="10"/>
  <c r="D4" i="10"/>
  <c r="B4" i="10"/>
  <c r="E4" i="7"/>
  <c r="A36" i="7" s="1"/>
  <c r="A36" i="3" s="1"/>
  <c r="D3" i="9"/>
  <c r="D13" i="9" s="1"/>
  <c r="E3" i="9"/>
  <c r="D33" i="9" s="1"/>
  <c r="F3" i="9"/>
  <c r="D23" i="9" s="1"/>
  <c r="D3" i="8"/>
  <c r="D13" i="8" s="1"/>
  <c r="E3" i="8"/>
  <c r="D33" i="8" s="1"/>
  <c r="F3" i="8"/>
  <c r="D23" i="8" s="1"/>
  <c r="B3" i="8"/>
  <c r="K13" i="8" s="1"/>
  <c r="B2" i="8"/>
  <c r="C2" i="8"/>
  <c r="D2" i="8"/>
  <c r="E2" i="8"/>
  <c r="F2" i="8"/>
  <c r="B2" i="9"/>
  <c r="C2" i="9"/>
  <c r="D2" i="9"/>
  <c r="E2" i="9"/>
  <c r="F2" i="9"/>
  <c r="B2" i="7"/>
  <c r="C2" i="7"/>
  <c r="D2" i="7"/>
  <c r="E2" i="7"/>
  <c r="F2" i="7"/>
  <c r="G2" i="7"/>
  <c r="B3" i="7"/>
  <c r="K13" i="7" s="1"/>
  <c r="D3" i="7"/>
  <c r="D13" i="7" s="1"/>
  <c r="E3" i="7"/>
  <c r="D33" i="7" s="1"/>
  <c r="F3" i="7"/>
  <c r="D23" i="7" s="1"/>
  <c r="G3" i="7"/>
  <c r="K33" i="7" s="1"/>
  <c r="B4" i="7"/>
  <c r="H16" i="7" s="1"/>
  <c r="D4" i="7"/>
  <c r="A16" i="7" s="1"/>
  <c r="G4" i="7"/>
  <c r="H36" i="7" s="1"/>
  <c r="G3" i="3"/>
  <c r="K33" i="3" s="1"/>
  <c r="F3" i="3"/>
  <c r="D23" i="3" s="1"/>
  <c r="E3" i="3"/>
  <c r="D33" i="3" s="1"/>
  <c r="F33" i="3" s="1"/>
  <c r="D3" i="3"/>
  <c r="D13" i="3" s="1"/>
  <c r="B3" i="3"/>
  <c r="K13" i="3" s="1"/>
  <c r="I13" i="3" s="1"/>
  <c r="B2" i="3"/>
  <c r="C2" i="3"/>
  <c r="D2" i="3"/>
  <c r="E2" i="3"/>
  <c r="F2" i="3"/>
  <c r="G2" i="3"/>
  <c r="V9" i="1"/>
  <c r="H9" i="1"/>
  <c r="B9" i="1"/>
  <c r="F9" i="1"/>
  <c r="B270" i="16"/>
  <c r="B134" i="11"/>
  <c r="F4" i="7"/>
  <c r="A26" i="7" s="1"/>
  <c r="J9" i="1"/>
  <c r="B371" i="11"/>
  <c r="B202" i="11"/>
  <c r="F9" i="2"/>
  <c r="C25" i="10"/>
  <c r="B32" i="11"/>
  <c r="B269" i="16" l="1"/>
  <c r="B201" i="11"/>
  <c r="C4" i="10"/>
  <c r="C3" i="9"/>
  <c r="K23" i="9" s="1"/>
  <c r="I23" i="9" s="1"/>
  <c r="D28" i="1"/>
  <c r="B167" i="11"/>
  <c r="B371" i="16"/>
  <c r="C3" i="7"/>
  <c r="K23" i="7" s="1"/>
  <c r="L23" i="7" s="1"/>
  <c r="B31" i="11"/>
  <c r="B133" i="16"/>
  <c r="N20" i="2"/>
  <c r="D20" i="2"/>
  <c r="H14" i="2"/>
  <c r="R14" i="2"/>
  <c r="B14" i="2"/>
  <c r="T14" i="2"/>
  <c r="L14" i="2"/>
  <c r="J14" i="2"/>
  <c r="F14" i="2"/>
  <c r="P14" i="2"/>
  <c r="C46" i="10"/>
  <c r="B31" i="16"/>
  <c r="B201" i="16"/>
  <c r="B167" i="16"/>
  <c r="B168" i="16"/>
  <c r="L20" i="2"/>
  <c r="B20" i="2"/>
  <c r="F22" i="2"/>
  <c r="H22" i="2"/>
  <c r="D22" i="2"/>
  <c r="J22" i="2"/>
  <c r="B22" i="2"/>
  <c r="X30" i="1"/>
  <c r="E4" i="3"/>
  <c r="E5" i="3" s="1"/>
  <c r="E5" i="7"/>
  <c r="B76" i="10"/>
  <c r="B75" i="10" s="1"/>
  <c r="B74" i="10" s="1"/>
  <c r="B73" i="10" s="1"/>
  <c r="B72" i="10" s="1"/>
  <c r="B71" i="10" s="1"/>
  <c r="B70" i="10" s="1"/>
  <c r="B5" i="7"/>
  <c r="F33" i="9"/>
  <c r="E33" i="9"/>
  <c r="I13" i="7"/>
  <c r="L13" i="7"/>
  <c r="L30" i="1"/>
  <c r="D29" i="1"/>
  <c r="T55" i="10"/>
  <c r="T54" i="10" s="1"/>
  <c r="T53" i="10" s="1"/>
  <c r="T52" i="10" s="1"/>
  <c r="T51" i="10" s="1"/>
  <c r="T50" i="10" s="1"/>
  <c r="T49" i="10" s="1"/>
  <c r="B4" i="8"/>
  <c r="B5" i="8" s="1"/>
  <c r="D5" i="7"/>
  <c r="G4" i="3"/>
  <c r="G5" i="3" s="1"/>
  <c r="L13" i="3"/>
  <c r="M13" i="7"/>
  <c r="R9" i="2"/>
  <c r="F4" i="9"/>
  <c r="F5" i="9" s="1"/>
  <c r="L13" i="9"/>
  <c r="B36" i="10"/>
  <c r="B37" i="10" s="1"/>
  <c r="B38" i="10" s="1"/>
  <c r="B39" i="10" s="1"/>
  <c r="B40" i="10" s="1"/>
  <c r="D4" i="8"/>
  <c r="D5" i="8" s="1"/>
  <c r="N13" i="10"/>
  <c r="N12" i="10" s="1"/>
  <c r="N11" i="10" s="1"/>
  <c r="N76" i="10"/>
  <c r="N75" i="10" s="1"/>
  <c r="N74" i="10" s="1"/>
  <c r="N73" i="10" s="1"/>
  <c r="N72" i="10" s="1"/>
  <c r="N71" i="10" s="1"/>
  <c r="N70" i="10" s="1"/>
  <c r="B202" i="16"/>
  <c r="C33" i="7"/>
  <c r="B33" i="7"/>
  <c r="E33" i="7"/>
  <c r="M13" i="3"/>
  <c r="A37" i="7"/>
  <c r="A37" i="9" s="1"/>
  <c r="E33" i="3"/>
  <c r="C33" i="9"/>
  <c r="M13" i="9"/>
  <c r="T15" i="10"/>
  <c r="T16" i="10" s="1"/>
  <c r="T17" i="10" s="1"/>
  <c r="T76" i="10"/>
  <c r="T75" i="10" s="1"/>
  <c r="T74" i="10" s="1"/>
  <c r="T73" i="10" s="1"/>
  <c r="J13" i="3"/>
  <c r="J13" i="9"/>
  <c r="J13" i="7"/>
  <c r="E5" i="8"/>
  <c r="N55" i="10"/>
  <c r="N54" i="10" s="1"/>
  <c r="N53" i="10" s="1"/>
  <c r="E5" i="9"/>
  <c r="D5" i="9"/>
  <c r="B4" i="3"/>
  <c r="B5" i="3" s="1"/>
  <c r="P30" i="1"/>
  <c r="B9" i="2"/>
  <c r="B55" i="10"/>
  <c r="B54" i="10" s="1"/>
  <c r="B53" i="10" s="1"/>
  <c r="B52" i="10" s="1"/>
  <c r="B51" i="10" s="1"/>
  <c r="B50" i="10" s="1"/>
  <c r="B49" i="10" s="1"/>
  <c r="F4" i="8"/>
  <c r="F5" i="8" s="1"/>
  <c r="F4" i="3"/>
  <c r="F5" i="3" s="1"/>
  <c r="F5" i="7"/>
  <c r="D4" i="3"/>
  <c r="D5" i="3" s="1"/>
  <c r="N34" i="10"/>
  <c r="N33" i="10" s="1"/>
  <c r="N32" i="10" s="1"/>
  <c r="N31" i="10" s="1"/>
  <c r="N30" i="10" s="1"/>
  <c r="A38" i="7"/>
  <c r="A36" i="9"/>
  <c r="A35" i="7"/>
  <c r="A36" i="8"/>
  <c r="A34" i="7"/>
  <c r="A34" i="8" s="1"/>
  <c r="T34" i="10"/>
  <c r="T33" i="10" s="1"/>
  <c r="T32" i="10" s="1"/>
  <c r="H9" i="2"/>
  <c r="C67" i="10"/>
  <c r="B168" i="11"/>
  <c r="B270" i="11"/>
  <c r="B32" i="16"/>
  <c r="C3" i="8"/>
  <c r="K23" i="8" s="1"/>
  <c r="J23" i="8" s="1"/>
  <c r="C3" i="3"/>
  <c r="K23" i="3" s="1"/>
  <c r="L23" i="3" s="1"/>
  <c r="B372" i="16"/>
  <c r="B134" i="16"/>
  <c r="B13" i="7"/>
  <c r="C13" i="7"/>
  <c r="E13" i="7"/>
  <c r="F13" i="7"/>
  <c r="I23" i="7"/>
  <c r="H16" i="3"/>
  <c r="H15" i="7"/>
  <c r="H14" i="7"/>
  <c r="H18" i="7"/>
  <c r="H16" i="9"/>
  <c r="H16" i="8"/>
  <c r="H17" i="7"/>
  <c r="F13" i="8"/>
  <c r="E13" i="8"/>
  <c r="C13" i="8"/>
  <c r="B13" i="8"/>
  <c r="A24" i="7"/>
  <c r="A26" i="9"/>
  <c r="A26" i="3"/>
  <c r="A28" i="7"/>
  <c r="A26" i="8"/>
  <c r="A25" i="7"/>
  <c r="A27" i="7"/>
  <c r="H35" i="7"/>
  <c r="H35" i="3" s="1"/>
  <c r="H34" i="7"/>
  <c r="H34" i="3" s="1"/>
  <c r="H36" i="3"/>
  <c r="H38" i="7"/>
  <c r="H38" i="3" s="1"/>
  <c r="H37" i="7"/>
  <c r="H37" i="3" s="1"/>
  <c r="B23" i="7"/>
  <c r="C23" i="7"/>
  <c r="E23" i="7"/>
  <c r="F23" i="7"/>
  <c r="B13" i="9"/>
  <c r="E13" i="9"/>
  <c r="C13" i="9"/>
  <c r="F13" i="9"/>
  <c r="C23" i="3"/>
  <c r="E23" i="3"/>
  <c r="F23" i="3"/>
  <c r="B23" i="3"/>
  <c r="B23" i="9"/>
  <c r="C23" i="9"/>
  <c r="E23" i="9"/>
  <c r="F23" i="9"/>
  <c r="F33" i="7"/>
  <c r="H30" i="1"/>
  <c r="H38" i="1" s="1"/>
  <c r="H39" i="1" s="1"/>
  <c r="H41" i="1" s="1"/>
  <c r="B13" i="10"/>
  <c r="B12" i="10" s="1"/>
  <c r="T30" i="1"/>
  <c r="B33" i="3"/>
  <c r="B33" i="9"/>
  <c r="N29" i="1"/>
  <c r="N30" i="2"/>
  <c r="C33" i="3"/>
  <c r="G5" i="7"/>
  <c r="B30" i="1"/>
  <c r="B3" i="10" s="1"/>
  <c r="F30" i="1"/>
  <c r="J33" i="7"/>
  <c r="I33" i="7"/>
  <c r="M33" i="7"/>
  <c r="L33" i="7"/>
  <c r="E13" i="3"/>
  <c r="F13" i="3"/>
  <c r="C13" i="3"/>
  <c r="B13" i="3"/>
  <c r="L13" i="8"/>
  <c r="J13" i="8"/>
  <c r="I13" i="8"/>
  <c r="M13" i="8"/>
  <c r="M33" i="3"/>
  <c r="I33" i="3"/>
  <c r="L33" i="3"/>
  <c r="J33" i="3"/>
  <c r="T60" i="10"/>
  <c r="D8" i="2"/>
  <c r="F23" i="8"/>
  <c r="E23" i="8"/>
  <c r="C23" i="8"/>
  <c r="B23" i="8"/>
  <c r="B5" i="9"/>
  <c r="C33" i="8"/>
  <c r="E33" i="8"/>
  <c r="B33" i="8"/>
  <c r="F33" i="8"/>
  <c r="B32" i="10"/>
  <c r="A16" i="9"/>
  <c r="A15" i="7"/>
  <c r="A16" i="3"/>
  <c r="A17" i="7"/>
  <c r="A16" i="8"/>
  <c r="A18" i="7"/>
  <c r="A14" i="7"/>
  <c r="B18" i="10"/>
  <c r="T38" i="10"/>
  <c r="R20" i="2"/>
  <c r="P20" i="2"/>
  <c r="J30" i="1"/>
  <c r="H20" i="2"/>
  <c r="N27" i="2"/>
  <c r="V30" i="1"/>
  <c r="F20" i="2"/>
  <c r="J20" i="2"/>
  <c r="D30" i="2"/>
  <c r="B28" i="17"/>
  <c r="R30" i="1"/>
  <c r="T20" i="2"/>
  <c r="J23" i="7" l="1"/>
  <c r="M23" i="7"/>
  <c r="M23" i="9"/>
  <c r="L23" i="9"/>
  <c r="D30" i="1"/>
  <c r="C3" i="10" s="1"/>
  <c r="C18" i="10" s="1"/>
  <c r="J23" i="9"/>
  <c r="P27" i="2"/>
  <c r="J27" i="2"/>
  <c r="J31" i="2" s="1"/>
  <c r="B27" i="2"/>
  <c r="B31" i="2" s="1"/>
  <c r="D27" i="2"/>
  <c r="D31" i="2" s="1"/>
  <c r="F27" i="2"/>
  <c r="F31" i="2" s="1"/>
  <c r="T27" i="2"/>
  <c r="T31" i="2" s="1"/>
  <c r="R27" i="2"/>
  <c r="R31" i="2" s="1"/>
  <c r="L27" i="2"/>
  <c r="L31" i="2" s="1"/>
  <c r="H27" i="2"/>
  <c r="H31" i="2" s="1"/>
  <c r="P31" i="2"/>
  <c r="B6" i="3"/>
  <c r="I16" i="3" s="1"/>
  <c r="L33" i="1"/>
  <c r="L31" i="1"/>
  <c r="B24" i="10"/>
  <c r="L32" i="1"/>
  <c r="L38" i="1"/>
  <c r="L39" i="1" s="1"/>
  <c r="L41" i="1" s="1"/>
  <c r="L45" i="1" s="1"/>
  <c r="A37" i="3"/>
  <c r="A37" i="8"/>
  <c r="L23" i="8"/>
  <c r="M23" i="8"/>
  <c r="I23" i="8"/>
  <c r="E6" i="7"/>
  <c r="B38" i="7" s="1"/>
  <c r="C6" i="7"/>
  <c r="E3" i="10"/>
  <c r="R12" i="10" s="1"/>
  <c r="H32" i="1"/>
  <c r="B33" i="1"/>
  <c r="B32" i="1"/>
  <c r="A34" i="9"/>
  <c r="A34" i="3"/>
  <c r="A35" i="9"/>
  <c r="A35" i="3"/>
  <c r="A35" i="8"/>
  <c r="A38" i="8"/>
  <c r="A38" i="3"/>
  <c r="A38" i="9"/>
  <c r="N30" i="1"/>
  <c r="N38" i="1" s="1"/>
  <c r="N39" i="1" s="1"/>
  <c r="N41" i="1" s="1"/>
  <c r="I23" i="3"/>
  <c r="J23" i="3"/>
  <c r="M23" i="3"/>
  <c r="D38" i="1"/>
  <c r="D39" i="1" s="1"/>
  <c r="D41" i="1" s="1"/>
  <c r="D45" i="1" s="1"/>
  <c r="C17" i="10"/>
  <c r="C13" i="10"/>
  <c r="X32" i="1"/>
  <c r="X33" i="1"/>
  <c r="X31" i="1"/>
  <c r="X38" i="1"/>
  <c r="X39" i="1" s="1"/>
  <c r="X41" i="1" s="1"/>
  <c r="X42" i="1" s="1"/>
  <c r="G6" i="3"/>
  <c r="I38" i="3" s="1"/>
  <c r="A24" i="8"/>
  <c r="A24" i="3"/>
  <c r="A24" i="9"/>
  <c r="H18" i="3"/>
  <c r="H18" i="9"/>
  <c r="H18" i="8"/>
  <c r="B6" i="7"/>
  <c r="I16" i="7" s="1"/>
  <c r="H31" i="1"/>
  <c r="H33" i="1"/>
  <c r="A28" i="9"/>
  <c r="A28" i="8"/>
  <c r="A28" i="3"/>
  <c r="H17" i="8"/>
  <c r="H17" i="3"/>
  <c r="H17" i="9"/>
  <c r="H14" i="3"/>
  <c r="H14" i="9"/>
  <c r="H14" i="8"/>
  <c r="A27" i="3"/>
  <c r="A27" i="9"/>
  <c r="A27" i="8"/>
  <c r="H15" i="9"/>
  <c r="H15" i="8"/>
  <c r="H15" i="3"/>
  <c r="B38" i="1"/>
  <c r="B39" i="1" s="1"/>
  <c r="B41" i="1" s="1"/>
  <c r="B45" i="1" s="1"/>
  <c r="B31" i="1"/>
  <c r="A25" i="8"/>
  <c r="A25" i="9"/>
  <c r="A25" i="3"/>
  <c r="V32" i="1"/>
  <c r="V33" i="1"/>
  <c r="G6" i="7"/>
  <c r="L38" i="7" s="1"/>
  <c r="V38" i="1"/>
  <c r="V39" i="1" s="1"/>
  <c r="V41" i="1" s="1"/>
  <c r="V31" i="1"/>
  <c r="R38" i="1"/>
  <c r="R39" i="1" s="1"/>
  <c r="R41" i="1" s="1"/>
  <c r="R33" i="1"/>
  <c r="R31" i="1"/>
  <c r="E6" i="3"/>
  <c r="R32" i="1"/>
  <c r="E24" i="10"/>
  <c r="F6" i="7"/>
  <c r="J33" i="1"/>
  <c r="J38" i="1"/>
  <c r="J39" i="1" s="1"/>
  <c r="J41" i="1" s="1"/>
  <c r="J32" i="1"/>
  <c r="J31" i="1"/>
  <c r="A17" i="9"/>
  <c r="A17" i="8"/>
  <c r="A17" i="3"/>
  <c r="T33" i="1"/>
  <c r="T38" i="1"/>
  <c r="T39" i="1" s="1"/>
  <c r="T41" i="1" s="1"/>
  <c r="T31" i="1"/>
  <c r="F6" i="3"/>
  <c r="T32" i="1"/>
  <c r="B31" i="10"/>
  <c r="B41" i="10"/>
  <c r="C12" i="10"/>
  <c r="B11" i="10"/>
  <c r="P33" i="1"/>
  <c r="P31" i="1"/>
  <c r="P38" i="1"/>
  <c r="P39" i="1" s="1"/>
  <c r="P41" i="1" s="1"/>
  <c r="P32" i="1"/>
  <c r="D24" i="10"/>
  <c r="D6" i="3"/>
  <c r="D16" i="3" s="1"/>
  <c r="A15" i="3"/>
  <c r="A15" i="9"/>
  <c r="A15" i="8"/>
  <c r="T61" i="10"/>
  <c r="B19" i="10"/>
  <c r="N10" i="10"/>
  <c r="H45" i="1"/>
  <c r="H42" i="1"/>
  <c r="H44" i="1"/>
  <c r="D9" i="2"/>
  <c r="C4" i="9"/>
  <c r="C5" i="9" s="1"/>
  <c r="T31" i="10"/>
  <c r="F32" i="1"/>
  <c r="F33" i="1"/>
  <c r="D6" i="7"/>
  <c r="B15" i="7" s="1"/>
  <c r="F31" i="1"/>
  <c r="F38" i="1"/>
  <c r="F39" i="1" s="1"/>
  <c r="F41" i="1" s="1"/>
  <c r="D3" i="10"/>
  <c r="N52" i="10"/>
  <c r="N8" i="2"/>
  <c r="N8" i="1"/>
  <c r="N31" i="2"/>
  <c r="T39" i="10"/>
  <c r="N29" i="10"/>
  <c r="A14" i="9"/>
  <c r="A14" i="8"/>
  <c r="A14" i="3"/>
  <c r="A18" i="3"/>
  <c r="A18" i="8"/>
  <c r="A18" i="9"/>
  <c r="D9" i="1"/>
  <c r="H77" i="10"/>
  <c r="H14" i="10"/>
  <c r="C4" i="7"/>
  <c r="H56" i="10"/>
  <c r="H35" i="10"/>
  <c r="T18" i="10"/>
  <c r="T72" i="10"/>
  <c r="C15" i="10" l="1"/>
  <c r="D32" i="1"/>
  <c r="C14" i="10"/>
  <c r="D33" i="1"/>
  <c r="C16" i="10"/>
  <c r="J16" i="3"/>
  <c r="K16" i="3"/>
  <c r="J18" i="3"/>
  <c r="M16" i="3"/>
  <c r="K14" i="3"/>
  <c r="J37" i="3"/>
  <c r="L15" i="3"/>
  <c r="I14" i="3"/>
  <c r="L16" i="3"/>
  <c r="M18" i="3"/>
  <c r="D37" i="7"/>
  <c r="B34" i="7"/>
  <c r="K17" i="3"/>
  <c r="F38" i="7"/>
  <c r="C38" i="7"/>
  <c r="L42" i="1"/>
  <c r="E16" i="10"/>
  <c r="R9" i="10"/>
  <c r="L44" i="1"/>
  <c r="E32" i="10"/>
  <c r="L30" i="10"/>
  <c r="R11" i="10"/>
  <c r="E14" i="10"/>
  <c r="E15" i="10"/>
  <c r="R8" i="10"/>
  <c r="Q14" i="10"/>
  <c r="R17" i="10"/>
  <c r="R7" i="10"/>
  <c r="E17" i="10"/>
  <c r="R14" i="10"/>
  <c r="I18" i="3"/>
  <c r="K18" i="3"/>
  <c r="J34" i="3"/>
  <c r="C24" i="10"/>
  <c r="C40" i="10" s="1"/>
  <c r="N32" i="1"/>
  <c r="N33" i="1"/>
  <c r="J17" i="3"/>
  <c r="L17" i="3"/>
  <c r="X44" i="1"/>
  <c r="M17" i="3"/>
  <c r="E36" i="7"/>
  <c r="D36" i="7"/>
  <c r="B35" i="7"/>
  <c r="D38" i="7"/>
  <c r="F36" i="7"/>
  <c r="X45" i="1"/>
  <c r="E35" i="7"/>
  <c r="C34" i="7"/>
  <c r="C37" i="7"/>
  <c r="F35" i="7"/>
  <c r="B37" i="7"/>
  <c r="E37" i="7"/>
  <c r="D34" i="7"/>
  <c r="C35" i="7"/>
  <c r="F34" i="7"/>
  <c r="C36" i="7"/>
  <c r="J14" i="3"/>
  <c r="Q10" i="10"/>
  <c r="D44" i="1"/>
  <c r="E38" i="7"/>
  <c r="B36" i="7"/>
  <c r="D35" i="7"/>
  <c r="F37" i="7"/>
  <c r="E34" i="7"/>
  <c r="R16" i="10"/>
  <c r="Q9" i="10"/>
  <c r="I37" i="3"/>
  <c r="Q8" i="10"/>
  <c r="E12" i="10"/>
  <c r="R10" i="10"/>
  <c r="J35" i="3"/>
  <c r="C6" i="3"/>
  <c r="M36" i="3"/>
  <c r="Q11" i="10"/>
  <c r="Q7" i="10"/>
  <c r="R15" i="10"/>
  <c r="Q17" i="10"/>
  <c r="J38" i="3"/>
  <c r="E13" i="10"/>
  <c r="E18" i="10"/>
  <c r="Q12" i="10"/>
  <c r="Q13" i="10"/>
  <c r="R13" i="10"/>
  <c r="Q15" i="10"/>
  <c r="Q16" i="10"/>
  <c r="J36" i="3"/>
  <c r="M38" i="3"/>
  <c r="I34" i="3"/>
  <c r="M15" i="3"/>
  <c r="M14" i="3"/>
  <c r="I15" i="3"/>
  <c r="J15" i="3"/>
  <c r="K15" i="3"/>
  <c r="I38" i="7"/>
  <c r="I35" i="7"/>
  <c r="I37" i="7"/>
  <c r="L36" i="3"/>
  <c r="E35" i="10"/>
  <c r="E14" i="7"/>
  <c r="J38" i="7"/>
  <c r="E37" i="10"/>
  <c r="E34" i="10"/>
  <c r="J36" i="7"/>
  <c r="B18" i="7"/>
  <c r="F14" i="7"/>
  <c r="L35" i="3"/>
  <c r="L36" i="7"/>
  <c r="J35" i="7"/>
  <c r="L37" i="7"/>
  <c r="J37" i="7"/>
  <c r="D36" i="10"/>
  <c r="M34" i="7"/>
  <c r="M35" i="7"/>
  <c r="M36" i="7"/>
  <c r="D33" i="10"/>
  <c r="Q32" i="10"/>
  <c r="E36" i="10"/>
  <c r="F15" i="7"/>
  <c r="B42" i="1"/>
  <c r="J18" i="7"/>
  <c r="L15" i="7"/>
  <c r="J16" i="7"/>
  <c r="I17" i="7"/>
  <c r="I18" i="7"/>
  <c r="K15" i="7"/>
  <c r="I15" i="7"/>
  <c r="J17" i="7"/>
  <c r="K14" i="7"/>
  <c r="M14" i="7"/>
  <c r="J14" i="7"/>
  <c r="M18" i="7"/>
  <c r="B44" i="1"/>
  <c r="L14" i="3"/>
  <c r="F16" i="3"/>
  <c r="K37" i="3"/>
  <c r="K34" i="3"/>
  <c r="M37" i="3"/>
  <c r="K35" i="3"/>
  <c r="O30" i="10"/>
  <c r="M35" i="3"/>
  <c r="D15" i="7"/>
  <c r="C16" i="3"/>
  <c r="L34" i="3"/>
  <c r="M37" i="7"/>
  <c r="I36" i="3"/>
  <c r="D40" i="10"/>
  <c r="L14" i="7"/>
  <c r="M15" i="7"/>
  <c r="K16" i="7"/>
  <c r="J15" i="7"/>
  <c r="L17" i="7"/>
  <c r="I14" i="7"/>
  <c r="M16" i="7"/>
  <c r="D34" i="10"/>
  <c r="B14" i="7"/>
  <c r="D37" i="10"/>
  <c r="D35" i="10"/>
  <c r="I17" i="3"/>
  <c r="K38" i="3"/>
  <c r="C14" i="7"/>
  <c r="L18" i="3"/>
  <c r="J34" i="7"/>
  <c r="K36" i="3"/>
  <c r="I34" i="7"/>
  <c r="L37" i="3"/>
  <c r="S32" i="10"/>
  <c r="M34" i="3"/>
  <c r="E16" i="3"/>
  <c r="L38" i="3"/>
  <c r="M38" i="7"/>
  <c r="I35" i="3"/>
  <c r="E40" i="10"/>
  <c r="L16" i="7"/>
  <c r="K17" i="7"/>
  <c r="L18" i="7"/>
  <c r="K18" i="7"/>
  <c r="M17" i="7"/>
  <c r="D33" i="2"/>
  <c r="C6" i="9"/>
  <c r="C45" i="10"/>
  <c r="D39" i="2"/>
  <c r="D40" i="2" s="1"/>
  <c r="D42" i="2" s="1"/>
  <c r="D43" i="2" s="1"/>
  <c r="D34" i="2"/>
  <c r="B34" i="2"/>
  <c r="B33" i="2"/>
  <c r="B32" i="2"/>
  <c r="B6" i="9"/>
  <c r="B45" i="10"/>
  <c r="B39" i="2"/>
  <c r="B40" i="2" s="1"/>
  <c r="B42" i="2" s="1"/>
  <c r="L14" i="10"/>
  <c r="M16" i="10"/>
  <c r="O17" i="10"/>
  <c r="L16" i="10"/>
  <c r="M17" i="10"/>
  <c r="O16" i="10"/>
  <c r="M19" i="10"/>
  <c r="L13" i="10"/>
  <c r="M21" i="10"/>
  <c r="L18" i="10"/>
  <c r="L19" i="10"/>
  <c r="M14" i="10"/>
  <c r="L17" i="10"/>
  <c r="L15" i="10"/>
  <c r="M13" i="10"/>
  <c r="M15" i="10"/>
  <c r="O19" i="10"/>
  <c r="O18" i="10"/>
  <c r="O12" i="10"/>
  <c r="O14" i="10"/>
  <c r="O20" i="10"/>
  <c r="O13" i="10"/>
  <c r="O15" i="10"/>
  <c r="L20" i="10"/>
  <c r="O21" i="10"/>
  <c r="M20" i="10"/>
  <c r="D13" i="10"/>
  <c r="L21" i="10"/>
  <c r="L12" i="10"/>
  <c r="M12" i="10"/>
  <c r="M18" i="10"/>
  <c r="O11" i="10"/>
  <c r="H36" i="10"/>
  <c r="H34" i="10"/>
  <c r="J34" i="2"/>
  <c r="J33" i="2"/>
  <c r="J32" i="2"/>
  <c r="J39" i="2"/>
  <c r="J40" i="2" s="1"/>
  <c r="J42" i="2" s="1"/>
  <c r="F6" i="9"/>
  <c r="D18" i="10"/>
  <c r="S15" i="10"/>
  <c r="D15" i="10"/>
  <c r="L11" i="10"/>
  <c r="S14" i="10"/>
  <c r="T71" i="10"/>
  <c r="F34" i="2"/>
  <c r="D6" i="9"/>
  <c r="F18" i="9" s="1"/>
  <c r="F39" i="2"/>
  <c r="F40" i="2" s="1"/>
  <c r="F42" i="2" s="1"/>
  <c r="F32" i="2"/>
  <c r="F33" i="2"/>
  <c r="D45" i="10"/>
  <c r="B16" i="7"/>
  <c r="D16" i="7"/>
  <c r="E16" i="7"/>
  <c r="F16" i="7"/>
  <c r="C16" i="7"/>
  <c r="P34" i="2"/>
  <c r="P32" i="2"/>
  <c r="P39" i="2"/>
  <c r="P40" i="2" s="1"/>
  <c r="P42" i="2" s="1"/>
  <c r="D6" i="8"/>
  <c r="B18" i="8" s="1"/>
  <c r="P33" i="2"/>
  <c r="D66" i="10"/>
  <c r="S7" i="10"/>
  <c r="T45" i="1"/>
  <c r="T42" i="1"/>
  <c r="T44" i="1"/>
  <c r="D27" i="7"/>
  <c r="B25" i="7"/>
  <c r="C24" i="7"/>
  <c r="E27" i="7"/>
  <c r="C28" i="7"/>
  <c r="F26" i="7"/>
  <c r="D26" i="7"/>
  <c r="F28" i="7"/>
  <c r="D28" i="7"/>
  <c r="B26" i="7"/>
  <c r="B27" i="7"/>
  <c r="E28" i="7"/>
  <c r="D24" i="7"/>
  <c r="C25" i="7"/>
  <c r="C26" i="7"/>
  <c r="E25" i="7"/>
  <c r="C27" i="7"/>
  <c r="F27" i="7"/>
  <c r="E24" i="7"/>
  <c r="F24" i="7"/>
  <c r="B28" i="7"/>
  <c r="B24" i="7"/>
  <c r="E26" i="7"/>
  <c r="D25" i="7"/>
  <c r="F25" i="7"/>
  <c r="V42" i="1"/>
  <c r="V45" i="1"/>
  <c r="V44" i="1"/>
  <c r="R34" i="2"/>
  <c r="R33" i="2"/>
  <c r="E6" i="8"/>
  <c r="R32" i="2"/>
  <c r="E66" i="10"/>
  <c r="R39" i="2"/>
  <c r="R40" i="2" s="1"/>
  <c r="R42" i="2" s="1"/>
  <c r="S9" i="10"/>
  <c r="C17" i="3"/>
  <c r="D17" i="3"/>
  <c r="F17" i="3"/>
  <c r="E17" i="3"/>
  <c r="B17" i="3"/>
  <c r="F45" i="1"/>
  <c r="F44" i="1"/>
  <c r="F42" i="1"/>
  <c r="P44" i="1"/>
  <c r="P45" i="1"/>
  <c r="P42" i="1"/>
  <c r="N34" i="2"/>
  <c r="C6" i="8"/>
  <c r="C66" i="10"/>
  <c r="N33" i="2"/>
  <c r="N39" i="2"/>
  <c r="N40" i="2" s="1"/>
  <c r="N42" i="2" s="1"/>
  <c r="R42" i="1"/>
  <c r="R44" i="1"/>
  <c r="R45" i="1"/>
  <c r="C18" i="3"/>
  <c r="B18" i="3"/>
  <c r="D18" i="3"/>
  <c r="F18" i="3"/>
  <c r="E18" i="3"/>
  <c r="N9" i="10"/>
  <c r="M10" i="10"/>
  <c r="O10" i="10"/>
  <c r="L10" i="10"/>
  <c r="T30" i="10"/>
  <c r="Q31" i="10"/>
  <c r="S31" i="10"/>
  <c r="C18" i="7"/>
  <c r="B14" i="3"/>
  <c r="C14" i="3"/>
  <c r="E14" i="3"/>
  <c r="F14" i="3"/>
  <c r="D14" i="3"/>
  <c r="D15" i="3"/>
  <c r="C15" i="3"/>
  <c r="B15" i="3"/>
  <c r="F15" i="3"/>
  <c r="E15" i="3"/>
  <c r="C11" i="10"/>
  <c r="B10" i="10"/>
  <c r="E11" i="10"/>
  <c r="D11" i="10"/>
  <c r="D17" i="7"/>
  <c r="Q35" i="10"/>
  <c r="S35" i="10"/>
  <c r="Q37" i="10"/>
  <c r="S34" i="10"/>
  <c r="S37" i="10"/>
  <c r="S36" i="10"/>
  <c r="Q36" i="10"/>
  <c r="Q34" i="10"/>
  <c r="E38" i="10"/>
  <c r="Q33" i="10"/>
  <c r="E33" i="10"/>
  <c r="E39" i="10"/>
  <c r="S33" i="10"/>
  <c r="K36" i="7"/>
  <c r="K35" i="7"/>
  <c r="K38" i="7"/>
  <c r="K37" i="7"/>
  <c r="K34" i="7"/>
  <c r="T40" i="10"/>
  <c r="Q39" i="10"/>
  <c r="S39" i="10"/>
  <c r="B30" i="10"/>
  <c r="D31" i="10"/>
  <c r="E31" i="10"/>
  <c r="M11" i="10"/>
  <c r="D25" i="3"/>
  <c r="D27" i="3"/>
  <c r="B25" i="3"/>
  <c r="C24" i="3"/>
  <c r="F24" i="3"/>
  <c r="E27" i="3"/>
  <c r="C26" i="3"/>
  <c r="D24" i="3"/>
  <c r="E25" i="3"/>
  <c r="F27" i="3"/>
  <c r="B27" i="3"/>
  <c r="C28" i="3"/>
  <c r="E26" i="3"/>
  <c r="B28" i="3"/>
  <c r="E28" i="3"/>
  <c r="B26" i="3"/>
  <c r="C25" i="3"/>
  <c r="C27" i="3"/>
  <c r="E24" i="3"/>
  <c r="D26" i="3"/>
  <c r="D28" i="3"/>
  <c r="F26" i="3"/>
  <c r="F25" i="3"/>
  <c r="F28" i="3"/>
  <c r="B24" i="3"/>
  <c r="D12" i="10"/>
  <c r="H32" i="2"/>
  <c r="E6" i="9"/>
  <c r="H33" i="2"/>
  <c r="H39" i="2"/>
  <c r="H40" i="2" s="1"/>
  <c r="H42" i="2" s="1"/>
  <c r="H34" i="2"/>
  <c r="E45" i="10"/>
  <c r="E17" i="7"/>
  <c r="H57" i="10"/>
  <c r="H55" i="10"/>
  <c r="F18" i="7"/>
  <c r="T34" i="2"/>
  <c r="T32" i="2"/>
  <c r="T39" i="2"/>
  <c r="T40" i="2" s="1"/>
  <c r="T42" i="2" s="1"/>
  <c r="T33" i="2"/>
  <c r="F6" i="8"/>
  <c r="F17" i="7"/>
  <c r="N51" i="10"/>
  <c r="G14" i="10"/>
  <c r="H13" i="10"/>
  <c r="H15" i="10"/>
  <c r="J14" i="10"/>
  <c r="I14" i="10"/>
  <c r="S38" i="10"/>
  <c r="I36" i="7"/>
  <c r="D32" i="2"/>
  <c r="N45" i="1"/>
  <c r="N44" i="1"/>
  <c r="C15" i="7"/>
  <c r="S16" i="10"/>
  <c r="S13" i="10"/>
  <c r="S11" i="10"/>
  <c r="B16" i="3"/>
  <c r="L34" i="7"/>
  <c r="B17" i="7"/>
  <c r="D31" i="1"/>
  <c r="D42" i="1"/>
  <c r="D17" i="10"/>
  <c r="N28" i="10"/>
  <c r="O29" i="10"/>
  <c r="L29" i="10"/>
  <c r="D14" i="10"/>
  <c r="B20" i="10"/>
  <c r="C19" i="10"/>
  <c r="E19" i="10"/>
  <c r="D19" i="10"/>
  <c r="J42" i="1"/>
  <c r="J44" i="1"/>
  <c r="J45" i="1"/>
  <c r="S17" i="10"/>
  <c r="D16" i="10"/>
  <c r="D14" i="7"/>
  <c r="N9" i="1"/>
  <c r="C4" i="3"/>
  <c r="C5" i="3" s="1"/>
  <c r="T62" i="10"/>
  <c r="H26" i="7"/>
  <c r="C5" i="7"/>
  <c r="N9" i="2"/>
  <c r="C4" i="8"/>
  <c r="C5" i="8" s="1"/>
  <c r="L34" i="2"/>
  <c r="L32" i="2"/>
  <c r="B66" i="10"/>
  <c r="L33" i="2"/>
  <c r="L39" i="2"/>
  <c r="L40" i="2" s="1"/>
  <c r="L42" i="2" s="1"/>
  <c r="B6" i="8"/>
  <c r="B42" i="10"/>
  <c r="E41" i="10"/>
  <c r="D41" i="10"/>
  <c r="T19" i="10"/>
  <c r="R18" i="10"/>
  <c r="Q18" i="10"/>
  <c r="S18" i="10"/>
  <c r="E18" i="7"/>
  <c r="H78" i="10"/>
  <c r="H76" i="10"/>
  <c r="D18" i="7"/>
  <c r="Q38" i="10"/>
  <c r="E15" i="7"/>
  <c r="L41" i="10"/>
  <c r="O36" i="10"/>
  <c r="L36" i="10"/>
  <c r="O42" i="10"/>
  <c r="O31" i="10"/>
  <c r="L42" i="10"/>
  <c r="L40" i="10"/>
  <c r="O39" i="10"/>
  <c r="O34" i="10"/>
  <c r="O40" i="10"/>
  <c r="L38" i="10"/>
  <c r="O35" i="10"/>
  <c r="L39" i="10"/>
  <c r="L34" i="10"/>
  <c r="O41" i="10"/>
  <c r="L35" i="10"/>
  <c r="O37" i="10"/>
  <c r="L33" i="10"/>
  <c r="L37" i="10"/>
  <c r="O38" i="10"/>
  <c r="L32" i="10"/>
  <c r="D39" i="10"/>
  <c r="O32" i="10"/>
  <c r="O33" i="10"/>
  <c r="L31" i="10"/>
  <c r="D38" i="10"/>
  <c r="S12" i="10"/>
  <c r="S10" i="10"/>
  <c r="S8" i="10"/>
  <c r="D32" i="10"/>
  <c r="L35" i="7"/>
  <c r="C17" i="7"/>
  <c r="F36" i="3"/>
  <c r="E35" i="3"/>
  <c r="B37" i="3"/>
  <c r="B38" i="3"/>
  <c r="F38" i="3"/>
  <c r="E37" i="3"/>
  <c r="C37" i="3"/>
  <c r="C36" i="3"/>
  <c r="D37" i="3"/>
  <c r="C35" i="3"/>
  <c r="C38" i="3"/>
  <c r="E34" i="3"/>
  <c r="E38" i="3"/>
  <c r="F35" i="3"/>
  <c r="C34" i="3"/>
  <c r="E36" i="3"/>
  <c r="B35" i="3"/>
  <c r="D34" i="3"/>
  <c r="D35" i="3"/>
  <c r="B36" i="3"/>
  <c r="D36" i="3"/>
  <c r="B34" i="3"/>
  <c r="F34" i="3"/>
  <c r="F37" i="3"/>
  <c r="D38" i="3"/>
  <c r="R39" i="10" l="1"/>
  <c r="C37" i="10"/>
  <c r="M29" i="10"/>
  <c r="C38" i="10"/>
  <c r="M33" i="10"/>
  <c r="M31" i="10"/>
  <c r="M35" i="10"/>
  <c r="R34" i="10"/>
  <c r="M41" i="10"/>
  <c r="C34" i="10"/>
  <c r="M37" i="10"/>
  <c r="C31" i="10"/>
  <c r="C35" i="10"/>
  <c r="M32" i="10"/>
  <c r="M36" i="10"/>
  <c r="M34" i="10"/>
  <c r="C41" i="10"/>
  <c r="R37" i="10"/>
  <c r="R36" i="10"/>
  <c r="I35" i="10"/>
  <c r="R31" i="10"/>
  <c r="M38" i="10"/>
  <c r="M40" i="10"/>
  <c r="M39" i="10"/>
  <c r="G35" i="10"/>
  <c r="R38" i="10"/>
  <c r="C33" i="10"/>
  <c r="M42" i="10"/>
  <c r="C39" i="10"/>
  <c r="R33" i="10"/>
  <c r="R35" i="10"/>
  <c r="J35" i="10"/>
  <c r="C36" i="10"/>
  <c r="C32" i="10"/>
  <c r="R32" i="10"/>
  <c r="M30" i="10"/>
  <c r="G56" i="10"/>
  <c r="I56" i="10"/>
  <c r="E17" i="8"/>
  <c r="F14" i="8"/>
  <c r="E18" i="8"/>
  <c r="D18" i="8"/>
  <c r="F15" i="8"/>
  <c r="E14" i="8"/>
  <c r="C14" i="8"/>
  <c r="C18" i="8"/>
  <c r="D15" i="9"/>
  <c r="B18" i="9"/>
  <c r="L52" i="10"/>
  <c r="E17" i="9"/>
  <c r="M52" i="10"/>
  <c r="O52" i="10"/>
  <c r="D14" i="9"/>
  <c r="Q72" i="10"/>
  <c r="G77" i="10"/>
  <c r="R72" i="10"/>
  <c r="E42" i="10"/>
  <c r="C42" i="10"/>
  <c r="D42" i="10"/>
  <c r="C15" i="9"/>
  <c r="E18" i="9"/>
  <c r="E14" i="9"/>
  <c r="B15" i="9"/>
  <c r="N31" i="1"/>
  <c r="N42" i="1"/>
  <c r="R55" i="10"/>
  <c r="Q53" i="10"/>
  <c r="R57" i="10"/>
  <c r="Q55" i="10"/>
  <c r="R56" i="10"/>
  <c r="R53" i="10"/>
  <c r="S53" i="10"/>
  <c r="S49" i="10"/>
  <c r="Q54" i="10"/>
  <c r="Q51" i="10"/>
  <c r="S54" i="10"/>
  <c r="R50" i="10"/>
  <c r="Q57" i="10"/>
  <c r="S51" i="10"/>
  <c r="Q56" i="10"/>
  <c r="S52" i="10"/>
  <c r="R54" i="10"/>
  <c r="R49" i="10"/>
  <c r="S59" i="10"/>
  <c r="R51" i="10"/>
  <c r="Q49" i="10"/>
  <c r="Q52" i="10"/>
  <c r="R58" i="10"/>
  <c r="S55" i="10"/>
  <c r="Q58" i="10"/>
  <c r="S56" i="10"/>
  <c r="R52" i="10"/>
  <c r="S57" i="10"/>
  <c r="S58" i="10"/>
  <c r="S50" i="10"/>
  <c r="Q50" i="10"/>
  <c r="R59" i="10"/>
  <c r="Q59" i="10"/>
  <c r="S60" i="10"/>
  <c r="R60" i="10"/>
  <c r="Q60" i="10"/>
  <c r="O79" i="10"/>
  <c r="M83" i="10"/>
  <c r="M79" i="10"/>
  <c r="M72" i="10"/>
  <c r="L75" i="10"/>
  <c r="L78" i="10"/>
  <c r="L73" i="10"/>
  <c r="L82" i="10"/>
  <c r="M80" i="10"/>
  <c r="M84" i="10"/>
  <c r="O74" i="10"/>
  <c r="O71" i="10"/>
  <c r="M71" i="10"/>
  <c r="M78" i="10"/>
  <c r="M82" i="10"/>
  <c r="O78" i="10"/>
  <c r="L79" i="10"/>
  <c r="L76" i="10"/>
  <c r="L71" i="10"/>
  <c r="M73" i="10"/>
  <c r="L77" i="10"/>
  <c r="O73" i="10"/>
  <c r="L80" i="10"/>
  <c r="O75" i="10"/>
  <c r="O76" i="10"/>
  <c r="O82" i="10"/>
  <c r="L70" i="10"/>
  <c r="L84" i="10"/>
  <c r="O83" i="10"/>
  <c r="O77" i="10"/>
  <c r="M81" i="10"/>
  <c r="M70" i="10"/>
  <c r="O84" i="10"/>
  <c r="O81" i="10"/>
  <c r="M75" i="10"/>
  <c r="M76" i="10"/>
  <c r="O80" i="10"/>
  <c r="L74" i="10"/>
  <c r="L81" i="10"/>
  <c r="L72" i="10"/>
  <c r="L83" i="10"/>
  <c r="O72" i="10"/>
  <c r="O70" i="10"/>
  <c r="M77" i="10"/>
  <c r="M74" i="10"/>
  <c r="K15" i="8"/>
  <c r="K17" i="8"/>
  <c r="K18" i="8"/>
  <c r="K14" i="8"/>
  <c r="K16" i="8"/>
  <c r="M15" i="8"/>
  <c r="I18" i="8"/>
  <c r="J18" i="8"/>
  <c r="L15" i="8"/>
  <c r="M14" i="8"/>
  <c r="M18" i="8"/>
  <c r="M17" i="8"/>
  <c r="M16" i="8"/>
  <c r="I16" i="8"/>
  <c r="J17" i="8"/>
  <c r="I15" i="8"/>
  <c r="L14" i="8"/>
  <c r="I17" i="8"/>
  <c r="L18" i="8"/>
  <c r="I14" i="8"/>
  <c r="J14" i="8"/>
  <c r="L17" i="8"/>
  <c r="J15" i="8"/>
  <c r="J16" i="8"/>
  <c r="L16" i="8"/>
  <c r="I26" i="7"/>
  <c r="H24" i="7"/>
  <c r="H26" i="9"/>
  <c r="H26" i="3"/>
  <c r="H28" i="7"/>
  <c r="H27" i="7"/>
  <c r="J26" i="7"/>
  <c r="L26" i="7"/>
  <c r="H26" i="8"/>
  <c r="M26" i="7"/>
  <c r="H25" i="7"/>
  <c r="K26" i="7"/>
  <c r="D16" i="8"/>
  <c r="C16" i="8"/>
  <c r="E16" i="8"/>
  <c r="F16" i="8"/>
  <c r="B16" i="8"/>
  <c r="T41" i="10"/>
  <c r="R40" i="10"/>
  <c r="Q40" i="10"/>
  <c r="S40" i="10"/>
  <c r="F16" i="9"/>
  <c r="D16" i="9"/>
  <c r="B16" i="9"/>
  <c r="C16" i="9"/>
  <c r="E16" i="9"/>
  <c r="C14" i="9"/>
  <c r="N50" i="10"/>
  <c r="O51" i="10"/>
  <c r="L51" i="10"/>
  <c r="M51" i="10"/>
  <c r="R45" i="2"/>
  <c r="R46" i="2"/>
  <c r="R43" i="2"/>
  <c r="F24" i="9"/>
  <c r="B26" i="9"/>
  <c r="C26" i="9"/>
  <c r="F28" i="9"/>
  <c r="E25" i="9"/>
  <c r="E27" i="9"/>
  <c r="B28" i="9"/>
  <c r="B25" i="9"/>
  <c r="B24" i="9"/>
  <c r="E26" i="9"/>
  <c r="D27" i="9"/>
  <c r="F27" i="9"/>
  <c r="C27" i="9"/>
  <c r="F25" i="9"/>
  <c r="D28" i="9"/>
  <c r="E28" i="9"/>
  <c r="D26" i="9"/>
  <c r="D25" i="9"/>
  <c r="C25" i="9"/>
  <c r="C24" i="9"/>
  <c r="E24" i="9"/>
  <c r="F26" i="9"/>
  <c r="C28" i="9"/>
  <c r="D24" i="9"/>
  <c r="B27" i="9"/>
  <c r="R61" i="10"/>
  <c r="N8" i="10"/>
  <c r="M9" i="10"/>
  <c r="O9" i="10"/>
  <c r="L9" i="10"/>
  <c r="P46" i="2"/>
  <c r="P45" i="2"/>
  <c r="P43" i="2"/>
  <c r="O61" i="10"/>
  <c r="M60" i="10"/>
  <c r="L62" i="10"/>
  <c r="O62" i="10"/>
  <c r="O60" i="10"/>
  <c r="O55" i="10"/>
  <c r="O59" i="10"/>
  <c r="M56" i="10"/>
  <c r="L58" i="10"/>
  <c r="M61" i="10"/>
  <c r="M63" i="10"/>
  <c r="M58" i="10"/>
  <c r="L59" i="10"/>
  <c r="M55" i="10"/>
  <c r="O57" i="10"/>
  <c r="L55" i="10"/>
  <c r="L61" i="10"/>
  <c r="O58" i="10"/>
  <c r="L57" i="10"/>
  <c r="O56" i="10"/>
  <c r="M57" i="10"/>
  <c r="M59" i="10"/>
  <c r="O63" i="10"/>
  <c r="L63" i="10"/>
  <c r="L56" i="10"/>
  <c r="M62" i="10"/>
  <c r="L60" i="10"/>
  <c r="M54" i="10"/>
  <c r="O54" i="10"/>
  <c r="L54" i="10"/>
  <c r="L53" i="10"/>
  <c r="M53" i="10"/>
  <c r="O53" i="10"/>
  <c r="J46" i="2"/>
  <c r="J45" i="2"/>
  <c r="J43" i="2"/>
  <c r="H37" i="10"/>
  <c r="J36" i="10"/>
  <c r="G36" i="10"/>
  <c r="I36" i="10"/>
  <c r="D46" i="2"/>
  <c r="D45" i="2"/>
  <c r="D17" i="9"/>
  <c r="D18" i="9"/>
  <c r="I77" i="10"/>
  <c r="C15" i="8"/>
  <c r="D28" i="8"/>
  <c r="D27" i="8"/>
  <c r="D26" i="8"/>
  <c r="D24" i="8"/>
  <c r="D25" i="8"/>
  <c r="F27" i="8"/>
  <c r="E28" i="8"/>
  <c r="B26" i="8"/>
  <c r="B27" i="8"/>
  <c r="E27" i="8"/>
  <c r="C26" i="8"/>
  <c r="B28" i="8"/>
  <c r="C24" i="8"/>
  <c r="F24" i="8"/>
  <c r="E24" i="8"/>
  <c r="C28" i="8"/>
  <c r="F25" i="8"/>
  <c r="E25" i="8"/>
  <c r="C25" i="8"/>
  <c r="B24" i="8"/>
  <c r="B25" i="8"/>
  <c r="E26" i="8"/>
  <c r="F26" i="8"/>
  <c r="C27" i="8"/>
  <c r="F28" i="8"/>
  <c r="D17" i="8"/>
  <c r="N45" i="2"/>
  <c r="N46" i="2"/>
  <c r="T70" i="10"/>
  <c r="R71" i="10"/>
  <c r="S71" i="10"/>
  <c r="Q71" i="10"/>
  <c r="B45" i="2"/>
  <c r="B46" i="2"/>
  <c r="B43" i="2"/>
  <c r="H79" i="10"/>
  <c r="J78" i="10"/>
  <c r="G78" i="10"/>
  <c r="I78" i="10"/>
  <c r="N32" i="2"/>
  <c r="N43" i="2"/>
  <c r="F17" i="9"/>
  <c r="J34" i="10"/>
  <c r="H33" i="10"/>
  <c r="G34" i="10"/>
  <c r="I34" i="10"/>
  <c r="H46" i="2"/>
  <c r="H43" i="2"/>
  <c r="H45" i="2"/>
  <c r="E15" i="9"/>
  <c r="B17" i="8"/>
  <c r="R84" i="10"/>
  <c r="R81" i="10"/>
  <c r="R77" i="10"/>
  <c r="R83" i="10"/>
  <c r="Q81" i="10"/>
  <c r="Q77" i="10"/>
  <c r="R78" i="10"/>
  <c r="Q84" i="10"/>
  <c r="Q83" i="10"/>
  <c r="S80" i="10"/>
  <c r="R82" i="10"/>
  <c r="Q79" i="10"/>
  <c r="Q76" i="10"/>
  <c r="S77" i="10"/>
  <c r="R79" i="10"/>
  <c r="Q80" i="10"/>
  <c r="S76" i="10"/>
  <c r="Q78" i="10"/>
  <c r="S84" i="10"/>
  <c r="S79" i="10"/>
  <c r="S82" i="10"/>
  <c r="R80" i="10"/>
  <c r="S81" i="10"/>
  <c r="R74" i="10"/>
  <c r="S78" i="10"/>
  <c r="Q82" i="10"/>
  <c r="S83" i="10"/>
  <c r="R76" i="10"/>
  <c r="S75" i="10"/>
  <c r="S74" i="10"/>
  <c r="Q74" i="10"/>
  <c r="R75" i="10"/>
  <c r="Q75" i="10"/>
  <c r="R73" i="10"/>
  <c r="Q73" i="10"/>
  <c r="S73" i="10"/>
  <c r="T20" i="10"/>
  <c r="R19" i="10"/>
  <c r="S19" i="10"/>
  <c r="Q19" i="10"/>
  <c r="J15" i="10"/>
  <c r="H16" i="10"/>
  <c r="I15" i="10"/>
  <c r="G15" i="10"/>
  <c r="D35" i="9"/>
  <c r="B35" i="9"/>
  <c r="F38" i="9"/>
  <c r="D38" i="9"/>
  <c r="F34" i="9"/>
  <c r="D36" i="9"/>
  <c r="F35" i="9"/>
  <c r="B38" i="9"/>
  <c r="C38" i="9"/>
  <c r="F37" i="9"/>
  <c r="B37" i="9"/>
  <c r="B34" i="9"/>
  <c r="C37" i="9"/>
  <c r="C34" i="9"/>
  <c r="E36" i="9"/>
  <c r="C36" i="9"/>
  <c r="D37" i="9"/>
  <c r="C35" i="9"/>
  <c r="E38" i="9"/>
  <c r="D34" i="9"/>
  <c r="E37" i="9"/>
  <c r="B36" i="9"/>
  <c r="E35" i="9"/>
  <c r="F36" i="9"/>
  <c r="E34" i="9"/>
  <c r="J77" i="10"/>
  <c r="Q61" i="10"/>
  <c r="H12" i="10"/>
  <c r="G13" i="10"/>
  <c r="J13" i="10"/>
  <c r="I13" i="10"/>
  <c r="D37" i="8"/>
  <c r="D36" i="8"/>
  <c r="D35" i="8"/>
  <c r="D38" i="8"/>
  <c r="D34" i="8"/>
  <c r="C36" i="8"/>
  <c r="F38" i="8"/>
  <c r="B37" i="8"/>
  <c r="E36" i="8"/>
  <c r="E38" i="8"/>
  <c r="B35" i="8"/>
  <c r="E34" i="8"/>
  <c r="F36" i="8"/>
  <c r="C37" i="8"/>
  <c r="F34" i="8"/>
  <c r="B34" i="8"/>
  <c r="B36" i="8"/>
  <c r="B38" i="8"/>
  <c r="E37" i="8"/>
  <c r="C34" i="8"/>
  <c r="F35" i="8"/>
  <c r="F37" i="8"/>
  <c r="E35" i="8"/>
  <c r="C35" i="8"/>
  <c r="C38" i="8"/>
  <c r="E56" i="10"/>
  <c r="C56" i="10"/>
  <c r="E62" i="10"/>
  <c r="C57" i="10"/>
  <c r="C58" i="10"/>
  <c r="E54" i="10"/>
  <c r="E59" i="10"/>
  <c r="E58" i="10"/>
  <c r="C53" i="10"/>
  <c r="D49" i="10"/>
  <c r="D50" i="10"/>
  <c r="C54" i="10"/>
  <c r="E50" i="10"/>
  <c r="C62" i="10"/>
  <c r="D55" i="10"/>
  <c r="C60" i="10"/>
  <c r="C59" i="10"/>
  <c r="C49" i="10"/>
  <c r="E51" i="10"/>
  <c r="D56" i="10"/>
  <c r="D52" i="10"/>
  <c r="E52" i="10"/>
  <c r="D58" i="10"/>
  <c r="D53" i="10"/>
  <c r="E57" i="10"/>
  <c r="E49" i="10"/>
  <c r="D62" i="10"/>
  <c r="D57" i="10"/>
  <c r="D59" i="10"/>
  <c r="E55" i="10"/>
  <c r="D61" i="10"/>
  <c r="C63" i="10"/>
  <c r="C61" i="10"/>
  <c r="E63" i="10"/>
  <c r="C55" i="10"/>
  <c r="E60" i="10"/>
  <c r="D63" i="10"/>
  <c r="D54" i="10"/>
  <c r="D51" i="10"/>
  <c r="E61" i="10"/>
  <c r="D60" i="10"/>
  <c r="C50" i="10"/>
  <c r="C52" i="10"/>
  <c r="C51" i="10"/>
  <c r="E53" i="10"/>
  <c r="C20" i="10"/>
  <c r="B21" i="10"/>
  <c r="E20" i="10"/>
  <c r="D20" i="10"/>
  <c r="R30" i="10"/>
  <c r="T29" i="10"/>
  <c r="S30" i="10"/>
  <c r="Q30" i="10"/>
  <c r="L46" i="2"/>
  <c r="L45" i="2"/>
  <c r="L43" i="2"/>
  <c r="C17" i="9"/>
  <c r="B9" i="10"/>
  <c r="C10" i="10"/>
  <c r="E10" i="10"/>
  <c r="D10" i="10"/>
  <c r="C18" i="9"/>
  <c r="S72" i="10"/>
  <c r="D15" i="8"/>
  <c r="B17" i="9"/>
  <c r="B29" i="10"/>
  <c r="E30" i="10"/>
  <c r="C30" i="10"/>
  <c r="D30" i="10"/>
  <c r="F15" i="9"/>
  <c r="C74" i="10"/>
  <c r="E79" i="10"/>
  <c r="E74" i="10"/>
  <c r="E70" i="10"/>
  <c r="E71" i="10"/>
  <c r="E72" i="10"/>
  <c r="E81" i="10"/>
  <c r="E73" i="10"/>
  <c r="E82" i="10"/>
  <c r="C77" i="10"/>
  <c r="D80" i="10"/>
  <c r="C78" i="10"/>
  <c r="C79" i="10"/>
  <c r="E80" i="10"/>
  <c r="D78" i="10"/>
  <c r="D76" i="10"/>
  <c r="C80" i="10"/>
  <c r="C84" i="10"/>
  <c r="E76" i="10"/>
  <c r="D84" i="10"/>
  <c r="D70" i="10"/>
  <c r="D75" i="10"/>
  <c r="E78" i="10"/>
  <c r="E75" i="10"/>
  <c r="C83" i="10"/>
  <c r="C70" i="10"/>
  <c r="E84" i="10"/>
  <c r="D79" i="10"/>
  <c r="C82" i="10"/>
  <c r="C71" i="10"/>
  <c r="D74" i="10"/>
  <c r="C76" i="10"/>
  <c r="D71" i="10"/>
  <c r="C81" i="10"/>
  <c r="E83" i="10"/>
  <c r="D77" i="10"/>
  <c r="C75" i="10"/>
  <c r="D83" i="10"/>
  <c r="D73" i="10"/>
  <c r="D82" i="10"/>
  <c r="C73" i="10"/>
  <c r="E77" i="10"/>
  <c r="C72" i="10"/>
  <c r="D81" i="10"/>
  <c r="D72" i="10"/>
  <c r="S61" i="10"/>
  <c r="M28" i="10"/>
  <c r="O28" i="10"/>
  <c r="L28" i="10"/>
  <c r="J56" i="10"/>
  <c r="F14" i="9"/>
  <c r="B15" i="8"/>
  <c r="D14" i="8"/>
  <c r="H54" i="10"/>
  <c r="J55" i="10"/>
  <c r="G55" i="10"/>
  <c r="I55" i="10"/>
  <c r="F17" i="8"/>
  <c r="B14" i="9"/>
  <c r="H75" i="10"/>
  <c r="J76" i="10"/>
  <c r="G76" i="10"/>
  <c r="I76" i="10"/>
  <c r="T63" i="10"/>
  <c r="R62" i="10"/>
  <c r="Q62" i="10"/>
  <c r="S62" i="10"/>
  <c r="E15" i="8"/>
  <c r="B14" i="8"/>
  <c r="T45" i="2"/>
  <c r="T46" i="2"/>
  <c r="T43" i="2"/>
  <c r="H58" i="10"/>
  <c r="J57" i="10"/>
  <c r="G57" i="10"/>
  <c r="I57" i="10"/>
  <c r="F18" i="8"/>
  <c r="C17" i="8"/>
  <c r="F43" i="2"/>
  <c r="F45" i="2"/>
  <c r="F46" i="2"/>
  <c r="L14" i="9"/>
  <c r="L18" i="9"/>
  <c r="J17" i="9"/>
  <c r="L16" i="9"/>
  <c r="K16" i="9"/>
  <c r="I18" i="9"/>
  <c r="I16" i="9"/>
  <c r="J15" i="9"/>
  <c r="J14" i="9"/>
  <c r="L17" i="9"/>
  <c r="M16" i="9"/>
  <c r="K18" i="9"/>
  <c r="I17" i="9"/>
  <c r="J16" i="9"/>
  <c r="I15" i="9"/>
  <c r="K15" i="9"/>
  <c r="L15" i="9"/>
  <c r="K14" i="9"/>
  <c r="M17" i="9"/>
  <c r="J18" i="9"/>
  <c r="K17" i="9"/>
  <c r="I14" i="9"/>
  <c r="M15" i="9"/>
  <c r="M18" i="9"/>
  <c r="M14" i="9"/>
  <c r="N7" i="10" l="1"/>
  <c r="L8" i="10"/>
  <c r="M8" i="10"/>
  <c r="O8" i="10"/>
  <c r="M28" i="7"/>
  <c r="H28" i="9"/>
  <c r="I28" i="7"/>
  <c r="J28" i="7"/>
  <c r="K28" i="7"/>
  <c r="L28" i="7"/>
  <c r="H28" i="8"/>
  <c r="H28" i="3"/>
  <c r="N49" i="10"/>
  <c r="O50" i="10"/>
  <c r="M50" i="10"/>
  <c r="L50" i="10"/>
  <c r="H53" i="10"/>
  <c r="J54" i="10"/>
  <c r="I54" i="10"/>
  <c r="G54" i="10"/>
  <c r="Q29" i="10"/>
  <c r="T28" i="10"/>
  <c r="R29" i="10"/>
  <c r="S29" i="10"/>
  <c r="J26" i="9"/>
  <c r="M26" i="9"/>
  <c r="L26" i="9"/>
  <c r="I26" i="9"/>
  <c r="K26" i="9"/>
  <c r="C9" i="10"/>
  <c r="B8" i="10"/>
  <c r="E9" i="10"/>
  <c r="D9" i="10"/>
  <c r="H24" i="8"/>
  <c r="M24" i="7"/>
  <c r="H24" i="3"/>
  <c r="I24" i="7"/>
  <c r="H24" i="9"/>
  <c r="L24" i="7"/>
  <c r="J24" i="7"/>
  <c r="K24" i="7"/>
  <c r="J26" i="8"/>
  <c r="I26" i="8"/>
  <c r="K26" i="8"/>
  <c r="M26" i="8"/>
  <c r="L26" i="8"/>
  <c r="H80" i="10"/>
  <c r="G79" i="10"/>
  <c r="I79" i="10"/>
  <c r="J79" i="10"/>
  <c r="H38" i="10"/>
  <c r="J37" i="10"/>
  <c r="G37" i="10"/>
  <c r="I37" i="10"/>
  <c r="H11" i="10"/>
  <c r="G12" i="10"/>
  <c r="J12" i="10"/>
  <c r="I12" i="10"/>
  <c r="I26" i="3"/>
  <c r="M26" i="3"/>
  <c r="J26" i="3"/>
  <c r="K26" i="3"/>
  <c r="L26" i="3"/>
  <c r="M25" i="7"/>
  <c r="J25" i="7"/>
  <c r="L25" i="7"/>
  <c r="H25" i="8"/>
  <c r="I25" i="7"/>
  <c r="H25" i="3"/>
  <c r="K25" i="7"/>
  <c r="H25" i="9"/>
  <c r="H74" i="10"/>
  <c r="G75" i="10"/>
  <c r="J75" i="10"/>
  <c r="I75" i="10"/>
  <c r="B28" i="10"/>
  <c r="C29" i="10"/>
  <c r="E29" i="10"/>
  <c r="D29" i="10"/>
  <c r="H59" i="10"/>
  <c r="I58" i="10"/>
  <c r="G58" i="10"/>
  <c r="J58" i="10"/>
  <c r="C21" i="10"/>
  <c r="E21" i="10"/>
  <c r="D21" i="10"/>
  <c r="H32" i="10"/>
  <c r="J33" i="10"/>
  <c r="G33" i="10"/>
  <c r="I33" i="10"/>
  <c r="T42" i="10"/>
  <c r="R41" i="10"/>
  <c r="Q41" i="10"/>
  <c r="S41" i="10"/>
  <c r="T21" i="10"/>
  <c r="R20" i="10"/>
  <c r="Q20" i="10"/>
  <c r="S20" i="10"/>
  <c r="R63" i="10"/>
  <c r="Q63" i="10"/>
  <c r="S63" i="10"/>
  <c r="J16" i="10"/>
  <c r="G16" i="10"/>
  <c r="I16" i="10"/>
  <c r="H17" i="10"/>
  <c r="S70" i="10"/>
  <c r="R70" i="10"/>
  <c r="Q70" i="10"/>
  <c r="I27" i="7"/>
  <c r="H27" i="9"/>
  <c r="H27" i="8"/>
  <c r="L27" i="7"/>
  <c r="K27" i="7"/>
  <c r="J27" i="7"/>
  <c r="M27" i="7"/>
  <c r="H27" i="3"/>
  <c r="H73" i="10" l="1"/>
  <c r="J74" i="10"/>
  <c r="I74" i="10"/>
  <c r="G74" i="10"/>
  <c r="H31" i="10"/>
  <c r="I32" i="10"/>
  <c r="J32" i="10"/>
  <c r="G32" i="10"/>
  <c r="L25" i="9"/>
  <c r="K25" i="9"/>
  <c r="I25" i="9"/>
  <c r="J25" i="9"/>
  <c r="M25" i="9"/>
  <c r="C8" i="10"/>
  <c r="B7" i="10"/>
  <c r="D8" i="10"/>
  <c r="E8" i="10"/>
  <c r="J27" i="9"/>
  <c r="L27" i="9"/>
  <c r="I27" i="9"/>
  <c r="K27" i="9"/>
  <c r="M27" i="9"/>
  <c r="R28" i="10"/>
  <c r="Q28" i="10"/>
  <c r="S28" i="10"/>
  <c r="M27" i="8"/>
  <c r="K27" i="8"/>
  <c r="L27" i="8"/>
  <c r="I27" i="8"/>
  <c r="J27" i="8"/>
  <c r="S21" i="10"/>
  <c r="R21" i="10"/>
  <c r="Q21" i="10"/>
  <c r="H81" i="10"/>
  <c r="J80" i="10"/>
  <c r="G80" i="10"/>
  <c r="I80" i="10"/>
  <c r="H60" i="10"/>
  <c r="J59" i="10"/>
  <c r="G59" i="10"/>
  <c r="I59" i="10"/>
  <c r="H10" i="10"/>
  <c r="J11" i="10"/>
  <c r="G11" i="10"/>
  <c r="I11" i="10"/>
  <c r="M24" i="9"/>
  <c r="J24" i="9"/>
  <c r="I24" i="9"/>
  <c r="K24" i="9"/>
  <c r="L24" i="9"/>
  <c r="M28" i="9"/>
  <c r="L28" i="9"/>
  <c r="K28" i="9"/>
  <c r="I28" i="9"/>
  <c r="J28" i="9"/>
  <c r="L25" i="3"/>
  <c r="K25" i="3"/>
  <c r="I25" i="3"/>
  <c r="J25" i="3"/>
  <c r="M25" i="3"/>
  <c r="M49" i="10"/>
  <c r="L49" i="10"/>
  <c r="O49" i="10"/>
  <c r="J27" i="3"/>
  <c r="M27" i="3"/>
  <c r="I27" i="3"/>
  <c r="K27" i="3"/>
  <c r="L27" i="3"/>
  <c r="E28" i="10"/>
  <c r="C28" i="10"/>
  <c r="D28" i="10"/>
  <c r="K24" i="3"/>
  <c r="M24" i="3"/>
  <c r="L24" i="3"/>
  <c r="J24" i="3"/>
  <c r="I24" i="3"/>
  <c r="L28" i="3"/>
  <c r="I28" i="3"/>
  <c r="M28" i="3"/>
  <c r="K28" i="3"/>
  <c r="J28" i="3"/>
  <c r="R42" i="10"/>
  <c r="Q42" i="10"/>
  <c r="S42" i="10"/>
  <c r="L25" i="8"/>
  <c r="K25" i="8"/>
  <c r="I25" i="8"/>
  <c r="J25" i="8"/>
  <c r="M25" i="8"/>
  <c r="H39" i="10"/>
  <c r="G38" i="10"/>
  <c r="J38" i="10"/>
  <c r="I38" i="10"/>
  <c r="I28" i="8"/>
  <c r="K28" i="8"/>
  <c r="M28" i="8"/>
  <c r="J28" i="8"/>
  <c r="L28" i="8"/>
  <c r="M24" i="8"/>
  <c r="L24" i="8"/>
  <c r="I24" i="8"/>
  <c r="K24" i="8"/>
  <c r="J24" i="8"/>
  <c r="G17" i="10"/>
  <c r="J17" i="10"/>
  <c r="I17" i="10"/>
  <c r="H18" i="10"/>
  <c r="H52" i="10"/>
  <c r="G53" i="10"/>
  <c r="I53" i="10"/>
  <c r="J53" i="10"/>
  <c r="L7" i="10"/>
  <c r="O7" i="10"/>
  <c r="M7" i="10"/>
  <c r="H61" i="10" l="1"/>
  <c r="G60" i="10"/>
  <c r="J60" i="10"/>
  <c r="I60" i="10"/>
  <c r="H30" i="10"/>
  <c r="J31" i="10"/>
  <c r="G31" i="10"/>
  <c r="I31" i="10"/>
  <c r="I18" i="10"/>
  <c r="H19" i="10"/>
  <c r="J18" i="10"/>
  <c r="G18" i="10"/>
  <c r="C7" i="10"/>
  <c r="E7" i="10"/>
  <c r="D7" i="10"/>
  <c r="H51" i="10"/>
  <c r="J52" i="10"/>
  <c r="I52" i="10"/>
  <c r="G52" i="10"/>
  <c r="J39" i="10"/>
  <c r="H40" i="10"/>
  <c r="G39" i="10"/>
  <c r="I39" i="10"/>
  <c r="G10" i="10"/>
  <c r="J10" i="10"/>
  <c r="H9" i="10"/>
  <c r="I10" i="10"/>
  <c r="H82" i="10"/>
  <c r="G81" i="10"/>
  <c r="J81" i="10"/>
  <c r="I81" i="10"/>
  <c r="H72" i="10"/>
  <c r="J73" i="10"/>
  <c r="I73" i="10"/>
  <c r="G73" i="10"/>
  <c r="H71" i="10" l="1"/>
  <c r="G72" i="10"/>
  <c r="J72" i="10"/>
  <c r="I72" i="10"/>
  <c r="H50" i="10"/>
  <c r="G51" i="10"/>
  <c r="J51" i="10"/>
  <c r="I51" i="10"/>
  <c r="H41" i="10"/>
  <c r="J40" i="10"/>
  <c r="I40" i="10"/>
  <c r="G40" i="10"/>
  <c r="H29" i="10"/>
  <c r="J30" i="10"/>
  <c r="G30" i="10"/>
  <c r="I30" i="10"/>
  <c r="H83" i="10"/>
  <c r="G82" i="10"/>
  <c r="J82" i="10"/>
  <c r="I82" i="10"/>
  <c r="J9" i="10"/>
  <c r="I9" i="10"/>
  <c r="G9" i="10"/>
  <c r="H8" i="10"/>
  <c r="H20" i="10"/>
  <c r="J19" i="10"/>
  <c r="G19" i="10"/>
  <c r="I19" i="10"/>
  <c r="H62" i="10"/>
  <c r="I61" i="10"/>
  <c r="J61" i="10"/>
  <c r="G61" i="10"/>
  <c r="H7" i="10" l="1"/>
  <c r="I8" i="10"/>
  <c r="G8" i="10"/>
  <c r="J8" i="10"/>
  <c r="H63" i="10"/>
  <c r="J62" i="10"/>
  <c r="G62" i="10"/>
  <c r="I62" i="10"/>
  <c r="H28" i="10"/>
  <c r="J29" i="10"/>
  <c r="G29" i="10"/>
  <c r="I29" i="10"/>
  <c r="H49" i="10"/>
  <c r="G50" i="10"/>
  <c r="J50" i="10"/>
  <c r="I50" i="10"/>
  <c r="G20" i="10"/>
  <c r="I20" i="10"/>
  <c r="H21" i="10"/>
  <c r="J20" i="10"/>
  <c r="H84" i="10"/>
  <c r="G83" i="10"/>
  <c r="J83" i="10"/>
  <c r="I83" i="10"/>
  <c r="H42" i="10"/>
  <c r="J41" i="10"/>
  <c r="G41" i="10"/>
  <c r="I41" i="10"/>
  <c r="H70" i="10"/>
  <c r="G71" i="10"/>
  <c r="I71" i="10"/>
  <c r="J71" i="10"/>
  <c r="G70" i="10" l="1"/>
  <c r="I70" i="10"/>
  <c r="J70" i="10"/>
  <c r="G21" i="10"/>
  <c r="J21" i="10"/>
  <c r="I21" i="10"/>
  <c r="J84" i="10"/>
  <c r="I84" i="10"/>
  <c r="G84" i="10"/>
  <c r="G49" i="10"/>
  <c r="J49" i="10"/>
  <c r="I49" i="10"/>
  <c r="G63" i="10"/>
  <c r="I63" i="10"/>
  <c r="J63" i="10"/>
  <c r="J42" i="10"/>
  <c r="G42" i="10"/>
  <c r="I42" i="10"/>
  <c r="J28" i="10"/>
  <c r="G28" i="10"/>
  <c r="I28" i="10"/>
  <c r="G7" i="10"/>
  <c r="I7" i="10"/>
  <c r="J7" i="10"/>
</calcChain>
</file>

<file path=xl/sharedStrings.xml><?xml version="1.0" encoding="utf-8"?>
<sst xmlns="http://schemas.openxmlformats.org/spreadsheetml/2006/main" count="793" uniqueCount="196">
  <si>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</si>
  <si>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</si>
  <si>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</si>
  <si>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</si>
  <si>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</si>
  <si>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</si>
  <si>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</si>
  <si>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</si>
  <si>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</si>
  <si>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</si>
  <si>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</si>
  <si>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</si>
  <si>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</si>
  <si>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</si>
  <si>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</si>
  <si>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</si>
  <si>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</si>
  <si>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</si>
  <si>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</si>
  <si>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</si>
  <si>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</si>
  <si>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</si>
  <si>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</si>
  <si>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</si>
  <si>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</si>
  <si>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</si>
  <si>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</si>
  <si>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</si>
  <si>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</si>
  <si>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</si>
  <si>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</si>
  <si>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</si>
  <si>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</si>
  <si>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</si>
  <si>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</si>
  <si>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</si>
  <si>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</si>
  <si>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</si>
  <si>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</si>
  <si>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</si>
  <si>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</si>
  <si>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</si>
  <si>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</si>
  <si>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</si>
  <si>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</si>
  <si>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</si>
  <si>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</si>
  <si>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</si>
  <si>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</si>
  <si>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</si>
  <si>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</si>
  <si>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</si>
  <si>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</si>
  <si>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</si>
  <si>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</si>
  <si>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</si>
  <si>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</si>
  <si>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</si>
  <si>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</si>
  <si>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</si>
  <si>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</si>
  <si>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</si>
  <si>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</si>
  <si>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</si>
  <si>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</si>
  <si>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</si>
  <si>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</si>
  <si>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</si>
  <si>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</si>
  <si>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</si>
  <si>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</si>
  <si>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</si>
  <si>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</si>
  <si>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</si>
  <si>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</si>
  <si>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</si>
  <si>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</si>
  <si>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</si>
  <si>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</si>
  <si>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</si>
  <si>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</si>
  <si>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</si>
  <si>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</si>
  <si>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</si>
  <si>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</si>
  <si>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</si>
  <si>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</si>
  <si>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</si>
  <si>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</si>
  <si>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</si>
  <si>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</si>
  <si>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</si>
  <si>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</si>
  <si>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</si>
  <si>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</si>
  <si>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</si>
  <si>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</si>
  <si>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</si>
  <si>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</si>
  <si>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</si>
  <si>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</si>
  <si>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</si>
  <si>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</si>
  <si>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</si>
  <si>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</si>
  <si>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</si>
  <si>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</si>
  <si>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</si>
  <si>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</si>
  <si>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</si>
  <si>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</si>
  <si>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</si>
  <si>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</si>
  <si>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</si>
  <si>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</si>
  <si>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</si>
  <si>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</si>
  <si>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</si>
  <si>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</si>
  <si>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</si>
  <si>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</si>
  <si>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</si>
  <si>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</si>
  <si>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</si>
  <si>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</si>
  <si>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Chicken Litter</t>
  </si>
  <si>
    <t>Land Rent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</si>
  <si>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</si>
  <si>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</si>
  <si>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</si>
  <si>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</si>
  <si>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</si>
  <si>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</si>
  <si>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</si>
  <si>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</si>
  <si>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</si>
  <si>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</si>
  <si>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</si>
  <si>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</si>
  <si>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</si>
  <si>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</si>
  <si>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</si>
  <si>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</si>
  <si>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</si>
  <si>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</si>
  <si>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</si>
  <si>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</si>
  <si>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</si>
  <si>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</si>
  <si>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</si>
  <si>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</si>
  <si>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</si>
  <si>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</si>
  <si>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</si>
  <si>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</si>
  <si>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</si>
  <si>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</si>
  <si>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</si>
  <si>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</si>
  <si>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</si>
  <si>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</si>
  <si>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</si>
  <si>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</si>
  <si>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</si>
  <si>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</si>
  <si>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</si>
  <si>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</si>
  <si>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</si>
  <si>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</si>
  <si>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</si>
  <si>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BREAKEVEN PRICE  (Variable Cost)</t>
  </si>
  <si>
    <t>Gin &amp; Warehouse (net after cottonseed)</t>
  </si>
  <si>
    <t>Custom Application</t>
  </si>
  <si>
    <t>Hand Weeding</t>
  </si>
  <si>
    <t>Handweeding</t>
  </si>
  <si>
    <t>* Expected fertilizer $/lb. of nutrient:</t>
  </si>
  <si>
    <t>** Season Average Diesel fuel price:</t>
  </si>
  <si>
    <t>* Value only if cover crop is not harvested, i.e. wheat for grain, etc.</t>
  </si>
  <si>
    <t>** Expected fertilizer $/lb.of nutrient:</t>
  </si>
  <si>
    <t>ctn</t>
  </si>
  <si>
    <t>crn</t>
  </si>
  <si>
    <t>pnt</t>
  </si>
  <si>
    <t>soy</t>
  </si>
  <si>
    <t>grsor</t>
  </si>
  <si>
    <t>cor</t>
  </si>
  <si>
    <t>avc</t>
  </si>
  <si>
    <t>agr</t>
  </si>
  <si>
    <t>aravc</t>
  </si>
  <si>
    <t>aravc-lr</t>
  </si>
  <si>
    <t>BREAKEVEN YIELD per ACRE (Variable Cost)</t>
  </si>
  <si>
    <t>By A.R. Smith and Yangxuan Liu, UGA Extension Economists, Department of Agricultural &amp; Applied Economics</t>
  </si>
  <si>
    <t>*** Weighted average of diesel and electric irrigation application costs.  Electric is estimated at $7/appl and diesel is estimated at $13/appl when diesel cost $3/gal.</t>
  </si>
  <si>
    <t>Estimate of 2022 Relative Row Crop Costs and Net Returns</t>
  </si>
  <si>
    <t>[[Due to extreme volatility in input markets, prices may change rapidly.  You are encouraged to enter your own prices to best estimate your 2022 cost of production.]]</t>
  </si>
  <si>
    <t>[[Due to extreme volatility in input markets, prices may change rapidly.  You should enter your own prices to best estimate your 2022 cost of production.]]</t>
  </si>
  <si>
    <t>Jan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</si>
</sst>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  <numFmt numFmtId="169" formatCode="0.0000"/>
    <numFmt numFmtId="170" formatCode="[$-F400]h:mm:ss\ AM/PM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0"/>
      <color theme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3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</borders>
  <cellStyleXfs count="15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74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5" borderId="0" xfId="2" applyNumberFormat="1" applyFont="1" applyFill="1" applyAlignment="1">
      <alignment horizontal="center"/>
    </xf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4" borderId="0" xfId="2" applyNumberFormat="1" applyFont="1" applyFill="1" applyAlignment="1">
      <alignment horizontal="center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NumberFormat="1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Border="1" applyAlignment="1" applyProtection="1">
      <alignment horizontal="right"/>
      <protection locked="0"/>
    </xf>
    <xf numFmtId="167" fontId="5" fillId="8" borderId="0" xfId="0" applyNumberFormat="1" applyFont="1" applyFill="1" applyBorder="1" applyAlignment="1" applyProtection="1">
      <alignment horizontal="right"/>
      <protection locked="0"/>
    </xf>
    <xf numFmtId="166" fontId="5" fillId="8" borderId="0" xfId="0" applyNumberFormat="1" applyFont="1" applyFill="1" applyBorder="1" applyAlignment="1" applyProtection="1">
      <alignment horizontal="right"/>
      <protection locked="0"/>
    </xf>
    <xf numFmtId="165" fontId="5" fillId="8" borderId="0" xfId="0" applyNumberFormat="1" applyFont="1" applyFill="1" applyBorder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 applyBorder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>
      <alignment horizontal="center"/>
    </xf>
    <xf numFmtId="0" fontId="0" fillId="8" borderId="0" xfId="0" applyFill="1" applyBorder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 applyBorder="1" applyAlignment="1"/>
    <xf numFmtId="0" fontId="11" fillId="8" borderId="0" xfId="0" applyFont="1" applyFill="1" applyAlignment="1"/>
    <xf numFmtId="0" fontId="12" fillId="8" borderId="0" xfId="0" applyFont="1" applyFill="1"/>
    <xf numFmtId="0" fontId="12" fillId="0" borderId="0" xfId="0" applyFont="1"/>
    <xf numFmtId="0" fontId="12" fillId="8" borderId="0" xfId="0" applyFont="1" applyFill="1" applyBorder="1" applyAlignment="1"/>
    <xf numFmtId="49" fontId="13" fillId="3" borderId="7" xfId="0" applyNumberFormat="1" applyFont="1" applyFill="1" applyBorder="1" applyAlignment="1"/>
    <xf numFmtId="49" fontId="13" fillId="3" borderId="21" xfId="0" applyNumberFormat="1" applyFont="1" applyFill="1" applyBorder="1" applyAlignment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1" fillId="8" borderId="17" xfId="0" applyFont="1" applyFill="1" applyBorder="1"/>
    <xf numFmtId="0" fontId="11" fillId="8" borderId="19" xfId="0" applyFont="1" applyFill="1" applyBorder="1"/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Border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Border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Border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Border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 applyAlignment="1"/>
    <xf numFmtId="0" fontId="12" fillId="0" borderId="0" xfId="0" applyFont="1" applyFill="1"/>
    <xf numFmtId="0" fontId="11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right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/>
    <xf numFmtId="8" fontId="11" fillId="8" borderId="0" xfId="0" applyNumberFormat="1" applyFont="1" applyFill="1" applyAlignment="1" applyProtection="1">
      <protection locked="0"/>
    </xf>
    <xf numFmtId="0" fontId="13" fillId="8" borderId="0" xfId="0" applyFont="1" applyFill="1" applyAlignment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165" fontId="11" fillId="8" borderId="6" xfId="0" applyNumberFormat="1" applyFont="1" applyFill="1" applyBorder="1" applyAlignment="1" applyProtection="1">
      <protection locked="0"/>
    </xf>
    <xf numFmtId="0" fontId="11" fillId="8" borderId="6" xfId="0" applyFont="1" applyFill="1" applyBorder="1" applyAlignment="1">
      <alignment horizontal="right"/>
    </xf>
    <xf numFmtId="0" fontId="12" fillId="8" borderId="0" xfId="0" applyFont="1" applyFill="1" applyBorder="1"/>
    <xf numFmtId="0" fontId="14" fillId="8" borderId="0" xfId="0" applyFont="1" applyFill="1" applyBorder="1" applyAlignment="1"/>
    <xf numFmtId="0" fontId="14" fillId="8" borderId="0" xfId="0" applyFont="1" applyFill="1" applyAlignment="1"/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4" fillId="0" borderId="0" xfId="0" applyFont="1" applyFill="1"/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 applyAlignment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3" fillId="8" borderId="6" xfId="0" applyFont="1" applyFill="1" applyBorder="1" applyAlignment="1">
      <alignment horizontal="center"/>
    </xf>
    <xf numFmtId="165" fontId="11" fillId="8" borderId="0" xfId="0" applyNumberFormat="1" applyFont="1" applyFill="1" applyBorder="1" applyAlignment="1" applyProtection="1">
      <alignment horizontal="left"/>
      <protection locked="0"/>
    </xf>
    <xf numFmtId="0" fontId="11" fillId="8" borderId="0" xfId="0" applyFont="1" applyFill="1"/>
    <xf numFmtId="165" fontId="15" fillId="2" borderId="60" xfId="2" applyNumberFormat="1" applyFont="1" applyFill="1" applyBorder="1" applyAlignment="1">
      <alignment horizontal="left"/>
    </xf>
    <xf numFmtId="166" fontId="13" fillId="2" borderId="59" xfId="2" applyNumberFormat="1" applyFont="1" applyFill="1" applyBorder="1" applyAlignment="1">
      <alignment horizontal="right"/>
    </xf>
    <xf numFmtId="165" fontId="13" fillId="2" borderId="59" xfId="2" applyNumberFormat="1" applyFont="1" applyFill="1" applyBorder="1" applyAlignment="1">
      <alignment horizontal="right"/>
    </xf>
    <xf numFmtId="3" fontId="15" fillId="2" borderId="60" xfId="0" applyNumberFormat="1" applyFont="1" applyFill="1" applyBorder="1" applyAlignment="1">
      <alignment horizontal="left"/>
    </xf>
    <xf numFmtId="166" fontId="13" fillId="2" borderId="61" xfId="2" applyNumberFormat="1" applyFont="1" applyFill="1" applyBorder="1" applyAlignment="1">
      <alignment horizontal="right"/>
    </xf>
    <xf numFmtId="165" fontId="13" fillId="2" borderId="61" xfId="2" applyNumberFormat="1" applyFont="1" applyFill="1" applyBorder="1" applyAlignment="1">
      <alignment horizontal="right"/>
    </xf>
    <xf numFmtId="165" fontId="15" fillId="2" borderId="63" xfId="2" applyNumberFormat="1" applyFont="1" applyFill="1" applyBorder="1" applyAlignment="1">
      <alignment horizontal="left"/>
    </xf>
    <xf numFmtId="3" fontId="13" fillId="2" borderId="59" xfId="0" applyNumberFormat="1" applyFont="1" applyFill="1" applyBorder="1" applyAlignment="1">
      <alignment horizontal="right"/>
    </xf>
    <xf numFmtId="1" fontId="13" fillId="2" borderId="59" xfId="0" applyNumberFormat="1" applyFont="1" applyFill="1" applyBorder="1" applyAlignment="1">
      <alignment horizontal="right"/>
    </xf>
    <xf numFmtId="165" fontId="11" fillId="8" borderId="0" xfId="0" applyNumberFormat="1" applyFont="1" applyFill="1" applyBorder="1" applyAlignment="1" applyProtection="1">
      <protection locked="0"/>
    </xf>
    <xf numFmtId="0" fontId="13" fillId="8" borderId="63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right"/>
    </xf>
    <xf numFmtId="0" fontId="14" fillId="8" borderId="60" xfId="0" applyFont="1" applyFill="1" applyBorder="1" applyAlignment="1">
      <alignment horizontal="right"/>
    </xf>
    <xf numFmtId="1" fontId="14" fillId="8" borderId="57" xfId="0" applyNumberFormat="1" applyFont="1" applyFill="1" applyBorder="1" applyAlignment="1" applyProtection="1">
      <alignment horizontal="right"/>
      <protection locked="0"/>
    </xf>
    <xf numFmtId="1" fontId="14" fillId="8" borderId="58" xfId="0" applyNumberFormat="1" applyFont="1" applyFill="1" applyBorder="1" applyAlignment="1" applyProtection="1">
      <alignment horizontal="right"/>
      <protection locked="0"/>
    </xf>
    <xf numFmtId="1" fontId="14" fillId="8" borderId="57" xfId="0" applyNumberFormat="1" applyFont="1" applyFill="1" applyBorder="1" applyAlignment="1">
      <alignment horizontal="right"/>
    </xf>
    <xf numFmtId="1" fontId="14" fillId="8" borderId="58" xfId="0" applyNumberFormat="1" applyFont="1" applyFill="1" applyBorder="1" applyAlignment="1">
      <alignment horizontal="right"/>
    </xf>
    <xf numFmtId="6" fontId="14" fillId="8" borderId="57" xfId="0" applyNumberFormat="1" applyFont="1" applyFill="1" applyBorder="1" applyAlignment="1">
      <alignment horizontal="right"/>
    </xf>
    <xf numFmtId="6" fontId="14" fillId="8" borderId="58" xfId="0" applyNumberFormat="1" applyFont="1" applyFill="1" applyBorder="1" applyAlignment="1">
      <alignment horizontal="right"/>
    </xf>
    <xf numFmtId="165" fontId="14" fillId="8" borderId="57" xfId="0" applyNumberFormat="1" applyFont="1" applyFill="1" applyBorder="1" applyAlignment="1">
      <alignment horizontal="right"/>
    </xf>
    <xf numFmtId="165" fontId="14" fillId="8" borderId="58" xfId="0" applyNumberFormat="1" applyFont="1" applyFill="1" applyBorder="1" applyAlignment="1">
      <alignment horizontal="right"/>
    </xf>
    <xf numFmtId="0" fontId="13" fillId="8" borderId="61" xfId="0" applyFont="1" applyFill="1" applyBorder="1" applyAlignment="1">
      <alignment horizontal="center"/>
    </xf>
    <xf numFmtId="166" fontId="13" fillId="2" borderId="59" xfId="2" applyNumberFormat="1" applyFont="1" applyFill="1" applyBorder="1" applyAlignment="1"/>
    <xf numFmtId="0" fontId="11" fillId="7" borderId="1" xfId="0" applyFont="1" applyFill="1" applyBorder="1"/>
    <xf numFmtId="165" fontId="13" fillId="7" borderId="8" xfId="2" applyNumberFormat="1" applyFont="1" applyFill="1" applyBorder="1" applyAlignment="1">
      <alignment horizontal="right"/>
    </xf>
    <xf numFmtId="165" fontId="15" fillId="7" borderId="7" xfId="2" applyNumberFormat="1" applyFont="1" applyFill="1" applyBorder="1" applyAlignment="1">
      <alignment horizontal="left"/>
    </xf>
    <xf numFmtId="166" fontId="13" fillId="7" borderId="59" xfId="2" applyNumberFormat="1" applyFont="1" applyFill="1" applyBorder="1" applyAlignment="1">
      <alignment horizontal="right"/>
    </xf>
    <xf numFmtId="165" fontId="15" fillId="7" borderId="60" xfId="2" applyNumberFormat="1" applyFont="1" applyFill="1" applyBorder="1" applyAlignment="1">
      <alignment horizontal="left"/>
    </xf>
    <xf numFmtId="165" fontId="13" fillId="7" borderId="59" xfId="2" applyNumberFormat="1" applyFont="1" applyFill="1" applyBorder="1" applyAlignment="1">
      <alignment horizontal="right"/>
    </xf>
    <xf numFmtId="165" fontId="13" fillId="7" borderId="7" xfId="2" applyNumberFormat="1" applyFont="1" applyFill="1" applyBorder="1" applyAlignment="1">
      <alignment horizontal="right"/>
    </xf>
    <xf numFmtId="165" fontId="15" fillId="7" borderId="20" xfId="2" applyNumberFormat="1" applyFont="1" applyFill="1" applyBorder="1" applyAlignment="1">
      <alignment horizontal="left"/>
    </xf>
    <xf numFmtId="165" fontId="20" fillId="13" borderId="64" xfId="0" applyNumberFormat="1" applyFont="1" applyFill="1" applyBorder="1" applyAlignment="1" applyProtection="1">
      <alignment horizontal="right"/>
    </xf>
    <xf numFmtId="165" fontId="21" fillId="13" borderId="65" xfId="0" quotePrefix="1" applyNumberFormat="1" applyFont="1" applyFill="1" applyBorder="1" applyAlignment="1" applyProtection="1">
      <alignment horizontal="left"/>
      <protection locked="0"/>
    </xf>
    <xf numFmtId="165" fontId="20" fillId="13" borderId="28" xfId="0" applyNumberFormat="1" applyFont="1" applyFill="1" applyBorder="1" applyAlignment="1" applyProtection="1">
      <alignment horizontal="right"/>
    </xf>
    <xf numFmtId="165" fontId="21" fillId="13" borderId="30" xfId="0" quotePrefix="1" applyNumberFormat="1" applyFont="1" applyFill="1" applyBorder="1" applyAlignment="1" applyProtection="1">
      <alignment horizontal="left"/>
      <protection locked="0"/>
    </xf>
    <xf numFmtId="165" fontId="20" fillId="13" borderId="64" xfId="0" applyNumberFormat="1" applyFont="1" applyFill="1" applyBorder="1" applyAlignment="1" applyProtection="1">
      <alignment horizontal="right"/>
      <protection locked="0"/>
    </xf>
    <xf numFmtId="165" fontId="20" fillId="13" borderId="28" xfId="0" applyNumberFormat="1" applyFont="1" applyFill="1" applyBorder="1" applyAlignment="1" applyProtection="1">
      <alignment horizontal="right"/>
      <protection locked="0"/>
    </xf>
    <xf numFmtId="165" fontId="21" fillId="13" borderId="29" xfId="0" quotePrefix="1" applyNumberFormat="1" applyFont="1" applyFill="1" applyBorder="1" applyAlignment="1" applyProtection="1">
      <alignment horizontal="left"/>
      <protection locked="0"/>
    </xf>
    <xf numFmtId="165" fontId="21" fillId="13" borderId="28" xfId="0" quotePrefix="1" applyNumberFormat="1" applyFont="1" applyFill="1" applyBorder="1" applyAlignment="1" applyProtection="1">
      <alignment horizontal="left"/>
      <protection locked="0"/>
    </xf>
    <xf numFmtId="165" fontId="20" fillId="13" borderId="27" xfId="0" applyNumberFormat="1" applyFont="1" applyFill="1" applyBorder="1" applyAlignment="1" applyProtection="1">
      <protection locked="0"/>
    </xf>
    <xf numFmtId="3" fontId="20" fillId="14" borderId="59" xfId="0" applyNumberFormat="1" applyFont="1" applyFill="1" applyBorder="1" applyAlignment="1" applyProtection="1">
      <alignment horizontal="right"/>
    </xf>
    <xf numFmtId="3" fontId="21" fillId="14" borderId="60" xfId="0" applyNumberFormat="1" applyFont="1" applyFill="1" applyBorder="1" applyAlignment="1" applyProtection="1">
      <alignment horizontal="left"/>
      <protection locked="0"/>
    </xf>
    <xf numFmtId="166" fontId="20" fillId="14" borderId="64" xfId="0" applyNumberFormat="1" applyFont="1" applyFill="1" applyBorder="1" applyAlignment="1" applyProtection="1">
      <alignment horizontal="right"/>
    </xf>
    <xf numFmtId="165" fontId="21" fillId="14" borderId="65" xfId="0" quotePrefix="1" applyNumberFormat="1" applyFont="1" applyFill="1" applyBorder="1" applyAlignment="1" applyProtection="1">
      <alignment horizontal="left"/>
      <protection locked="0"/>
    </xf>
    <xf numFmtId="3" fontId="20" fillId="15" borderId="59" xfId="0" applyNumberFormat="1" applyFont="1" applyFill="1" applyBorder="1" applyAlignment="1" applyProtection="1">
      <alignment horizontal="right"/>
      <protection locked="0"/>
    </xf>
    <xf numFmtId="3" fontId="21" fillId="15" borderId="60" xfId="0" applyNumberFormat="1" applyFont="1" applyFill="1" applyBorder="1" applyAlignment="1" applyProtection="1">
      <alignment horizontal="left"/>
      <protection locked="0"/>
    </xf>
    <xf numFmtId="3" fontId="20" fillId="15" borderId="7" xfId="0" applyNumberFormat="1" applyFont="1" applyFill="1" applyBorder="1" applyAlignment="1" applyProtection="1">
      <alignment horizontal="right"/>
      <protection locked="0"/>
    </xf>
    <xf numFmtId="3" fontId="21" fillId="15" borderId="20" xfId="0" applyNumberFormat="1" applyFont="1" applyFill="1" applyBorder="1" applyAlignment="1" applyProtection="1">
      <alignment horizontal="left"/>
      <protection locked="0"/>
    </xf>
    <xf numFmtId="3" fontId="21" fillId="15" borderId="16" xfId="0" applyNumberFormat="1" applyFont="1" applyFill="1" applyBorder="1" applyAlignment="1" applyProtection="1">
      <alignment horizontal="left"/>
      <protection locked="0"/>
    </xf>
    <xf numFmtId="3" fontId="21" fillId="15" borderId="7" xfId="0" applyNumberFormat="1" applyFont="1" applyFill="1" applyBorder="1" applyAlignment="1" applyProtection="1">
      <alignment horizontal="left"/>
      <protection locked="0"/>
    </xf>
    <xf numFmtId="3" fontId="20" fillId="15" borderId="8" xfId="0" applyNumberFormat="1" applyFont="1" applyFill="1" applyBorder="1" applyAlignment="1" applyProtection="1">
      <protection locked="0"/>
    </xf>
    <xf numFmtId="3" fontId="20" fillId="15" borderId="8" xfId="0" applyNumberFormat="1" applyFont="1" applyFill="1" applyBorder="1" applyAlignment="1" applyProtection="1">
      <alignment horizontal="right"/>
      <protection locked="0"/>
    </xf>
    <xf numFmtId="165" fontId="20" fillId="13" borderId="27" xfId="0" applyNumberFormat="1" applyFont="1" applyFill="1" applyBorder="1" applyAlignment="1" applyProtection="1">
      <alignment horizontal="right"/>
      <protection locked="0"/>
    </xf>
    <xf numFmtId="0" fontId="13" fillId="14" borderId="61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3" fontId="21" fillId="14" borderId="7" xfId="0" applyNumberFormat="1" applyFont="1" applyFill="1" applyBorder="1" applyAlignment="1" applyProtection="1">
      <alignment horizontal="left"/>
      <protection locked="0"/>
    </xf>
    <xf numFmtId="165" fontId="21" fillId="14" borderId="28" xfId="0" quotePrefix="1" applyNumberFormat="1" applyFont="1" applyFill="1" applyBorder="1" applyAlignment="1" applyProtection="1">
      <alignment horizontal="left"/>
      <protection locked="0"/>
    </xf>
    <xf numFmtId="0" fontId="20" fillId="14" borderId="61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/>
    </xf>
    <xf numFmtId="170" fontId="11" fillId="3" borderId="25" xfId="0" quotePrefix="1" applyNumberFormat="1" applyFont="1" applyFill="1" applyBorder="1" applyAlignment="1"/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0" fontId="14" fillId="8" borderId="60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center"/>
    </xf>
    <xf numFmtId="6" fontId="14" fillId="8" borderId="59" xfId="0" applyNumberFormat="1" applyFont="1" applyFill="1" applyBorder="1" applyAlignment="1">
      <alignment horizontal="center"/>
    </xf>
    <xf numFmtId="6" fontId="14" fillId="8" borderId="60" xfId="0" applyNumberFormat="1" applyFont="1" applyFill="1" applyBorder="1" applyAlignment="1">
      <alignment horizontal="center"/>
    </xf>
    <xf numFmtId="165" fontId="15" fillId="2" borderId="10" xfId="2" applyNumberFormat="1" applyFont="1" applyFill="1" applyBorder="1" applyAlignment="1">
      <alignment horizontal="left"/>
    </xf>
    <xf numFmtId="0" fontId="14" fillId="8" borderId="0" xfId="0" applyFont="1" applyFill="1" applyBorder="1" applyAlignment="1">
      <alignment horizontal="center"/>
    </xf>
    <xf numFmtId="0" fontId="14" fillId="8" borderId="0" xfId="0" applyFont="1" applyFill="1" applyBorder="1"/>
    <xf numFmtId="165" fontId="20" fillId="13" borderId="27" xfId="0" applyNumberFormat="1" applyFont="1" applyFill="1" applyBorder="1" applyAlignment="1" applyProtection="1">
      <alignment horizontal="right"/>
    </xf>
    <xf numFmtId="169" fontId="14" fillId="8" borderId="0" xfId="0" applyNumberFormat="1" applyFont="1" applyFill="1" applyBorder="1"/>
    <xf numFmtId="166" fontId="14" fillId="8" borderId="0" xfId="0" applyNumberFormat="1" applyFont="1" applyFill="1" applyBorder="1"/>
    <xf numFmtId="165" fontId="14" fillId="8" borderId="0" xfId="0" applyNumberFormat="1" applyFont="1" applyFill="1" applyBorder="1"/>
    <xf numFmtId="1" fontId="13" fillId="2" borderId="8" xfId="0" applyNumberFormat="1" applyFont="1" applyFill="1" applyBorder="1" applyAlignment="1">
      <alignment horizontal="right"/>
    </xf>
    <xf numFmtId="0" fontId="14" fillId="8" borderId="10" xfId="0" applyFont="1" applyFill="1" applyBorder="1"/>
    <xf numFmtId="49" fontId="11" fillId="3" borderId="7" xfId="0" quotePrefix="1" applyNumberFormat="1" applyFont="1" applyFill="1" applyBorder="1" applyAlignment="1"/>
    <xf numFmtId="49" fontId="11" fillId="3" borderId="20" xfId="0" quotePrefix="1" applyNumberFormat="1" applyFont="1" applyFill="1" applyBorder="1" applyAlignment="1"/>
    <xf numFmtId="0" fontId="16" fillId="8" borderId="10" xfId="0" applyFont="1" applyFill="1" applyBorder="1" applyAlignment="1"/>
    <xf numFmtId="0" fontId="16" fillId="8" borderId="0" xfId="0" applyFont="1" applyFill="1" applyBorder="1" applyAlignment="1"/>
    <xf numFmtId="0" fontId="16" fillId="8" borderId="0" xfId="0" applyFont="1" applyFill="1"/>
    <xf numFmtId="0" fontId="16" fillId="0" borderId="0" xfId="0" applyFont="1"/>
    <xf numFmtId="1" fontId="0" fillId="0" borderId="0" xfId="0" applyNumberFormat="1"/>
    <xf numFmtId="1" fontId="15" fillId="7" borderId="20" xfId="2" applyNumberFormat="1" applyFont="1" applyFill="1" applyBorder="1" applyAlignment="1">
      <alignment horizontal="left"/>
    </xf>
    <xf numFmtId="0" fontId="11" fillId="2" borderId="17" xfId="0" applyFont="1" applyFill="1" applyBorder="1"/>
    <xf numFmtId="3" fontId="13" fillId="7" borderId="8" xfId="2" applyNumberFormat="1" applyFont="1" applyFill="1" applyBorder="1" applyAlignment="1">
      <alignment horizontal="right"/>
    </xf>
    <xf numFmtId="3" fontId="15" fillId="7" borderId="7" xfId="2" applyNumberFormat="1" applyFont="1" applyFill="1" applyBorder="1" applyAlignment="1">
      <alignment horizontal="left"/>
    </xf>
    <xf numFmtId="3" fontId="13" fillId="7" borderId="59" xfId="2" applyNumberFormat="1" applyFont="1" applyFill="1" applyBorder="1" applyAlignment="1">
      <alignment horizontal="right"/>
    </xf>
    <xf numFmtId="3" fontId="15" fillId="7" borderId="60" xfId="2" applyNumberFormat="1" applyFont="1" applyFill="1" applyBorder="1" applyAlignment="1">
      <alignment horizontal="left"/>
    </xf>
    <xf numFmtId="3" fontId="13" fillId="7" borderId="7" xfId="2" applyNumberFormat="1" applyFont="1" applyFill="1" applyBorder="1" applyAlignment="1">
      <alignment horizontal="right"/>
    </xf>
    <xf numFmtId="3" fontId="13" fillId="2" borderId="8" xfId="2" applyNumberFormat="1" applyFont="1" applyFill="1" applyBorder="1" applyAlignment="1">
      <alignment horizontal="right"/>
    </xf>
    <xf numFmtId="3" fontId="15" fillId="2" borderId="7" xfId="2" applyNumberFormat="1" applyFont="1" applyFill="1" applyBorder="1" applyAlignment="1">
      <alignment horizontal="left"/>
    </xf>
    <xf numFmtId="3" fontId="13" fillId="2" borderId="59" xfId="2" applyNumberFormat="1" applyFont="1" applyFill="1" applyBorder="1" applyAlignment="1">
      <alignment horizontal="right"/>
    </xf>
    <xf numFmtId="3" fontId="15" fillId="2" borderId="60" xfId="2" applyNumberFormat="1" applyFont="1" applyFill="1" applyBorder="1" applyAlignment="1">
      <alignment horizontal="left"/>
    </xf>
    <xf numFmtId="3" fontId="15" fillId="2" borderId="16" xfId="2" applyNumberFormat="1" applyFont="1" applyFill="1" applyBorder="1" applyAlignment="1">
      <alignment horizontal="left"/>
    </xf>
    <xf numFmtId="3" fontId="15" fillId="2" borderId="20" xfId="2" applyNumberFormat="1" applyFont="1" applyFill="1" applyBorder="1" applyAlignment="1">
      <alignment horizontal="left"/>
    </xf>
    <xf numFmtId="169" fontId="14" fillId="8" borderId="0" xfId="0" applyNumberFormat="1" applyFont="1" applyFill="1"/>
    <xf numFmtId="0" fontId="13" fillId="8" borderId="0" xfId="0" applyFont="1" applyFill="1" applyAlignment="1">
      <alignment wrapText="1"/>
    </xf>
    <xf numFmtId="0" fontId="13" fillId="8" borderId="10" xfId="0" applyFont="1" applyFill="1" applyBorder="1" applyAlignment="1">
      <alignment wrapText="1"/>
    </xf>
    <xf numFmtId="165" fontId="14" fillId="8" borderId="66" xfId="0" applyNumberFormat="1" applyFont="1" applyFill="1" applyBorder="1" applyAlignment="1">
      <alignment horizontal="center"/>
    </xf>
    <xf numFmtId="165" fontId="14" fillId="8" borderId="67" xfId="0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 applyProtection="1">
      <alignment horizontal="center"/>
      <protection locked="0"/>
    </xf>
    <xf numFmtId="1" fontId="14" fillId="8" borderId="58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left"/>
    </xf>
    <xf numFmtId="1" fontId="14" fillId="8" borderId="54" xfId="0" applyNumberFormat="1" applyFont="1" applyFill="1" applyBorder="1" applyAlignment="1" applyProtection="1">
      <alignment horizontal="center"/>
      <protection locked="0"/>
    </xf>
    <xf numFmtId="1" fontId="14" fillId="8" borderId="51" xfId="0" applyNumberFormat="1" applyFont="1" applyFill="1" applyBorder="1" applyAlignment="1">
      <alignment horizontal="center"/>
    </xf>
    <xf numFmtId="166" fontId="14" fillId="8" borderId="49" xfId="2" applyNumberFormat="1" applyFont="1" applyFill="1" applyBorder="1" applyAlignment="1">
      <alignment horizontal="center"/>
    </xf>
    <xf numFmtId="6" fontId="14" fillId="8" borderId="49" xfId="0" applyNumberFormat="1" applyFont="1" applyFill="1" applyBorder="1" applyAlignment="1">
      <alignment horizontal="center"/>
    </xf>
    <xf numFmtId="166" fontId="13" fillId="8" borderId="52" xfId="2" applyNumberFormat="1" applyFont="1" applyFill="1" applyBorder="1" applyAlignment="1">
      <alignment horizontal="center"/>
    </xf>
    <xf numFmtId="165" fontId="14" fillId="8" borderId="56" xfId="0" applyNumberFormat="1" applyFont="1" applyFill="1" applyBorder="1" applyAlignment="1">
      <alignment horizontal="center"/>
    </xf>
    <xf numFmtId="165" fontId="14" fillId="8" borderId="34" xfId="0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66" fontId="13" fillId="3" borderId="55" xfId="2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38" xfId="0" applyNumberFormat="1" applyFont="1" applyFill="1" applyBorder="1" applyAlignment="1">
      <alignment horizontal="center"/>
    </xf>
    <xf numFmtId="1" fontId="14" fillId="8" borderId="10" xfId="0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6" fontId="14" fillId="8" borderId="7" xfId="0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166" fontId="13" fillId="8" borderId="28" xfId="2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>
      <alignment horizontal="center"/>
    </xf>
    <xf numFmtId="1" fontId="14" fillId="8" borderId="54" xfId="0" applyNumberFormat="1" applyFont="1" applyFill="1" applyBorder="1" applyAlignment="1">
      <alignment horizontal="center"/>
    </xf>
    <xf numFmtId="166" fontId="13" fillId="3" borderId="53" xfId="2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6" xfId="0" applyNumberFormat="1" applyFont="1" applyFill="1" applyBorder="1" applyAlignment="1">
      <alignment horizontal="center"/>
    </xf>
    <xf numFmtId="166" fontId="13" fillId="8" borderId="37" xfId="0" applyNumberFormat="1" applyFont="1" applyFill="1" applyBorder="1" applyAlignment="1">
      <alignment horizontal="center"/>
    </xf>
    <xf numFmtId="166" fontId="13" fillId="8" borderId="53" xfId="0" applyNumberFormat="1" applyFont="1" applyFill="1" applyBorder="1" applyAlignment="1">
      <alignment horizontal="center"/>
    </xf>
    <xf numFmtId="1" fontId="14" fillId="8" borderId="61" xfId="0" applyNumberFormat="1" applyFont="1" applyFill="1" applyBorder="1" applyAlignment="1" applyProtection="1">
      <alignment horizontal="center"/>
      <protection locked="0"/>
    </xf>
    <xf numFmtId="1" fontId="14" fillId="8" borderId="63" xfId="0" applyNumberFormat="1" applyFont="1" applyFill="1" applyBorder="1" applyAlignment="1" applyProtection="1">
      <alignment horizontal="center"/>
      <protection locked="0"/>
    </xf>
    <xf numFmtId="1" fontId="14" fillId="8" borderId="50" xfId="0" applyNumberFormat="1" applyFont="1" applyFill="1" applyBorder="1" applyAlignment="1" applyProtection="1">
      <alignment horizontal="center"/>
      <protection locked="0"/>
    </xf>
    <xf numFmtId="0" fontId="14" fillId="8" borderId="59" xfId="0" applyFont="1" applyFill="1" applyBorder="1" applyAlignment="1">
      <alignment horizontal="center"/>
    </xf>
    <xf numFmtId="166" fontId="13" fillId="8" borderId="39" xfId="0" applyNumberFormat="1" applyFont="1" applyFill="1" applyBorder="1" applyAlignment="1">
      <alignment horizontal="center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166" fontId="13" fillId="8" borderId="69" xfId="0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0" fontId="13" fillId="14" borderId="50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20" fillId="14" borderId="51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2" xfId="0" applyFont="1" applyFill="1" applyBorder="1" applyAlignment="1">
      <alignment horizontal="center"/>
    </xf>
    <xf numFmtId="0" fontId="13" fillId="12" borderId="0" xfId="0" applyFont="1" applyFill="1" applyAlignment="1">
      <alignment horizontal="center" wrapText="1"/>
    </xf>
    <xf numFmtId="0" fontId="13" fillId="12" borderId="10" xfId="0" applyFont="1" applyFill="1" applyBorder="1" applyAlignment="1">
      <alignment horizontal="center" wrapText="1"/>
    </xf>
    <xf numFmtId="0" fontId="13" fillId="8" borderId="8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6" fontId="13" fillId="3" borderId="40" xfId="2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>
      <alignment horizontal="center"/>
    </xf>
    <xf numFmtId="166" fontId="13" fillId="3" borderId="69" xfId="2" applyNumberFormat="1" applyFont="1" applyFill="1" applyBorder="1" applyAlignment="1">
      <alignment horizontal="center"/>
    </xf>
    <xf numFmtId="166" fontId="13" fillId="3" borderId="70" xfId="2" applyNumberFormat="1" applyFont="1" applyFill="1" applyBorder="1" applyAlignment="1">
      <alignment horizontal="center"/>
    </xf>
    <xf numFmtId="166" fontId="13" fillId="8" borderId="64" xfId="2" applyNumberFormat="1" applyFont="1" applyFill="1" applyBorder="1" applyAlignment="1">
      <alignment horizontal="center"/>
    </xf>
    <xf numFmtId="166" fontId="13" fillId="8" borderId="65" xfId="2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left"/>
    </xf>
    <xf numFmtId="166" fontId="14" fillId="8" borderId="59" xfId="2" applyNumberFormat="1" applyFont="1" applyFill="1" applyBorder="1" applyAlignment="1">
      <alignment horizontal="center"/>
    </xf>
    <xf numFmtId="0" fontId="12" fillId="8" borderId="6" xfId="0" applyFont="1" applyFill="1" applyBorder="1" applyAlignment="1">
      <alignment horizontal="left"/>
    </xf>
    <xf numFmtId="1" fontId="14" fillId="8" borderId="62" xfId="0" applyNumberFormat="1" applyFont="1" applyFill="1" applyBorder="1" applyAlignment="1">
      <alignment horizontal="center"/>
    </xf>
    <xf numFmtId="166" fontId="13" fillId="3" borderId="71" xfId="2" applyNumberFormat="1" applyFont="1" applyFill="1" applyBorder="1" applyAlignment="1">
      <alignment horizontal="center"/>
    </xf>
    <xf numFmtId="166" fontId="13" fillId="3" borderId="72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1" fontId="14" fillId="8" borderId="15" xfId="0" applyNumberFormat="1" applyFont="1" applyFill="1" applyBorder="1" applyAlignment="1">
      <alignment horizontal="center"/>
    </xf>
    <xf numFmtId="1" fontId="14" fillId="8" borderId="68" xfId="0" applyNumberFormat="1" applyFont="1" applyFill="1" applyBorder="1" applyAlignment="1">
      <alignment horizontal="center"/>
    </xf>
    <xf numFmtId="166" fontId="14" fillId="8" borderId="60" xfId="2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66" fontId="13" fillId="3" borderId="43" xfId="2" applyNumberFormat="1" applyFont="1" applyFill="1" applyBorder="1" applyAlignment="1">
      <alignment horizontal="center"/>
    </xf>
    <xf numFmtId="166" fontId="13" fillId="8" borderId="70" xfId="0" applyNumberFormat="1" applyFont="1" applyFill="1" applyBorder="1" applyAlignment="1">
      <alignment horizontal="center"/>
    </xf>
    <xf numFmtId="166" fontId="13" fillId="8" borderId="43" xfId="0" applyNumberFormat="1" applyFont="1" applyFill="1" applyBorder="1" applyAlignment="1">
      <alignment horizontal="center"/>
    </xf>
    <xf numFmtId="0" fontId="20" fillId="14" borderId="6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0" fontId="11" fillId="12" borderId="0" xfId="0" applyFont="1" applyFill="1" applyAlignment="1">
      <alignment horizontal="center" wrapText="1"/>
    </xf>
    <xf numFmtId="0" fontId="11" fillId="12" borderId="10" xfId="0" applyFont="1" applyFill="1" applyBorder="1" applyAlignment="1">
      <alignment horizontal="center" wrapText="1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Border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6" fillId="8" borderId="7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49" fontId="3" fillId="12" borderId="10" xfId="0" applyNumberFormat="1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</cellXfs>
  <cellStyles count="15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3" builtinId="8"/>
    <cellStyle name="Normal" xfId="0" builtinId="0"/>
    <cellStyle name="Percent" xfId="4" builtinId="5"/>
  </cellStyles>
  <dxfs count="9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66FF"/>
      <color rgb="FF33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0.72499999999999987</c:v>
                </c:pt>
                <c:pt idx="1">
                  <c:v>0.74999999999999989</c:v>
                </c:pt>
                <c:pt idx="2">
                  <c:v>0.77499999999999991</c:v>
                </c:pt>
                <c:pt idx="3">
                  <c:v>0.79999999999999993</c:v>
                </c:pt>
                <c:pt idx="4">
                  <c:v>0.82499999999999996</c:v>
                </c:pt>
                <c:pt idx="5">
                  <c:v>0.85</c:v>
                </c:pt>
                <c:pt idx="6">
                  <c:v>0.875</c:v>
                </c:pt>
                <c:pt idx="7">
                  <c:v>0.9</c:v>
                </c:pt>
                <c:pt idx="8">
                  <c:v>0.92500000000000004</c:v>
                </c:pt>
                <c:pt idx="9">
                  <c:v>0.95000000000000007</c:v>
                </c:pt>
                <c:pt idx="10">
                  <c:v>0.97500000000000009</c:v>
                </c:pt>
                <c:pt idx="11">
                  <c:v>1</c:v>
                </c:pt>
                <c:pt idx="12">
                  <c:v>1.0249999999999999</c:v>
                </c:pt>
                <c:pt idx="13">
                  <c:v>1.0499999999999998</c:v>
                </c:pt>
                <c:pt idx="14">
                  <c:v>1.0749999999999997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373.47429582205029</c:v>
                </c:pt>
                <c:pt idx="1">
                  <c:v>386.24025326885879</c:v>
                </c:pt>
                <c:pt idx="2">
                  <c:v>399.00621071566735</c:v>
                </c:pt>
                <c:pt idx="3">
                  <c:v>411.77216816247579</c:v>
                </c:pt>
                <c:pt idx="4">
                  <c:v>424.53812560928441</c:v>
                </c:pt>
                <c:pt idx="5">
                  <c:v>437.30408305609285</c:v>
                </c:pt>
                <c:pt idx="6">
                  <c:v>450.07004050290135</c:v>
                </c:pt>
                <c:pt idx="7">
                  <c:v>462.83599794970985</c:v>
                </c:pt>
                <c:pt idx="8">
                  <c:v>475.60195539651841</c:v>
                </c:pt>
                <c:pt idx="9">
                  <c:v>488.36791284332685</c:v>
                </c:pt>
                <c:pt idx="10">
                  <c:v>501.13387029013546</c:v>
                </c:pt>
                <c:pt idx="11">
                  <c:v>513.89982773694385</c:v>
                </c:pt>
                <c:pt idx="12">
                  <c:v>526.6657851837524</c:v>
                </c:pt>
                <c:pt idx="13">
                  <c:v>539.43174263056096</c:v>
                </c:pt>
                <c:pt idx="14">
                  <c:v>552.1977000773694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0-4511-9B36-F044D1A8B389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0.72499999999999987</c:v>
                </c:pt>
                <c:pt idx="1">
                  <c:v>0.74999999999999989</c:v>
                </c:pt>
                <c:pt idx="2">
                  <c:v>0.77499999999999991</c:v>
                </c:pt>
                <c:pt idx="3">
                  <c:v>0.79999999999999993</c:v>
                </c:pt>
                <c:pt idx="4">
                  <c:v>0.82499999999999996</c:v>
                </c:pt>
                <c:pt idx="5">
                  <c:v>0.85</c:v>
                </c:pt>
                <c:pt idx="6">
                  <c:v>0.875</c:v>
                </c:pt>
                <c:pt idx="7">
                  <c:v>0.9</c:v>
                </c:pt>
                <c:pt idx="8">
                  <c:v>0.92500000000000004</c:v>
                </c:pt>
                <c:pt idx="9">
                  <c:v>0.95000000000000007</c:v>
                </c:pt>
                <c:pt idx="10">
                  <c:v>0.97500000000000009</c:v>
                </c:pt>
                <c:pt idx="11">
                  <c:v>1</c:v>
                </c:pt>
                <c:pt idx="12">
                  <c:v>1.0249999999999999</c:v>
                </c:pt>
                <c:pt idx="13">
                  <c:v>1.0499999999999998</c:v>
                </c:pt>
                <c:pt idx="14">
                  <c:v>1.0749999999999997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349.2323000668448</c:v>
                </c:pt>
                <c:pt idx="1">
                  <c:v>360.26171183155071</c:v>
                </c:pt>
                <c:pt idx="2">
                  <c:v>371.29112359625663</c:v>
                </c:pt>
                <c:pt idx="3">
                  <c:v>382.32053536096254</c:v>
                </c:pt>
                <c:pt idx="4">
                  <c:v>393.34994712566839</c:v>
                </c:pt>
                <c:pt idx="5">
                  <c:v>404.37935889037431</c:v>
                </c:pt>
                <c:pt idx="6">
                  <c:v>415.40877065508022</c:v>
                </c:pt>
                <c:pt idx="7">
                  <c:v>426.43818241978602</c:v>
                </c:pt>
                <c:pt idx="8">
                  <c:v>437.46759418449193</c:v>
                </c:pt>
                <c:pt idx="9">
                  <c:v>448.49700594919784</c:v>
                </c:pt>
                <c:pt idx="10">
                  <c:v>459.52641771390381</c:v>
                </c:pt>
                <c:pt idx="11">
                  <c:v>470.55582947860955</c:v>
                </c:pt>
                <c:pt idx="12">
                  <c:v>481.58524124331541</c:v>
                </c:pt>
                <c:pt idx="13">
                  <c:v>492.61465300802126</c:v>
                </c:pt>
                <c:pt idx="14">
                  <c:v>503.64406477272706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0-4511-9B36-F044D1A8B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89680"/>
        <c:axId val="-1811387552"/>
      </c:lineChart>
      <c:catAx>
        <c:axId val="-181138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7552"/>
        <c:crosses val="autoZero"/>
        <c:auto val="1"/>
        <c:lblAlgn val="ctr"/>
        <c:lblOffset val="100"/>
        <c:noMultiLvlLbl val="0"/>
      </c:catAx>
      <c:valAx>
        <c:axId val="-181138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99"/>
          <c:y val="0.70227875361733605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"/>
          <c:y val="5.89456119309589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9.0500000000000025</c:v>
                </c:pt>
                <c:pt idx="1">
                  <c:v>9.4000000000000021</c:v>
                </c:pt>
                <c:pt idx="2">
                  <c:v>9.7500000000000018</c:v>
                </c:pt>
                <c:pt idx="3">
                  <c:v>10.100000000000001</c:v>
                </c:pt>
                <c:pt idx="4">
                  <c:v>10.450000000000001</c:v>
                </c:pt>
                <c:pt idx="5">
                  <c:v>10.8</c:v>
                </c:pt>
                <c:pt idx="6">
                  <c:v>11.15</c:v>
                </c:pt>
                <c:pt idx="7">
                  <c:v>11.5</c:v>
                </c:pt>
                <c:pt idx="8">
                  <c:v>11.85</c:v>
                </c:pt>
                <c:pt idx="9">
                  <c:v>12.2</c:v>
                </c:pt>
                <c:pt idx="10">
                  <c:v>12.549999999999999</c:v>
                </c:pt>
                <c:pt idx="11">
                  <c:v>12.899999999999999</c:v>
                </c:pt>
                <c:pt idx="12">
                  <c:v>13.249999999999998</c:v>
                </c:pt>
                <c:pt idx="13">
                  <c:v>13.599999999999998</c:v>
                </c:pt>
                <c:pt idx="14">
                  <c:v>13.949999999999998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0.76031054568181822</c:v>
                </c:pt>
                <c:pt idx="1">
                  <c:v>0.77781054568181829</c:v>
                </c:pt>
                <c:pt idx="2">
                  <c:v>0.79531054568181825</c:v>
                </c:pt>
                <c:pt idx="3">
                  <c:v>0.81281054568181821</c:v>
                </c:pt>
                <c:pt idx="4">
                  <c:v>0.83031054568181828</c:v>
                </c:pt>
                <c:pt idx="5">
                  <c:v>0.84781054568181813</c:v>
                </c:pt>
                <c:pt idx="6">
                  <c:v>0.86531054568181809</c:v>
                </c:pt>
                <c:pt idx="7">
                  <c:v>0.88281054568181805</c:v>
                </c:pt>
                <c:pt idx="8">
                  <c:v>0.90031054568181801</c:v>
                </c:pt>
                <c:pt idx="9">
                  <c:v>0.91781054568181808</c:v>
                </c:pt>
                <c:pt idx="10">
                  <c:v>0.93531054568181804</c:v>
                </c:pt>
                <c:pt idx="11">
                  <c:v>0.95281054568181811</c:v>
                </c:pt>
                <c:pt idx="12">
                  <c:v>0.97031054568181807</c:v>
                </c:pt>
                <c:pt idx="13">
                  <c:v>0.98781054568181803</c:v>
                </c:pt>
                <c:pt idx="14">
                  <c:v>1.0053105456818181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7-492D-9963-9E6B334ECA9D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9.0500000000000025</c:v>
                </c:pt>
                <c:pt idx="1">
                  <c:v>9.4000000000000021</c:v>
                </c:pt>
                <c:pt idx="2">
                  <c:v>9.7500000000000018</c:v>
                </c:pt>
                <c:pt idx="3">
                  <c:v>10.100000000000001</c:v>
                </c:pt>
                <c:pt idx="4">
                  <c:v>10.450000000000001</c:v>
                </c:pt>
                <c:pt idx="5">
                  <c:v>10.8</c:v>
                </c:pt>
                <c:pt idx="6">
                  <c:v>11.15</c:v>
                </c:pt>
                <c:pt idx="7">
                  <c:v>11.5</c:v>
                </c:pt>
                <c:pt idx="8">
                  <c:v>11.85</c:v>
                </c:pt>
                <c:pt idx="9">
                  <c:v>12.2</c:v>
                </c:pt>
                <c:pt idx="10">
                  <c:v>12.549999999999999</c:v>
                </c:pt>
                <c:pt idx="11">
                  <c:v>12.899999999999999</c:v>
                </c:pt>
                <c:pt idx="12">
                  <c:v>13.249999999999998</c:v>
                </c:pt>
                <c:pt idx="13">
                  <c:v>13.599999999999998</c:v>
                </c:pt>
                <c:pt idx="14">
                  <c:v>13.949999999999998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0.75907252578181816</c:v>
                </c:pt>
                <c:pt idx="1">
                  <c:v>0.77307252578181818</c:v>
                </c:pt>
                <c:pt idx="2">
                  <c:v>0.78707252578181819</c:v>
                </c:pt>
                <c:pt idx="3">
                  <c:v>0.8010725257818182</c:v>
                </c:pt>
                <c:pt idx="4">
                  <c:v>0.81507252578181821</c:v>
                </c:pt>
                <c:pt idx="5">
                  <c:v>0.82907252578181823</c:v>
                </c:pt>
                <c:pt idx="6">
                  <c:v>0.84307252578181824</c:v>
                </c:pt>
                <c:pt idx="7">
                  <c:v>0.85707252578181825</c:v>
                </c:pt>
                <c:pt idx="8">
                  <c:v>0.87107252578181826</c:v>
                </c:pt>
                <c:pt idx="9">
                  <c:v>0.88507252578181816</c:v>
                </c:pt>
                <c:pt idx="10">
                  <c:v>0.89907252578181818</c:v>
                </c:pt>
                <c:pt idx="11">
                  <c:v>0.91307252578181819</c:v>
                </c:pt>
                <c:pt idx="12">
                  <c:v>0.9270725257818182</c:v>
                </c:pt>
                <c:pt idx="13">
                  <c:v>0.94107252578181821</c:v>
                </c:pt>
                <c:pt idx="14">
                  <c:v>0.95507252578181823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7-492D-9963-9E6B334EC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0026080"/>
        <c:axId val="-1860103920"/>
      </c:lineChart>
      <c:catAx>
        <c:axId val="-186002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103920"/>
        <c:crosses val="autoZero"/>
        <c:auto val="1"/>
        <c:lblAlgn val="ctr"/>
        <c:lblOffset val="100"/>
        <c:noMultiLvlLbl val="0"/>
      </c:catAx>
      <c:valAx>
        <c:axId val="-186010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02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1"/>
          <c:y val="0.68816070176658395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9.0500000000000025</c:v>
                </c:pt>
                <c:pt idx="1">
                  <c:v>9.4000000000000021</c:v>
                </c:pt>
                <c:pt idx="2">
                  <c:v>9.7500000000000018</c:v>
                </c:pt>
                <c:pt idx="3">
                  <c:v>10.100000000000001</c:v>
                </c:pt>
                <c:pt idx="4">
                  <c:v>10.450000000000001</c:v>
                </c:pt>
                <c:pt idx="5">
                  <c:v>10.8</c:v>
                </c:pt>
                <c:pt idx="6">
                  <c:v>11.15</c:v>
                </c:pt>
                <c:pt idx="7">
                  <c:v>11.5</c:v>
                </c:pt>
                <c:pt idx="8">
                  <c:v>11.85</c:v>
                </c:pt>
                <c:pt idx="9">
                  <c:v>12.2</c:v>
                </c:pt>
                <c:pt idx="10">
                  <c:v>12.549999999999999</c:v>
                </c:pt>
                <c:pt idx="11">
                  <c:v>12.899999999999999</c:v>
                </c:pt>
                <c:pt idx="12">
                  <c:v>13.249999999999998</c:v>
                </c:pt>
                <c:pt idx="13">
                  <c:v>13.599999999999998</c:v>
                </c:pt>
                <c:pt idx="14">
                  <c:v>13.949999999999998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391.50521276595754</c:v>
                </c:pt>
                <c:pt idx="1">
                  <c:v>400.44138297872348</c:v>
                </c:pt>
                <c:pt idx="2">
                  <c:v>409.37755319148943</c:v>
                </c:pt>
                <c:pt idx="3">
                  <c:v>418.31372340425537</c:v>
                </c:pt>
                <c:pt idx="4">
                  <c:v>427.24989361702137</c:v>
                </c:pt>
                <c:pt idx="5">
                  <c:v>436.18606382978726</c:v>
                </c:pt>
                <c:pt idx="6">
                  <c:v>445.12223404255326</c:v>
                </c:pt>
                <c:pt idx="7">
                  <c:v>454.0584042553192</c:v>
                </c:pt>
                <c:pt idx="8">
                  <c:v>462.99457446808509</c:v>
                </c:pt>
                <c:pt idx="9">
                  <c:v>471.93074468085109</c:v>
                </c:pt>
                <c:pt idx="10">
                  <c:v>480.86691489361692</c:v>
                </c:pt>
                <c:pt idx="11">
                  <c:v>489.80308510638292</c:v>
                </c:pt>
                <c:pt idx="12">
                  <c:v>498.73925531914887</c:v>
                </c:pt>
                <c:pt idx="13">
                  <c:v>507.67542553191481</c:v>
                </c:pt>
                <c:pt idx="14">
                  <c:v>516.6115957446807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F-48DC-BCC0-C7EE33078D3E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9.0500000000000025</c:v>
                </c:pt>
                <c:pt idx="1">
                  <c:v>9.4000000000000021</c:v>
                </c:pt>
                <c:pt idx="2">
                  <c:v>9.7500000000000018</c:v>
                </c:pt>
                <c:pt idx="3">
                  <c:v>10.100000000000001</c:v>
                </c:pt>
                <c:pt idx="4">
                  <c:v>10.450000000000001</c:v>
                </c:pt>
                <c:pt idx="5">
                  <c:v>10.8</c:v>
                </c:pt>
                <c:pt idx="6">
                  <c:v>11.15</c:v>
                </c:pt>
                <c:pt idx="7">
                  <c:v>11.5</c:v>
                </c:pt>
                <c:pt idx="8">
                  <c:v>11.85</c:v>
                </c:pt>
                <c:pt idx="9">
                  <c:v>12.2</c:v>
                </c:pt>
                <c:pt idx="10">
                  <c:v>12.549999999999999</c:v>
                </c:pt>
                <c:pt idx="11">
                  <c:v>12.899999999999999</c:v>
                </c:pt>
                <c:pt idx="12">
                  <c:v>13.249999999999998</c:v>
                </c:pt>
                <c:pt idx="13">
                  <c:v>13.599999999999998</c:v>
                </c:pt>
                <c:pt idx="14">
                  <c:v>13.949999999999998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364.26429673529407</c:v>
                </c:pt>
                <c:pt idx="1">
                  <c:v>370.44076732352937</c:v>
                </c:pt>
                <c:pt idx="2">
                  <c:v>376.61723791176468</c:v>
                </c:pt>
                <c:pt idx="3">
                  <c:v>382.79370849999998</c:v>
                </c:pt>
                <c:pt idx="4">
                  <c:v>388.97017908823528</c:v>
                </c:pt>
                <c:pt idx="5">
                  <c:v>395.14664967647059</c:v>
                </c:pt>
                <c:pt idx="6">
                  <c:v>401.32312026470584</c:v>
                </c:pt>
                <c:pt idx="7">
                  <c:v>407.49959085294114</c:v>
                </c:pt>
                <c:pt idx="8">
                  <c:v>413.67606144117644</c:v>
                </c:pt>
                <c:pt idx="9">
                  <c:v>419.85253202941175</c:v>
                </c:pt>
                <c:pt idx="10">
                  <c:v>426.02900261764705</c:v>
                </c:pt>
                <c:pt idx="11">
                  <c:v>432.2054732058823</c:v>
                </c:pt>
                <c:pt idx="12">
                  <c:v>438.3819437941176</c:v>
                </c:pt>
                <c:pt idx="13">
                  <c:v>444.55841438235296</c:v>
                </c:pt>
                <c:pt idx="14">
                  <c:v>450.73488497058821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F-48DC-BCC0-C7EE33078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909552"/>
        <c:axId val="-1859772944"/>
      </c:lineChart>
      <c:catAx>
        <c:axId val="-185990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72944"/>
        <c:crosses val="autoZero"/>
        <c:auto val="1"/>
        <c:lblAlgn val="ctr"/>
        <c:lblOffset val="100"/>
        <c:noMultiLvlLbl val="0"/>
      </c:catAx>
      <c:valAx>
        <c:axId val="-1859772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90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"/>
          <c:y val="0.6968599892755340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9.0500000000000025</c:v>
                </c:pt>
                <c:pt idx="1">
                  <c:v>9.4000000000000021</c:v>
                </c:pt>
                <c:pt idx="2">
                  <c:v>9.7500000000000018</c:v>
                </c:pt>
                <c:pt idx="3">
                  <c:v>10.100000000000001</c:v>
                </c:pt>
                <c:pt idx="4">
                  <c:v>10.450000000000001</c:v>
                </c:pt>
                <c:pt idx="5">
                  <c:v>10.8</c:v>
                </c:pt>
                <c:pt idx="6">
                  <c:v>11.15</c:v>
                </c:pt>
                <c:pt idx="7">
                  <c:v>11.5</c:v>
                </c:pt>
                <c:pt idx="8">
                  <c:v>11.85</c:v>
                </c:pt>
                <c:pt idx="9">
                  <c:v>12.2</c:v>
                </c:pt>
                <c:pt idx="10">
                  <c:v>12.549999999999999</c:v>
                </c:pt>
                <c:pt idx="11">
                  <c:v>12.899999999999999</c:v>
                </c:pt>
                <c:pt idx="12">
                  <c:v>13.249999999999998</c:v>
                </c:pt>
                <c:pt idx="13">
                  <c:v>13.599999999999998</c:v>
                </c:pt>
                <c:pt idx="14">
                  <c:v>13.949999999999998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5.4542075500000013</c:v>
                </c:pt>
                <c:pt idx="1">
                  <c:v>5.5592075500000009</c:v>
                </c:pt>
                <c:pt idx="2">
                  <c:v>5.6642075500000013</c:v>
                </c:pt>
                <c:pt idx="3">
                  <c:v>5.7692075500000009</c:v>
                </c:pt>
                <c:pt idx="4">
                  <c:v>5.8742075500000013</c:v>
                </c:pt>
                <c:pt idx="5">
                  <c:v>5.9792075500000008</c:v>
                </c:pt>
                <c:pt idx="6">
                  <c:v>6.0842075500000012</c:v>
                </c:pt>
                <c:pt idx="7">
                  <c:v>6.1892075500000008</c:v>
                </c:pt>
                <c:pt idx="8">
                  <c:v>6.2942075500000012</c:v>
                </c:pt>
                <c:pt idx="9">
                  <c:v>6.3992075500000007</c:v>
                </c:pt>
                <c:pt idx="10">
                  <c:v>6.5042075500000012</c:v>
                </c:pt>
                <c:pt idx="11">
                  <c:v>6.6092075500000007</c:v>
                </c:pt>
                <c:pt idx="12">
                  <c:v>6.7142075500000011</c:v>
                </c:pt>
                <c:pt idx="13">
                  <c:v>6.8192075500000007</c:v>
                </c:pt>
                <c:pt idx="14">
                  <c:v>6.9242075500000011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C-4BE8-9CF0-A538F620D2B7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9.0500000000000025</c:v>
                </c:pt>
                <c:pt idx="1">
                  <c:v>9.4000000000000021</c:v>
                </c:pt>
                <c:pt idx="2">
                  <c:v>9.7500000000000018</c:v>
                </c:pt>
                <c:pt idx="3">
                  <c:v>10.100000000000001</c:v>
                </c:pt>
                <c:pt idx="4">
                  <c:v>10.450000000000001</c:v>
                </c:pt>
                <c:pt idx="5">
                  <c:v>10.8</c:v>
                </c:pt>
                <c:pt idx="6">
                  <c:v>11.15</c:v>
                </c:pt>
                <c:pt idx="7">
                  <c:v>11.5</c:v>
                </c:pt>
                <c:pt idx="8">
                  <c:v>11.85</c:v>
                </c:pt>
                <c:pt idx="9">
                  <c:v>12.2</c:v>
                </c:pt>
                <c:pt idx="10">
                  <c:v>12.549999999999999</c:v>
                </c:pt>
                <c:pt idx="11">
                  <c:v>12.899999999999999</c:v>
                </c:pt>
                <c:pt idx="12">
                  <c:v>13.249999999999998</c:v>
                </c:pt>
                <c:pt idx="13">
                  <c:v>13.599999999999998</c:v>
                </c:pt>
                <c:pt idx="14">
                  <c:v>13.949999999999998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4.8973006944117641</c:v>
                </c:pt>
                <c:pt idx="1">
                  <c:v>5.0208301061764704</c:v>
                </c:pt>
                <c:pt idx="2">
                  <c:v>5.1443595179411759</c:v>
                </c:pt>
                <c:pt idx="3">
                  <c:v>5.2678889297058822</c:v>
                </c:pt>
                <c:pt idx="4">
                  <c:v>5.3914183414705876</c:v>
                </c:pt>
                <c:pt idx="5">
                  <c:v>5.5149477532352931</c:v>
                </c:pt>
                <c:pt idx="6">
                  <c:v>5.6384771649999985</c:v>
                </c:pt>
                <c:pt idx="7">
                  <c:v>5.7620065767647048</c:v>
                </c:pt>
                <c:pt idx="8">
                  <c:v>5.8855359885294103</c:v>
                </c:pt>
                <c:pt idx="9">
                  <c:v>6.0090654002941166</c:v>
                </c:pt>
                <c:pt idx="10">
                  <c:v>6.1325948120588212</c:v>
                </c:pt>
                <c:pt idx="11">
                  <c:v>6.2561242238235266</c:v>
                </c:pt>
                <c:pt idx="12">
                  <c:v>6.379653635588233</c:v>
                </c:pt>
                <c:pt idx="13">
                  <c:v>6.5031830473529384</c:v>
                </c:pt>
                <c:pt idx="14">
                  <c:v>6.6267124591176447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C-4BE8-9CF0-A538F620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751136"/>
        <c:axId val="-1859863280"/>
      </c:lineChart>
      <c:catAx>
        <c:axId val="-18597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863280"/>
        <c:crosses val="autoZero"/>
        <c:auto val="1"/>
        <c:lblAlgn val="ctr"/>
        <c:lblOffset val="100"/>
        <c:noMultiLvlLbl val="0"/>
      </c:catAx>
      <c:valAx>
        <c:axId val="-185986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5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0.72499999999999987</c:v>
                </c:pt>
                <c:pt idx="1">
                  <c:v>0.74999999999999989</c:v>
                </c:pt>
                <c:pt idx="2">
                  <c:v>0.77499999999999991</c:v>
                </c:pt>
                <c:pt idx="3">
                  <c:v>0.79999999999999993</c:v>
                </c:pt>
                <c:pt idx="4">
                  <c:v>0.82499999999999996</c:v>
                </c:pt>
                <c:pt idx="5">
                  <c:v>0.85</c:v>
                </c:pt>
                <c:pt idx="6">
                  <c:v>0.875</c:v>
                </c:pt>
                <c:pt idx="7">
                  <c:v>0.9</c:v>
                </c:pt>
                <c:pt idx="8">
                  <c:v>0.92500000000000004</c:v>
                </c:pt>
                <c:pt idx="9">
                  <c:v>0.95000000000000007</c:v>
                </c:pt>
                <c:pt idx="10">
                  <c:v>0.97500000000000009</c:v>
                </c:pt>
                <c:pt idx="11">
                  <c:v>1</c:v>
                </c:pt>
                <c:pt idx="12">
                  <c:v>1.0249999999999999</c:v>
                </c:pt>
                <c:pt idx="13">
                  <c:v>1.0499999999999998</c:v>
                </c:pt>
                <c:pt idx="14">
                  <c:v>1.0749999999999997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359.00403518375248</c:v>
                </c:pt>
                <c:pt idx="1">
                  <c:v>371.76999263056098</c:v>
                </c:pt>
                <c:pt idx="2">
                  <c:v>384.53595007736953</c:v>
                </c:pt>
                <c:pt idx="3">
                  <c:v>397.30190752417798</c:v>
                </c:pt>
                <c:pt idx="4">
                  <c:v>410.06786497098659</c:v>
                </c:pt>
                <c:pt idx="5">
                  <c:v>422.83382241779503</c:v>
                </c:pt>
                <c:pt idx="6">
                  <c:v>435.59977986460359</c:v>
                </c:pt>
                <c:pt idx="7">
                  <c:v>448.36573731141209</c:v>
                </c:pt>
                <c:pt idx="8">
                  <c:v>461.13169475822059</c:v>
                </c:pt>
                <c:pt idx="9">
                  <c:v>473.89765220502909</c:v>
                </c:pt>
                <c:pt idx="10">
                  <c:v>486.66360965183765</c:v>
                </c:pt>
                <c:pt idx="11">
                  <c:v>499.42956709864609</c:v>
                </c:pt>
                <c:pt idx="12">
                  <c:v>512.19552454545465</c:v>
                </c:pt>
                <c:pt idx="13">
                  <c:v>524.96148199226309</c:v>
                </c:pt>
                <c:pt idx="14">
                  <c:v>537.72743943907153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D-4BD1-925F-21AE2F5D3F80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0.72499999999999987</c:v>
                </c:pt>
                <c:pt idx="1">
                  <c:v>0.74999999999999989</c:v>
                </c:pt>
                <c:pt idx="2">
                  <c:v>0.77499999999999991</c:v>
                </c:pt>
                <c:pt idx="3">
                  <c:v>0.79999999999999993</c:v>
                </c:pt>
                <c:pt idx="4">
                  <c:v>0.82499999999999996</c:v>
                </c:pt>
                <c:pt idx="5">
                  <c:v>0.85</c:v>
                </c:pt>
                <c:pt idx="6">
                  <c:v>0.875</c:v>
                </c:pt>
                <c:pt idx="7">
                  <c:v>0.9</c:v>
                </c:pt>
                <c:pt idx="8">
                  <c:v>0.92500000000000004</c:v>
                </c:pt>
                <c:pt idx="9">
                  <c:v>0.95000000000000007</c:v>
                </c:pt>
                <c:pt idx="10">
                  <c:v>0.97500000000000009</c:v>
                </c:pt>
                <c:pt idx="11">
                  <c:v>1</c:v>
                </c:pt>
                <c:pt idx="12">
                  <c:v>1.0249999999999999</c:v>
                </c:pt>
                <c:pt idx="13">
                  <c:v>1.0499999999999998</c:v>
                </c:pt>
                <c:pt idx="14">
                  <c:v>1.0749999999999997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317.48859418449189</c:v>
                </c:pt>
                <c:pt idx="1">
                  <c:v>328.5180059491978</c:v>
                </c:pt>
                <c:pt idx="2">
                  <c:v>339.54741771390366</c:v>
                </c:pt>
                <c:pt idx="3">
                  <c:v>350.57682947860957</c:v>
                </c:pt>
                <c:pt idx="4">
                  <c:v>361.60624124331548</c:v>
                </c:pt>
                <c:pt idx="5">
                  <c:v>372.63565300802139</c:v>
                </c:pt>
                <c:pt idx="6">
                  <c:v>383.66506477272725</c:v>
                </c:pt>
                <c:pt idx="7">
                  <c:v>394.6944765374331</c:v>
                </c:pt>
                <c:pt idx="8">
                  <c:v>405.72388830213902</c:v>
                </c:pt>
                <c:pt idx="9">
                  <c:v>416.75330006684493</c:v>
                </c:pt>
                <c:pt idx="10">
                  <c:v>427.78271183155084</c:v>
                </c:pt>
                <c:pt idx="11">
                  <c:v>438.81212359625664</c:v>
                </c:pt>
                <c:pt idx="12">
                  <c:v>449.8415353609625</c:v>
                </c:pt>
                <c:pt idx="13">
                  <c:v>460.87094712566835</c:v>
                </c:pt>
                <c:pt idx="14">
                  <c:v>471.90035889037421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D-4BD1-925F-21AE2F5D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82112"/>
        <c:axId val="-1811278352"/>
      </c:lineChart>
      <c:catAx>
        <c:axId val="-18112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78352"/>
        <c:crosses val="autoZero"/>
        <c:auto val="1"/>
        <c:lblAlgn val="ctr"/>
        <c:lblOffset val="100"/>
        <c:noMultiLvlLbl val="0"/>
      </c:catAx>
      <c:valAx>
        <c:axId val="-181127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8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5"/>
          <c:y val="0.70512775646633896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0.72499999999999987</c:v>
                </c:pt>
                <c:pt idx="1">
                  <c:v>0.74999999999999989</c:v>
                </c:pt>
                <c:pt idx="2">
                  <c:v>0.77499999999999991</c:v>
                </c:pt>
                <c:pt idx="3">
                  <c:v>0.79999999999999993</c:v>
                </c:pt>
                <c:pt idx="4">
                  <c:v>0.82499999999999996</c:v>
                </c:pt>
                <c:pt idx="5">
                  <c:v>0.85</c:v>
                </c:pt>
                <c:pt idx="6">
                  <c:v>0.875</c:v>
                </c:pt>
                <c:pt idx="7">
                  <c:v>0.9</c:v>
                </c:pt>
                <c:pt idx="8">
                  <c:v>0.92500000000000004</c:v>
                </c:pt>
                <c:pt idx="9">
                  <c:v>0.95000000000000007</c:v>
                </c:pt>
                <c:pt idx="10">
                  <c:v>0.97500000000000009</c:v>
                </c:pt>
                <c:pt idx="11">
                  <c:v>1</c:v>
                </c:pt>
                <c:pt idx="12">
                  <c:v>1.0249999999999999</c:v>
                </c:pt>
                <c:pt idx="13">
                  <c:v>1.0499999999999998</c:v>
                </c:pt>
                <c:pt idx="14">
                  <c:v>1.0749999999999997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4.2412666433957202</c:v>
                </c:pt>
                <c:pt idx="1">
                  <c:v>4.461854878689838</c:v>
                </c:pt>
                <c:pt idx="2">
                  <c:v>4.6824431139839557</c:v>
                </c:pt>
                <c:pt idx="3">
                  <c:v>4.9030313492780744</c:v>
                </c:pt>
                <c:pt idx="4">
                  <c:v>5.1236195845721921</c:v>
                </c:pt>
                <c:pt idx="5">
                  <c:v>5.3442078198663099</c:v>
                </c:pt>
                <c:pt idx="6">
                  <c:v>5.5647960551604276</c:v>
                </c:pt>
                <c:pt idx="7">
                  <c:v>5.7853842904545454</c:v>
                </c:pt>
                <c:pt idx="8">
                  <c:v>6.0059725257486631</c:v>
                </c:pt>
                <c:pt idx="9">
                  <c:v>6.2265607610427809</c:v>
                </c:pt>
                <c:pt idx="10">
                  <c:v>6.4471489963368986</c:v>
                </c:pt>
                <c:pt idx="11">
                  <c:v>6.6677372316310164</c:v>
                </c:pt>
                <c:pt idx="12">
                  <c:v>6.8883254669251315</c:v>
                </c:pt>
                <c:pt idx="13">
                  <c:v>7.1089137022192492</c:v>
                </c:pt>
                <c:pt idx="14">
                  <c:v>7.329501937513367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3-4450-B307-4E9B5743679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0.72499999999999987</c:v>
                </c:pt>
                <c:pt idx="1">
                  <c:v>0.74999999999999989</c:v>
                </c:pt>
                <c:pt idx="2">
                  <c:v>0.77499999999999991</c:v>
                </c:pt>
                <c:pt idx="3">
                  <c:v>0.79999999999999993</c:v>
                </c:pt>
                <c:pt idx="4">
                  <c:v>0.82499999999999996</c:v>
                </c:pt>
                <c:pt idx="5">
                  <c:v>0.85</c:v>
                </c:pt>
                <c:pt idx="6">
                  <c:v>0.875</c:v>
                </c:pt>
                <c:pt idx="7">
                  <c:v>0.9</c:v>
                </c:pt>
                <c:pt idx="8">
                  <c:v>0.92500000000000004</c:v>
                </c:pt>
                <c:pt idx="9">
                  <c:v>0.95000000000000007</c:v>
                </c:pt>
                <c:pt idx="10">
                  <c:v>0.97500000000000009</c:v>
                </c:pt>
                <c:pt idx="11">
                  <c:v>1</c:v>
                </c:pt>
                <c:pt idx="12">
                  <c:v>1.0249999999999999</c:v>
                </c:pt>
                <c:pt idx="13">
                  <c:v>1.0499999999999998</c:v>
                </c:pt>
                <c:pt idx="14">
                  <c:v>1.0749999999999997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5.2171448384090908</c:v>
                </c:pt>
                <c:pt idx="1">
                  <c:v>5.3671448384090912</c:v>
                </c:pt>
                <c:pt idx="2">
                  <c:v>5.5171448384090915</c:v>
                </c:pt>
                <c:pt idx="3">
                  <c:v>5.667144838409091</c:v>
                </c:pt>
                <c:pt idx="4">
                  <c:v>5.8171448384090922</c:v>
                </c:pt>
                <c:pt idx="5">
                  <c:v>5.9671448384090926</c:v>
                </c:pt>
                <c:pt idx="6">
                  <c:v>6.1171448384090921</c:v>
                </c:pt>
                <c:pt idx="7">
                  <c:v>6.2671448384090924</c:v>
                </c:pt>
                <c:pt idx="8">
                  <c:v>6.4171448384090919</c:v>
                </c:pt>
                <c:pt idx="9">
                  <c:v>6.5671448384090922</c:v>
                </c:pt>
                <c:pt idx="10">
                  <c:v>6.7171448384090926</c:v>
                </c:pt>
                <c:pt idx="11">
                  <c:v>6.8671448384090921</c:v>
                </c:pt>
                <c:pt idx="12">
                  <c:v>7.0171448384090924</c:v>
                </c:pt>
                <c:pt idx="13">
                  <c:v>7.1671448384090901</c:v>
                </c:pt>
                <c:pt idx="14">
                  <c:v>7.3171448384090896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3-4450-B307-4E9B57436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48512"/>
        <c:axId val="-1811244752"/>
      </c:lineChart>
      <c:catAx>
        <c:axId val="-181124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4752"/>
        <c:crosses val="autoZero"/>
        <c:auto val="1"/>
        <c:lblAlgn val="ctr"/>
        <c:lblOffset val="100"/>
        <c:noMultiLvlLbl val="0"/>
      </c:catAx>
      <c:valAx>
        <c:axId val="-181124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092639116042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8.60960121920244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0.72499999999999987</c:v>
                </c:pt>
                <c:pt idx="1">
                  <c:v>0.74999999999999989</c:v>
                </c:pt>
                <c:pt idx="2">
                  <c:v>0.77499999999999991</c:v>
                </c:pt>
                <c:pt idx="3">
                  <c:v>0.79999999999999993</c:v>
                </c:pt>
                <c:pt idx="4">
                  <c:v>0.82499999999999996</c:v>
                </c:pt>
                <c:pt idx="5">
                  <c:v>0.85</c:v>
                </c:pt>
                <c:pt idx="6">
                  <c:v>0.875</c:v>
                </c:pt>
                <c:pt idx="7">
                  <c:v>0.9</c:v>
                </c:pt>
                <c:pt idx="8">
                  <c:v>0.92500000000000004</c:v>
                </c:pt>
                <c:pt idx="9">
                  <c:v>0.95000000000000007</c:v>
                </c:pt>
                <c:pt idx="10">
                  <c:v>0.97500000000000009</c:v>
                </c:pt>
                <c:pt idx="11">
                  <c:v>1</c:v>
                </c:pt>
                <c:pt idx="12">
                  <c:v>1.0249999999999999</c:v>
                </c:pt>
                <c:pt idx="13">
                  <c:v>1.0499999999999998</c:v>
                </c:pt>
                <c:pt idx="14">
                  <c:v>1.0749999999999997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6.6452062304545416</c:v>
                </c:pt>
                <c:pt idx="1">
                  <c:v>7.2702062304545416</c:v>
                </c:pt>
                <c:pt idx="2">
                  <c:v>7.8952062304545416</c:v>
                </c:pt>
                <c:pt idx="3">
                  <c:v>8.5202062304545443</c:v>
                </c:pt>
                <c:pt idx="4">
                  <c:v>9.1452062304545443</c:v>
                </c:pt>
                <c:pt idx="5">
                  <c:v>9.7702062304545443</c:v>
                </c:pt>
                <c:pt idx="6">
                  <c:v>10.395206230454544</c:v>
                </c:pt>
                <c:pt idx="7">
                  <c:v>11.020206230454544</c:v>
                </c:pt>
                <c:pt idx="8">
                  <c:v>11.645206230454544</c:v>
                </c:pt>
                <c:pt idx="9">
                  <c:v>12.270206230454544</c:v>
                </c:pt>
                <c:pt idx="10">
                  <c:v>12.89520623045455</c:v>
                </c:pt>
                <c:pt idx="11">
                  <c:v>13.520206230454544</c:v>
                </c:pt>
                <c:pt idx="12">
                  <c:v>14.145206230454541</c:v>
                </c:pt>
                <c:pt idx="13">
                  <c:v>14.770206230454541</c:v>
                </c:pt>
                <c:pt idx="14">
                  <c:v>15.395206230454537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F-49DD-9ED9-3D31F7CC46F0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0.72499999999999987</c:v>
                </c:pt>
                <c:pt idx="1">
                  <c:v>0.74999999999999989</c:v>
                </c:pt>
                <c:pt idx="2">
                  <c:v>0.77499999999999991</c:v>
                </c:pt>
                <c:pt idx="3">
                  <c:v>0.79999999999999993</c:v>
                </c:pt>
                <c:pt idx="4">
                  <c:v>0.82499999999999996</c:v>
                </c:pt>
                <c:pt idx="5">
                  <c:v>0.85</c:v>
                </c:pt>
                <c:pt idx="6">
                  <c:v>0.875</c:v>
                </c:pt>
                <c:pt idx="7">
                  <c:v>0.9</c:v>
                </c:pt>
                <c:pt idx="8">
                  <c:v>0.92500000000000004</c:v>
                </c:pt>
                <c:pt idx="9">
                  <c:v>0.95000000000000007</c:v>
                </c:pt>
                <c:pt idx="10">
                  <c:v>0.97500000000000009</c:v>
                </c:pt>
                <c:pt idx="11">
                  <c:v>1</c:v>
                </c:pt>
                <c:pt idx="12">
                  <c:v>1.0249999999999999</c:v>
                </c:pt>
                <c:pt idx="13">
                  <c:v>1.0499999999999998</c:v>
                </c:pt>
                <c:pt idx="14">
                  <c:v>1.0749999999999997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7.7903518988636362</c:v>
                </c:pt>
                <c:pt idx="1">
                  <c:v>8.2903518988636371</c:v>
                </c:pt>
                <c:pt idx="2">
                  <c:v>8.7903518988636353</c:v>
                </c:pt>
                <c:pt idx="3">
                  <c:v>9.2903518988636353</c:v>
                </c:pt>
                <c:pt idx="4">
                  <c:v>9.7903518988636389</c:v>
                </c:pt>
                <c:pt idx="5">
                  <c:v>10.290351898863639</c:v>
                </c:pt>
                <c:pt idx="6">
                  <c:v>10.790351898863639</c:v>
                </c:pt>
                <c:pt idx="7">
                  <c:v>11.290351898863639</c:v>
                </c:pt>
                <c:pt idx="8">
                  <c:v>11.790351898863639</c:v>
                </c:pt>
                <c:pt idx="9">
                  <c:v>12.290351898863639</c:v>
                </c:pt>
                <c:pt idx="10">
                  <c:v>12.790351898863639</c:v>
                </c:pt>
                <c:pt idx="11">
                  <c:v>13.290351898863639</c:v>
                </c:pt>
                <c:pt idx="12">
                  <c:v>13.790351898863639</c:v>
                </c:pt>
                <c:pt idx="13">
                  <c:v>14.290351898863635</c:v>
                </c:pt>
                <c:pt idx="14">
                  <c:v>14.790351898863635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F-49DD-9ED9-3D31F7CC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72352"/>
        <c:axId val="-1810568592"/>
      </c:lineChart>
      <c:catAx>
        <c:axId val="-18105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68592"/>
        <c:crosses val="autoZero"/>
        <c:auto val="1"/>
        <c:lblAlgn val="ctr"/>
        <c:lblOffset val="100"/>
        <c:noMultiLvlLbl val="0"/>
      </c:catAx>
      <c:valAx>
        <c:axId val="-1810568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7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01"/>
          <c:y val="0.69167950780345999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8.60960267897547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0.84402585318181822</c:v>
                </c:pt>
                <c:pt idx="1">
                  <c:v>0.86669251984848494</c:v>
                </c:pt>
                <c:pt idx="2">
                  <c:v>0.88935918651515156</c:v>
                </c:pt>
                <c:pt idx="3">
                  <c:v>0.91202585318181828</c:v>
                </c:pt>
                <c:pt idx="4">
                  <c:v>0.93469251984848489</c:v>
                </c:pt>
                <c:pt idx="5">
                  <c:v>0.95735918651515162</c:v>
                </c:pt>
                <c:pt idx="6">
                  <c:v>0.98002585318181823</c:v>
                </c:pt>
                <c:pt idx="7">
                  <c:v>1.0026925198484848</c:v>
                </c:pt>
                <c:pt idx="8">
                  <c:v>1.0253591865151517</c:v>
                </c:pt>
                <c:pt idx="9">
                  <c:v>1.0480258531818183</c:v>
                </c:pt>
                <c:pt idx="10">
                  <c:v>1.0706925198484849</c:v>
                </c:pt>
                <c:pt idx="11">
                  <c:v>1.0933591865151515</c:v>
                </c:pt>
                <c:pt idx="12">
                  <c:v>1.1160258531818184</c:v>
                </c:pt>
                <c:pt idx="13">
                  <c:v>1.138692519848485</c:v>
                </c:pt>
                <c:pt idx="14">
                  <c:v>1.1613591865151516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C-416A-B10B-5E6BB12D0D73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0.74653376443181796</c:v>
                </c:pt>
                <c:pt idx="1">
                  <c:v>0.76611709776515136</c:v>
                </c:pt>
                <c:pt idx="2">
                  <c:v>0.78570043109848464</c:v>
                </c:pt>
                <c:pt idx="3">
                  <c:v>0.80528376443181804</c:v>
                </c:pt>
                <c:pt idx="4">
                  <c:v>0.82486709776515132</c:v>
                </c:pt>
                <c:pt idx="5">
                  <c:v>0.84445043109848461</c:v>
                </c:pt>
                <c:pt idx="6">
                  <c:v>0.86403376443181801</c:v>
                </c:pt>
                <c:pt idx="7">
                  <c:v>0.88361709776515129</c:v>
                </c:pt>
                <c:pt idx="8">
                  <c:v>0.90320043109848469</c:v>
                </c:pt>
                <c:pt idx="9">
                  <c:v>0.92278376443181798</c:v>
                </c:pt>
                <c:pt idx="10">
                  <c:v>0.94236709776515137</c:v>
                </c:pt>
                <c:pt idx="11">
                  <c:v>0.96195043109848466</c:v>
                </c:pt>
                <c:pt idx="12">
                  <c:v>0.98153376443181795</c:v>
                </c:pt>
                <c:pt idx="13">
                  <c:v>1.0011170977651513</c:v>
                </c:pt>
                <c:pt idx="14">
                  <c:v>1.0207004310984846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C-416A-B10B-5E6BB12D0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38720"/>
        <c:axId val="-1810534960"/>
      </c:lineChart>
      <c:catAx>
        <c:axId val="-181053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4960"/>
        <c:crosses val="autoZero"/>
        <c:auto val="1"/>
        <c:lblAlgn val="ctr"/>
        <c:lblOffset val="100"/>
        <c:noMultiLvlLbl val="0"/>
      </c:catAx>
      <c:valAx>
        <c:axId val="-1810534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"/>
          <c:y val="0.69854308082179395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5.2914947597058823</c:v>
                </c:pt>
                <c:pt idx="1">
                  <c:v>5.4914947597058825</c:v>
                </c:pt>
                <c:pt idx="2">
                  <c:v>5.6914947597058827</c:v>
                </c:pt>
                <c:pt idx="3">
                  <c:v>5.8914947597058829</c:v>
                </c:pt>
                <c:pt idx="4">
                  <c:v>6.0914947597058822</c:v>
                </c:pt>
                <c:pt idx="5">
                  <c:v>6.2914947597058823</c:v>
                </c:pt>
                <c:pt idx="6">
                  <c:v>6.4914947597058816</c:v>
                </c:pt>
                <c:pt idx="7">
                  <c:v>6.6914947597058818</c:v>
                </c:pt>
                <c:pt idx="8">
                  <c:v>6.891494759705882</c:v>
                </c:pt>
                <c:pt idx="9">
                  <c:v>7.0914947597058822</c:v>
                </c:pt>
                <c:pt idx="10">
                  <c:v>7.2914947597058823</c:v>
                </c:pt>
                <c:pt idx="11">
                  <c:v>7.4914947597058816</c:v>
                </c:pt>
                <c:pt idx="12">
                  <c:v>7.6914947597058818</c:v>
                </c:pt>
                <c:pt idx="13">
                  <c:v>7.891494759705882</c:v>
                </c:pt>
                <c:pt idx="14">
                  <c:v>8.0914947597058813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3-4065-B288-8907831B06CA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5.3463474249999994</c:v>
                </c:pt>
                <c:pt idx="1">
                  <c:v>5.4638474249999991</c:v>
                </c:pt>
                <c:pt idx="2">
                  <c:v>5.5813474249999988</c:v>
                </c:pt>
                <c:pt idx="3">
                  <c:v>5.6988474249999994</c:v>
                </c:pt>
                <c:pt idx="4">
                  <c:v>5.8163474249999991</c:v>
                </c:pt>
                <c:pt idx="5">
                  <c:v>5.9338474249999988</c:v>
                </c:pt>
                <c:pt idx="6">
                  <c:v>6.0513474249999994</c:v>
                </c:pt>
                <c:pt idx="7">
                  <c:v>6.1688474249999992</c:v>
                </c:pt>
                <c:pt idx="8">
                  <c:v>6.2863474249999989</c:v>
                </c:pt>
                <c:pt idx="9">
                  <c:v>6.4038474249999986</c:v>
                </c:pt>
                <c:pt idx="10">
                  <c:v>6.5213474249999992</c:v>
                </c:pt>
                <c:pt idx="11">
                  <c:v>6.6388474249999989</c:v>
                </c:pt>
                <c:pt idx="12">
                  <c:v>6.7563474249999986</c:v>
                </c:pt>
                <c:pt idx="13">
                  <c:v>6.8738474249999992</c:v>
                </c:pt>
                <c:pt idx="14">
                  <c:v>6.9913474249999989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3-4065-B288-8907831B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05088"/>
        <c:axId val="-1810501328"/>
      </c:lineChart>
      <c:catAx>
        <c:axId val="-181050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1328"/>
        <c:crosses val="autoZero"/>
        <c:auto val="1"/>
        <c:lblAlgn val="ctr"/>
        <c:lblOffset val="100"/>
        <c:noMultiLvlLbl val="0"/>
      </c:catAx>
      <c:valAx>
        <c:axId val="-181050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099"/>
          <c:y val="0.69125780613630206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9.6208525600000012</c:v>
                </c:pt>
                <c:pt idx="1">
                  <c:v>10.187519226666668</c:v>
                </c:pt>
                <c:pt idx="2">
                  <c:v>10.754185893333334</c:v>
                </c:pt>
                <c:pt idx="3">
                  <c:v>11.320852560000001</c:v>
                </c:pt>
                <c:pt idx="4">
                  <c:v>11.887519226666667</c:v>
                </c:pt>
                <c:pt idx="5">
                  <c:v>12.454185893333335</c:v>
                </c:pt>
                <c:pt idx="6">
                  <c:v>13.020852560000002</c:v>
                </c:pt>
                <c:pt idx="7">
                  <c:v>13.587519226666668</c:v>
                </c:pt>
                <c:pt idx="8">
                  <c:v>14.154185893333334</c:v>
                </c:pt>
                <c:pt idx="9">
                  <c:v>14.720852560000001</c:v>
                </c:pt>
                <c:pt idx="10">
                  <c:v>15.287519226666667</c:v>
                </c:pt>
                <c:pt idx="11">
                  <c:v>15.854185893333334</c:v>
                </c:pt>
                <c:pt idx="12">
                  <c:v>16.42085256</c:v>
                </c:pt>
                <c:pt idx="13">
                  <c:v>16.987519226666667</c:v>
                </c:pt>
                <c:pt idx="14">
                  <c:v>17.554185893333337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6-41BD-A571-9D65880AD818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8.2210271874999972</c:v>
                </c:pt>
                <c:pt idx="1">
                  <c:v>8.6126938541666664</c:v>
                </c:pt>
                <c:pt idx="2">
                  <c:v>9.0043605208333322</c:v>
                </c:pt>
                <c:pt idx="3">
                  <c:v>9.3960271874999997</c:v>
                </c:pt>
                <c:pt idx="4">
                  <c:v>9.7876938541666654</c:v>
                </c:pt>
                <c:pt idx="5">
                  <c:v>10.179360520833333</c:v>
                </c:pt>
                <c:pt idx="6">
                  <c:v>10.571027187499999</c:v>
                </c:pt>
                <c:pt idx="7">
                  <c:v>10.962693854166666</c:v>
                </c:pt>
                <c:pt idx="8">
                  <c:v>11.354360520833332</c:v>
                </c:pt>
                <c:pt idx="9">
                  <c:v>11.746027187499999</c:v>
                </c:pt>
                <c:pt idx="10">
                  <c:v>12.137693854166665</c:v>
                </c:pt>
                <c:pt idx="11">
                  <c:v>12.529360520833333</c:v>
                </c:pt>
                <c:pt idx="12">
                  <c:v>12.921027187499998</c:v>
                </c:pt>
                <c:pt idx="13">
                  <c:v>13.312693854166666</c:v>
                </c:pt>
                <c:pt idx="14">
                  <c:v>13.704360520833331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6-41BD-A571-9D65880A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71168"/>
        <c:axId val="-1810467408"/>
      </c:lineChart>
      <c:catAx>
        <c:axId val="-181047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67408"/>
        <c:crosses val="autoZero"/>
        <c:auto val="1"/>
        <c:lblAlgn val="ctr"/>
        <c:lblOffset val="100"/>
        <c:noMultiLvlLbl val="0"/>
      </c:catAx>
      <c:valAx>
        <c:axId val="-1810467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7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9171851377250204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4.9499999999999975</c:v>
                </c:pt>
                <c:pt idx="1">
                  <c:v>5.0999999999999979</c:v>
                </c:pt>
                <c:pt idx="2">
                  <c:v>5.2499999999999982</c:v>
                </c:pt>
                <c:pt idx="3">
                  <c:v>5.3999999999999986</c:v>
                </c:pt>
                <c:pt idx="4">
                  <c:v>5.5499999999999989</c:v>
                </c:pt>
                <c:pt idx="5">
                  <c:v>5.6999999999999993</c:v>
                </c:pt>
                <c:pt idx="6">
                  <c:v>5.85</c:v>
                </c:pt>
                <c:pt idx="7">
                  <c:v>6</c:v>
                </c:pt>
                <c:pt idx="8">
                  <c:v>6.15</c:v>
                </c:pt>
                <c:pt idx="9">
                  <c:v>6.3000000000000007</c:v>
                </c:pt>
                <c:pt idx="10">
                  <c:v>6.4500000000000011</c:v>
                </c:pt>
                <c:pt idx="11">
                  <c:v>6.6000000000000014</c:v>
                </c:pt>
                <c:pt idx="12">
                  <c:v>6.7500000000000018</c:v>
                </c:pt>
                <c:pt idx="13">
                  <c:v>6.9000000000000021</c:v>
                </c:pt>
                <c:pt idx="14">
                  <c:v>7.0500000000000025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0.68047586026515106</c:v>
                </c:pt>
                <c:pt idx="1">
                  <c:v>0.70547586026515097</c:v>
                </c:pt>
                <c:pt idx="2">
                  <c:v>0.73047586026515099</c:v>
                </c:pt>
                <c:pt idx="3">
                  <c:v>0.75547586026515123</c:v>
                </c:pt>
                <c:pt idx="4">
                  <c:v>0.78047586026515114</c:v>
                </c:pt>
                <c:pt idx="5">
                  <c:v>0.80547586026515117</c:v>
                </c:pt>
                <c:pt idx="6">
                  <c:v>0.83047586026515141</c:v>
                </c:pt>
                <c:pt idx="7">
                  <c:v>0.85547586026515132</c:v>
                </c:pt>
                <c:pt idx="8">
                  <c:v>0.88047586026515134</c:v>
                </c:pt>
                <c:pt idx="9">
                  <c:v>0.9054758602651517</c:v>
                </c:pt>
                <c:pt idx="10">
                  <c:v>0.93047586026515172</c:v>
                </c:pt>
                <c:pt idx="11">
                  <c:v>0.95547586026515163</c:v>
                </c:pt>
                <c:pt idx="12">
                  <c:v>0.98047586026515166</c:v>
                </c:pt>
                <c:pt idx="13">
                  <c:v>1.0054758602651517</c:v>
                </c:pt>
                <c:pt idx="14">
                  <c:v>1.0304758602651516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2-47AE-B8FA-586CF226BD86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4.9499999999999975</c:v>
                </c:pt>
                <c:pt idx="1">
                  <c:v>5.0999999999999979</c:v>
                </c:pt>
                <c:pt idx="2">
                  <c:v>5.2499999999999982</c:v>
                </c:pt>
                <c:pt idx="3">
                  <c:v>5.3999999999999986</c:v>
                </c:pt>
                <c:pt idx="4">
                  <c:v>5.5499999999999989</c:v>
                </c:pt>
                <c:pt idx="5">
                  <c:v>5.6999999999999993</c:v>
                </c:pt>
                <c:pt idx="6">
                  <c:v>5.85</c:v>
                </c:pt>
                <c:pt idx="7">
                  <c:v>6</c:v>
                </c:pt>
                <c:pt idx="8">
                  <c:v>6.15</c:v>
                </c:pt>
                <c:pt idx="9">
                  <c:v>6.3000000000000007</c:v>
                </c:pt>
                <c:pt idx="10">
                  <c:v>6.4500000000000011</c:v>
                </c:pt>
                <c:pt idx="11">
                  <c:v>6.6000000000000014</c:v>
                </c:pt>
                <c:pt idx="12">
                  <c:v>6.7500000000000018</c:v>
                </c:pt>
                <c:pt idx="13">
                  <c:v>6.9000000000000021</c:v>
                </c:pt>
                <c:pt idx="14">
                  <c:v>7.0500000000000025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0.80532311374848453</c:v>
                </c:pt>
                <c:pt idx="1">
                  <c:v>0.82232311374848466</c:v>
                </c:pt>
                <c:pt idx="2">
                  <c:v>0.83932311374848467</c:v>
                </c:pt>
                <c:pt idx="3">
                  <c:v>0.8563231137484848</c:v>
                </c:pt>
                <c:pt idx="4">
                  <c:v>0.87332311374848481</c:v>
                </c:pt>
                <c:pt idx="5">
                  <c:v>0.89032311374848483</c:v>
                </c:pt>
                <c:pt idx="6">
                  <c:v>0.90732311374848484</c:v>
                </c:pt>
                <c:pt idx="7">
                  <c:v>0.92432311374848486</c:v>
                </c:pt>
                <c:pt idx="8">
                  <c:v>0.94132311374848476</c:v>
                </c:pt>
                <c:pt idx="9">
                  <c:v>0.95832311374848511</c:v>
                </c:pt>
                <c:pt idx="10">
                  <c:v>0.97532311374848513</c:v>
                </c:pt>
                <c:pt idx="11">
                  <c:v>0.99232311374848514</c:v>
                </c:pt>
                <c:pt idx="12">
                  <c:v>1.009323113748485</c:v>
                </c:pt>
                <c:pt idx="13">
                  <c:v>1.0263231137484852</c:v>
                </c:pt>
                <c:pt idx="14">
                  <c:v>1.0433231137484851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2-47AE-B8FA-586CF226B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15424"/>
        <c:axId val="-1811211664"/>
      </c:lineChart>
      <c:catAx>
        <c:axId val="-181121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1664"/>
        <c:crosses val="autoZero"/>
        <c:auto val="1"/>
        <c:lblAlgn val="ctr"/>
        <c:lblOffset val="100"/>
        <c:noMultiLvlLbl val="0"/>
      </c:catAx>
      <c:valAx>
        <c:axId val="-181121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742647840661698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0.72499999999999987</c:v>
                </c:pt>
                <c:pt idx="1">
                  <c:v>0.74999999999999989</c:v>
                </c:pt>
                <c:pt idx="2">
                  <c:v>0.77499999999999991</c:v>
                </c:pt>
                <c:pt idx="3">
                  <c:v>0.79999999999999993</c:v>
                </c:pt>
                <c:pt idx="4">
                  <c:v>0.82499999999999996</c:v>
                </c:pt>
                <c:pt idx="5">
                  <c:v>0.85</c:v>
                </c:pt>
                <c:pt idx="6">
                  <c:v>0.875</c:v>
                </c:pt>
                <c:pt idx="7">
                  <c:v>0.9</c:v>
                </c:pt>
                <c:pt idx="8">
                  <c:v>0.92500000000000004</c:v>
                </c:pt>
                <c:pt idx="9">
                  <c:v>0.95000000000000007</c:v>
                </c:pt>
                <c:pt idx="10">
                  <c:v>0.97500000000000009</c:v>
                </c:pt>
                <c:pt idx="11">
                  <c:v>1</c:v>
                </c:pt>
                <c:pt idx="12">
                  <c:v>1.0249999999999999</c:v>
                </c:pt>
                <c:pt idx="13">
                  <c:v>1.0499999999999998</c:v>
                </c:pt>
                <c:pt idx="14">
                  <c:v>1.0749999999999997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4.5966607610427781</c:v>
                </c:pt>
                <c:pt idx="1">
                  <c:v>4.8172489963368958</c:v>
                </c:pt>
                <c:pt idx="2">
                  <c:v>5.0378372316310136</c:v>
                </c:pt>
                <c:pt idx="3">
                  <c:v>5.2584254669251322</c:v>
                </c:pt>
                <c:pt idx="4">
                  <c:v>5.47901370221925</c:v>
                </c:pt>
                <c:pt idx="5">
                  <c:v>5.6996019375133677</c:v>
                </c:pt>
                <c:pt idx="6">
                  <c:v>5.9201901728074855</c:v>
                </c:pt>
                <c:pt idx="7">
                  <c:v>6.1407784081016032</c:v>
                </c:pt>
                <c:pt idx="8">
                  <c:v>6.3613666433957201</c:v>
                </c:pt>
                <c:pt idx="9">
                  <c:v>6.5819548786898379</c:v>
                </c:pt>
                <c:pt idx="10">
                  <c:v>6.8025431139839574</c:v>
                </c:pt>
                <c:pt idx="11">
                  <c:v>7.0231313492780734</c:v>
                </c:pt>
                <c:pt idx="12">
                  <c:v>7.2437195845721893</c:v>
                </c:pt>
                <c:pt idx="13">
                  <c:v>7.4643078198663071</c:v>
                </c:pt>
                <c:pt idx="14">
                  <c:v>7.684896055160424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3-4C9F-B846-62067A6B428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0.72499999999999987</c:v>
                </c:pt>
                <c:pt idx="1">
                  <c:v>0.74999999999999989</c:v>
                </c:pt>
                <c:pt idx="2">
                  <c:v>0.77499999999999991</c:v>
                </c:pt>
                <c:pt idx="3">
                  <c:v>0.79999999999999993</c:v>
                </c:pt>
                <c:pt idx="4">
                  <c:v>0.82499999999999996</c:v>
                </c:pt>
                <c:pt idx="5">
                  <c:v>0.85</c:v>
                </c:pt>
                <c:pt idx="6">
                  <c:v>0.875</c:v>
                </c:pt>
                <c:pt idx="7">
                  <c:v>0.9</c:v>
                </c:pt>
                <c:pt idx="8">
                  <c:v>0.92500000000000004</c:v>
                </c:pt>
                <c:pt idx="9">
                  <c:v>0.95000000000000007</c:v>
                </c:pt>
                <c:pt idx="10">
                  <c:v>0.97500000000000009</c:v>
                </c:pt>
                <c:pt idx="11">
                  <c:v>1</c:v>
                </c:pt>
                <c:pt idx="12">
                  <c:v>1.0249999999999999</c:v>
                </c:pt>
                <c:pt idx="13">
                  <c:v>1.0499999999999998</c:v>
                </c:pt>
                <c:pt idx="14">
                  <c:v>1.0749999999999997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5.2423442759090912</c:v>
                </c:pt>
                <c:pt idx="1">
                  <c:v>5.3923442759090916</c:v>
                </c:pt>
                <c:pt idx="2">
                  <c:v>5.5423442759090911</c:v>
                </c:pt>
                <c:pt idx="3">
                  <c:v>5.6923442759090914</c:v>
                </c:pt>
                <c:pt idx="4">
                  <c:v>5.8423442759090927</c:v>
                </c:pt>
                <c:pt idx="5">
                  <c:v>5.992344275909093</c:v>
                </c:pt>
                <c:pt idx="6">
                  <c:v>6.1423442759090925</c:v>
                </c:pt>
                <c:pt idx="7">
                  <c:v>6.2923442759090928</c:v>
                </c:pt>
                <c:pt idx="8">
                  <c:v>6.4423442759090923</c:v>
                </c:pt>
                <c:pt idx="9">
                  <c:v>6.5923442759090927</c:v>
                </c:pt>
                <c:pt idx="10">
                  <c:v>6.742344275909093</c:v>
                </c:pt>
                <c:pt idx="11">
                  <c:v>6.8923442759090925</c:v>
                </c:pt>
                <c:pt idx="12">
                  <c:v>7.0423442759090928</c:v>
                </c:pt>
                <c:pt idx="13">
                  <c:v>7.1923442759090905</c:v>
                </c:pt>
                <c:pt idx="14">
                  <c:v>7.34234427590909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3-4C9F-B846-62067A6B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55680"/>
        <c:axId val="-1811351920"/>
      </c:lineChart>
      <c:catAx>
        <c:axId val="-18113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1920"/>
        <c:crosses val="autoZero"/>
        <c:auto val="1"/>
        <c:lblAlgn val="ctr"/>
        <c:lblOffset val="100"/>
        <c:noMultiLvlLbl val="0"/>
      </c:catAx>
      <c:valAx>
        <c:axId val="-181135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949170165292498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4.9499999999999975</c:v>
                </c:pt>
                <c:pt idx="1">
                  <c:v>5.0999999999999979</c:v>
                </c:pt>
                <c:pt idx="2">
                  <c:v>5.2499999999999982</c:v>
                </c:pt>
                <c:pt idx="3">
                  <c:v>5.3999999999999986</c:v>
                </c:pt>
                <c:pt idx="4">
                  <c:v>5.5499999999999989</c:v>
                </c:pt>
                <c:pt idx="5">
                  <c:v>5.6999999999999993</c:v>
                </c:pt>
                <c:pt idx="6">
                  <c:v>5.85</c:v>
                </c:pt>
                <c:pt idx="7">
                  <c:v>6</c:v>
                </c:pt>
                <c:pt idx="8">
                  <c:v>6.15</c:v>
                </c:pt>
                <c:pt idx="9">
                  <c:v>6.3000000000000007</c:v>
                </c:pt>
                <c:pt idx="10">
                  <c:v>6.4500000000000011</c:v>
                </c:pt>
                <c:pt idx="11">
                  <c:v>6.6000000000000014</c:v>
                </c:pt>
                <c:pt idx="12">
                  <c:v>6.7500000000000018</c:v>
                </c:pt>
                <c:pt idx="13">
                  <c:v>6.9000000000000021</c:v>
                </c:pt>
                <c:pt idx="14">
                  <c:v>7.0500000000000025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336.26830425531898</c:v>
                </c:pt>
                <c:pt idx="1">
                  <c:v>349.03426170212748</c:v>
                </c:pt>
                <c:pt idx="2">
                  <c:v>361.80021914893598</c:v>
                </c:pt>
                <c:pt idx="3">
                  <c:v>374.56617659574459</c:v>
                </c:pt>
                <c:pt idx="4">
                  <c:v>387.33213404255315</c:v>
                </c:pt>
                <c:pt idx="5">
                  <c:v>400.09809148936165</c:v>
                </c:pt>
                <c:pt idx="6">
                  <c:v>412.86404893617026</c:v>
                </c:pt>
                <c:pt idx="7">
                  <c:v>425.63000638297876</c:v>
                </c:pt>
                <c:pt idx="8">
                  <c:v>438.39596382978732</c:v>
                </c:pt>
                <c:pt idx="9">
                  <c:v>451.16192127659582</c:v>
                </c:pt>
                <c:pt idx="10">
                  <c:v>463.92787872340438</c:v>
                </c:pt>
                <c:pt idx="11">
                  <c:v>476.69383617021282</c:v>
                </c:pt>
                <c:pt idx="12">
                  <c:v>489.4597936170216</c:v>
                </c:pt>
                <c:pt idx="13">
                  <c:v>502.22575106383005</c:v>
                </c:pt>
                <c:pt idx="14">
                  <c:v>514.99170851063855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3-433D-8B32-9606A59F3515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4.9499999999999975</c:v>
                </c:pt>
                <c:pt idx="1">
                  <c:v>5.0999999999999979</c:v>
                </c:pt>
                <c:pt idx="2">
                  <c:v>5.2499999999999982</c:v>
                </c:pt>
                <c:pt idx="3">
                  <c:v>5.3999999999999986</c:v>
                </c:pt>
                <c:pt idx="4">
                  <c:v>5.5499999999999989</c:v>
                </c:pt>
                <c:pt idx="5">
                  <c:v>5.6999999999999993</c:v>
                </c:pt>
                <c:pt idx="6">
                  <c:v>5.85</c:v>
                </c:pt>
                <c:pt idx="7">
                  <c:v>6</c:v>
                </c:pt>
                <c:pt idx="8">
                  <c:v>6.15</c:v>
                </c:pt>
                <c:pt idx="9">
                  <c:v>6.3000000000000007</c:v>
                </c:pt>
                <c:pt idx="10">
                  <c:v>6.4500000000000011</c:v>
                </c:pt>
                <c:pt idx="11">
                  <c:v>6.6000000000000014</c:v>
                </c:pt>
                <c:pt idx="12">
                  <c:v>6.7500000000000018</c:v>
                </c:pt>
                <c:pt idx="13">
                  <c:v>6.9000000000000021</c:v>
                </c:pt>
                <c:pt idx="14">
                  <c:v>7.0500000000000025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352.92526201470577</c:v>
                </c:pt>
                <c:pt idx="1">
                  <c:v>360.42526201470577</c:v>
                </c:pt>
                <c:pt idx="2">
                  <c:v>367.92526201470577</c:v>
                </c:pt>
                <c:pt idx="3">
                  <c:v>375.42526201470577</c:v>
                </c:pt>
                <c:pt idx="4">
                  <c:v>382.92526201470577</c:v>
                </c:pt>
                <c:pt idx="5">
                  <c:v>390.42526201470582</c:v>
                </c:pt>
                <c:pt idx="6">
                  <c:v>397.92526201470582</c:v>
                </c:pt>
                <c:pt idx="7">
                  <c:v>405.42526201470594</c:v>
                </c:pt>
                <c:pt idx="8">
                  <c:v>412.92526201470594</c:v>
                </c:pt>
                <c:pt idx="9">
                  <c:v>420.42526201470594</c:v>
                </c:pt>
                <c:pt idx="10">
                  <c:v>427.92526201470588</c:v>
                </c:pt>
                <c:pt idx="11">
                  <c:v>435.42526201470588</c:v>
                </c:pt>
                <c:pt idx="12">
                  <c:v>442.92526201470588</c:v>
                </c:pt>
                <c:pt idx="13">
                  <c:v>450.42526201470605</c:v>
                </c:pt>
                <c:pt idx="14">
                  <c:v>457.92526201470599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3-433D-8B32-9606A59F3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36512"/>
        <c:axId val="-1810432752"/>
      </c:lineChart>
      <c:catAx>
        <c:axId val="-181043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2752"/>
        <c:crosses val="autoZero"/>
        <c:auto val="1"/>
        <c:lblAlgn val="ctr"/>
        <c:lblOffset val="100"/>
        <c:noMultiLvlLbl val="0"/>
      </c:catAx>
      <c:valAx>
        <c:axId val="-181043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7156436090650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4.9499999999999975</c:v>
                </c:pt>
                <c:pt idx="1">
                  <c:v>5.0999999999999979</c:v>
                </c:pt>
                <c:pt idx="2">
                  <c:v>5.2499999999999982</c:v>
                </c:pt>
                <c:pt idx="3">
                  <c:v>5.3999999999999986</c:v>
                </c:pt>
                <c:pt idx="4">
                  <c:v>5.5499999999999989</c:v>
                </c:pt>
                <c:pt idx="5">
                  <c:v>5.6999999999999993</c:v>
                </c:pt>
                <c:pt idx="6">
                  <c:v>5.85</c:v>
                </c:pt>
                <c:pt idx="7">
                  <c:v>6</c:v>
                </c:pt>
                <c:pt idx="8">
                  <c:v>6.15</c:v>
                </c:pt>
                <c:pt idx="9">
                  <c:v>6.3000000000000007</c:v>
                </c:pt>
                <c:pt idx="10">
                  <c:v>6.4500000000000011</c:v>
                </c:pt>
                <c:pt idx="11">
                  <c:v>6.6000000000000014</c:v>
                </c:pt>
                <c:pt idx="12">
                  <c:v>6.7500000000000018</c:v>
                </c:pt>
                <c:pt idx="13">
                  <c:v>6.9000000000000021</c:v>
                </c:pt>
                <c:pt idx="14">
                  <c:v>7.0500000000000025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6.8998691041666582</c:v>
                </c:pt>
                <c:pt idx="1">
                  <c:v>7.3998691041666582</c:v>
                </c:pt>
                <c:pt idx="2">
                  <c:v>7.8998691041666582</c:v>
                </c:pt>
                <c:pt idx="3">
                  <c:v>8.3998691041666618</c:v>
                </c:pt>
                <c:pt idx="4">
                  <c:v>8.8998691041666618</c:v>
                </c:pt>
                <c:pt idx="5">
                  <c:v>9.3998691041666618</c:v>
                </c:pt>
                <c:pt idx="6">
                  <c:v>9.8998691041666653</c:v>
                </c:pt>
                <c:pt idx="7">
                  <c:v>10.399869104166665</c:v>
                </c:pt>
                <c:pt idx="8">
                  <c:v>10.899869104166665</c:v>
                </c:pt>
                <c:pt idx="9">
                  <c:v>11.399869104166669</c:v>
                </c:pt>
                <c:pt idx="10">
                  <c:v>11.899869104166669</c:v>
                </c:pt>
                <c:pt idx="11">
                  <c:v>12.399869104166669</c:v>
                </c:pt>
                <c:pt idx="12">
                  <c:v>12.899869104166672</c:v>
                </c:pt>
                <c:pt idx="13">
                  <c:v>13.399869104166672</c:v>
                </c:pt>
                <c:pt idx="14">
                  <c:v>13.899869104166672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6-4540-A6E8-A3FA0BF1002E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4.9499999999999975</c:v>
                </c:pt>
                <c:pt idx="1">
                  <c:v>5.0999999999999979</c:v>
                </c:pt>
                <c:pt idx="2">
                  <c:v>5.2499999999999982</c:v>
                </c:pt>
                <c:pt idx="3">
                  <c:v>5.3999999999999986</c:v>
                </c:pt>
                <c:pt idx="4">
                  <c:v>5.5499999999999989</c:v>
                </c:pt>
                <c:pt idx="5">
                  <c:v>5.6999999999999993</c:v>
                </c:pt>
                <c:pt idx="6">
                  <c:v>5.85</c:v>
                </c:pt>
                <c:pt idx="7">
                  <c:v>6</c:v>
                </c:pt>
                <c:pt idx="8">
                  <c:v>6.15</c:v>
                </c:pt>
                <c:pt idx="9">
                  <c:v>6.3000000000000007</c:v>
                </c:pt>
                <c:pt idx="10">
                  <c:v>6.4500000000000011</c:v>
                </c:pt>
                <c:pt idx="11">
                  <c:v>6.6000000000000014</c:v>
                </c:pt>
                <c:pt idx="12">
                  <c:v>6.7500000000000018</c:v>
                </c:pt>
                <c:pt idx="13">
                  <c:v>6.9000000000000021</c:v>
                </c:pt>
                <c:pt idx="14">
                  <c:v>7.0500000000000025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8.6532840741666597</c:v>
                </c:pt>
                <c:pt idx="1">
                  <c:v>9.0782840741666622</c:v>
                </c:pt>
                <c:pt idx="2">
                  <c:v>9.5032840741666611</c:v>
                </c:pt>
                <c:pt idx="3">
                  <c:v>9.9282840741666636</c:v>
                </c:pt>
                <c:pt idx="4">
                  <c:v>10.353284074166663</c:v>
                </c:pt>
                <c:pt idx="5">
                  <c:v>10.778284074166665</c:v>
                </c:pt>
                <c:pt idx="6">
                  <c:v>11.203284074166666</c:v>
                </c:pt>
                <c:pt idx="7">
                  <c:v>11.628284074166666</c:v>
                </c:pt>
                <c:pt idx="8">
                  <c:v>12.053284074166667</c:v>
                </c:pt>
                <c:pt idx="9">
                  <c:v>12.478284074166671</c:v>
                </c:pt>
                <c:pt idx="10">
                  <c:v>12.90328407416667</c:v>
                </c:pt>
                <c:pt idx="11">
                  <c:v>13.328284074166671</c:v>
                </c:pt>
                <c:pt idx="12">
                  <c:v>13.75328407416667</c:v>
                </c:pt>
                <c:pt idx="13">
                  <c:v>14.178284074166674</c:v>
                </c:pt>
                <c:pt idx="14">
                  <c:v>14.603284074166675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6-4540-A6E8-A3FA0BF1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03104"/>
        <c:axId val="-1810399344"/>
      </c:lineChart>
      <c:catAx>
        <c:axId val="-181040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399344"/>
        <c:crosses val="autoZero"/>
        <c:auto val="1"/>
        <c:lblAlgn val="ctr"/>
        <c:lblOffset val="100"/>
        <c:noMultiLvlLbl val="0"/>
      </c:catAx>
      <c:valAx>
        <c:axId val="-1810399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656331668218896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899"/>
          <c:y val="8.84161003053426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9.0500000000000025</c:v>
                </c:pt>
                <c:pt idx="1">
                  <c:v>9.4000000000000021</c:v>
                </c:pt>
                <c:pt idx="2">
                  <c:v>9.7500000000000018</c:v>
                </c:pt>
                <c:pt idx="3">
                  <c:v>10.100000000000001</c:v>
                </c:pt>
                <c:pt idx="4">
                  <c:v>10.450000000000001</c:v>
                </c:pt>
                <c:pt idx="5">
                  <c:v>10.8</c:v>
                </c:pt>
                <c:pt idx="6">
                  <c:v>11.15</c:v>
                </c:pt>
                <c:pt idx="7">
                  <c:v>11.5</c:v>
                </c:pt>
                <c:pt idx="8">
                  <c:v>11.85</c:v>
                </c:pt>
                <c:pt idx="9">
                  <c:v>12.2</c:v>
                </c:pt>
                <c:pt idx="10">
                  <c:v>12.549999999999999</c:v>
                </c:pt>
                <c:pt idx="11">
                  <c:v>12.899999999999999</c:v>
                </c:pt>
                <c:pt idx="12">
                  <c:v>13.249999999999998</c:v>
                </c:pt>
                <c:pt idx="13">
                  <c:v>13.599999999999998</c:v>
                </c:pt>
                <c:pt idx="14">
                  <c:v>13.949999999999998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0.78798240505681827</c:v>
                </c:pt>
                <c:pt idx="1">
                  <c:v>0.80548240505681823</c:v>
                </c:pt>
                <c:pt idx="2">
                  <c:v>0.82298240505681819</c:v>
                </c:pt>
                <c:pt idx="3">
                  <c:v>0.84048240505681826</c:v>
                </c:pt>
                <c:pt idx="4">
                  <c:v>0.85798240505681822</c:v>
                </c:pt>
                <c:pt idx="5">
                  <c:v>0.87548240505681807</c:v>
                </c:pt>
                <c:pt idx="6">
                  <c:v>0.89298240505681803</c:v>
                </c:pt>
                <c:pt idx="7">
                  <c:v>0.91048240505681799</c:v>
                </c:pt>
                <c:pt idx="8">
                  <c:v>0.92798240505681806</c:v>
                </c:pt>
                <c:pt idx="9">
                  <c:v>0.94548240505681802</c:v>
                </c:pt>
                <c:pt idx="10">
                  <c:v>0.96298240505681809</c:v>
                </c:pt>
                <c:pt idx="11">
                  <c:v>0.98048240505681805</c:v>
                </c:pt>
                <c:pt idx="12">
                  <c:v>0.99798240505681801</c:v>
                </c:pt>
                <c:pt idx="13">
                  <c:v>1.0154824050568181</c:v>
                </c:pt>
                <c:pt idx="14">
                  <c:v>1.0329824050568179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F-44E8-B358-C5637DCE503B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9.0500000000000025</c:v>
                </c:pt>
                <c:pt idx="1">
                  <c:v>9.4000000000000021</c:v>
                </c:pt>
                <c:pt idx="2">
                  <c:v>9.7500000000000018</c:v>
                </c:pt>
                <c:pt idx="3">
                  <c:v>10.100000000000001</c:v>
                </c:pt>
                <c:pt idx="4">
                  <c:v>10.450000000000001</c:v>
                </c:pt>
                <c:pt idx="5">
                  <c:v>10.8</c:v>
                </c:pt>
                <c:pt idx="6">
                  <c:v>11.15</c:v>
                </c:pt>
                <c:pt idx="7">
                  <c:v>11.5</c:v>
                </c:pt>
                <c:pt idx="8">
                  <c:v>11.85</c:v>
                </c:pt>
                <c:pt idx="9">
                  <c:v>12.2</c:v>
                </c:pt>
                <c:pt idx="10">
                  <c:v>12.549999999999999</c:v>
                </c:pt>
                <c:pt idx="11">
                  <c:v>12.899999999999999</c:v>
                </c:pt>
                <c:pt idx="12">
                  <c:v>13.249999999999998</c:v>
                </c:pt>
                <c:pt idx="13">
                  <c:v>13.599999999999998</c:v>
                </c:pt>
                <c:pt idx="14">
                  <c:v>13.949999999999998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0.82119175078181827</c:v>
                </c:pt>
                <c:pt idx="1">
                  <c:v>0.83519175078181829</c:v>
                </c:pt>
                <c:pt idx="2">
                  <c:v>0.8491917507818183</c:v>
                </c:pt>
                <c:pt idx="3">
                  <c:v>0.86319175078181831</c:v>
                </c:pt>
                <c:pt idx="4">
                  <c:v>0.87719175078181832</c:v>
                </c:pt>
                <c:pt idx="5">
                  <c:v>0.89119175078181823</c:v>
                </c:pt>
                <c:pt idx="6">
                  <c:v>0.90519175078181824</c:v>
                </c:pt>
                <c:pt idx="7">
                  <c:v>0.91919175078181825</c:v>
                </c:pt>
                <c:pt idx="8">
                  <c:v>0.93319175078181826</c:v>
                </c:pt>
                <c:pt idx="9">
                  <c:v>0.94719175078181828</c:v>
                </c:pt>
                <c:pt idx="10">
                  <c:v>0.96119175078181818</c:v>
                </c:pt>
                <c:pt idx="11">
                  <c:v>0.97519175078181808</c:v>
                </c:pt>
                <c:pt idx="12">
                  <c:v>0.98919175078181809</c:v>
                </c:pt>
                <c:pt idx="13">
                  <c:v>1.0031917507818182</c:v>
                </c:pt>
                <c:pt idx="14">
                  <c:v>1.0171917507818182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F-44E8-B358-C5637DCE5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1193984"/>
        <c:axId val="-1981512624"/>
      </c:lineChart>
      <c:catAx>
        <c:axId val="-198119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512624"/>
        <c:crosses val="autoZero"/>
        <c:auto val="1"/>
        <c:lblAlgn val="ctr"/>
        <c:lblOffset val="100"/>
        <c:noMultiLvlLbl val="0"/>
      </c:catAx>
      <c:valAx>
        <c:axId val="-198151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19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99"/>
          <c:y val="0.69699072384163896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9.0500000000000025</c:v>
                </c:pt>
                <c:pt idx="1">
                  <c:v>9.4000000000000021</c:v>
                </c:pt>
                <c:pt idx="2">
                  <c:v>9.7500000000000018</c:v>
                </c:pt>
                <c:pt idx="3">
                  <c:v>10.100000000000001</c:v>
                </c:pt>
                <c:pt idx="4">
                  <c:v>10.450000000000001</c:v>
                </c:pt>
                <c:pt idx="5">
                  <c:v>10.8</c:v>
                </c:pt>
                <c:pt idx="6">
                  <c:v>11.15</c:v>
                </c:pt>
                <c:pt idx="7">
                  <c:v>11.5</c:v>
                </c:pt>
                <c:pt idx="8">
                  <c:v>11.85</c:v>
                </c:pt>
                <c:pt idx="9">
                  <c:v>12.2</c:v>
                </c:pt>
                <c:pt idx="10">
                  <c:v>12.549999999999999</c:v>
                </c:pt>
                <c:pt idx="11">
                  <c:v>12.899999999999999</c:v>
                </c:pt>
                <c:pt idx="12">
                  <c:v>13.249999999999998</c:v>
                </c:pt>
                <c:pt idx="13">
                  <c:v>13.599999999999998</c:v>
                </c:pt>
                <c:pt idx="14">
                  <c:v>13.949999999999998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391.16526329787251</c:v>
                </c:pt>
                <c:pt idx="1">
                  <c:v>400.1014335106384</c:v>
                </c:pt>
                <c:pt idx="2">
                  <c:v>409.03760372340435</c:v>
                </c:pt>
                <c:pt idx="3">
                  <c:v>417.97377393617035</c:v>
                </c:pt>
                <c:pt idx="4">
                  <c:v>426.90994414893629</c:v>
                </c:pt>
                <c:pt idx="5">
                  <c:v>435.84611436170218</c:v>
                </c:pt>
                <c:pt idx="6">
                  <c:v>444.78228457446812</c:v>
                </c:pt>
                <c:pt idx="7">
                  <c:v>453.71845478723407</c:v>
                </c:pt>
                <c:pt idx="8">
                  <c:v>462.65462500000007</c:v>
                </c:pt>
                <c:pt idx="9">
                  <c:v>471.59079521276595</c:v>
                </c:pt>
                <c:pt idx="10">
                  <c:v>480.5269654255319</c:v>
                </c:pt>
                <c:pt idx="11">
                  <c:v>489.4631356382979</c:v>
                </c:pt>
                <c:pt idx="12">
                  <c:v>498.39930585106384</c:v>
                </c:pt>
                <c:pt idx="13">
                  <c:v>507.33547606382979</c:v>
                </c:pt>
                <c:pt idx="14">
                  <c:v>516.27164627659567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8-4934-9C4C-918D25D49BAB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9.0500000000000025</c:v>
                </c:pt>
                <c:pt idx="1">
                  <c:v>9.4000000000000021</c:v>
                </c:pt>
                <c:pt idx="2">
                  <c:v>9.7500000000000018</c:v>
                </c:pt>
                <c:pt idx="3">
                  <c:v>10.100000000000001</c:v>
                </c:pt>
                <c:pt idx="4">
                  <c:v>10.450000000000001</c:v>
                </c:pt>
                <c:pt idx="5">
                  <c:v>10.8</c:v>
                </c:pt>
                <c:pt idx="6">
                  <c:v>11.15</c:v>
                </c:pt>
                <c:pt idx="7">
                  <c:v>11.5</c:v>
                </c:pt>
                <c:pt idx="8">
                  <c:v>11.85</c:v>
                </c:pt>
                <c:pt idx="9">
                  <c:v>12.2</c:v>
                </c:pt>
                <c:pt idx="10">
                  <c:v>12.549999999999999</c:v>
                </c:pt>
                <c:pt idx="11">
                  <c:v>12.899999999999999</c:v>
                </c:pt>
                <c:pt idx="12">
                  <c:v>13.249999999999998</c:v>
                </c:pt>
                <c:pt idx="13">
                  <c:v>13.599999999999998</c:v>
                </c:pt>
                <c:pt idx="14">
                  <c:v>13.949999999999998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359.92613129411768</c:v>
                </c:pt>
                <c:pt idx="1">
                  <c:v>366.10260188235293</c:v>
                </c:pt>
                <c:pt idx="2">
                  <c:v>372.27907247058823</c:v>
                </c:pt>
                <c:pt idx="3">
                  <c:v>378.45554305882354</c:v>
                </c:pt>
                <c:pt idx="4">
                  <c:v>384.63201364705884</c:v>
                </c:pt>
                <c:pt idx="5">
                  <c:v>390.80848423529409</c:v>
                </c:pt>
                <c:pt idx="6">
                  <c:v>396.98495482352934</c:v>
                </c:pt>
                <c:pt idx="7">
                  <c:v>403.16142541176464</c:v>
                </c:pt>
                <c:pt idx="8">
                  <c:v>409.33789599999994</c:v>
                </c:pt>
                <c:pt idx="9">
                  <c:v>415.51436658823525</c:v>
                </c:pt>
                <c:pt idx="10">
                  <c:v>421.69083717647055</c:v>
                </c:pt>
                <c:pt idx="11">
                  <c:v>427.86730776470586</c:v>
                </c:pt>
                <c:pt idx="12">
                  <c:v>434.0437783529411</c:v>
                </c:pt>
                <c:pt idx="13">
                  <c:v>440.22024894117641</c:v>
                </c:pt>
                <c:pt idx="14">
                  <c:v>446.39671952941171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8-4934-9C4C-918D25D4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64272"/>
        <c:axId val="-1980961152"/>
      </c:lineChart>
      <c:catAx>
        <c:axId val="-198096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1152"/>
        <c:crosses val="autoZero"/>
        <c:auto val="1"/>
        <c:lblAlgn val="ctr"/>
        <c:lblOffset val="100"/>
        <c:noMultiLvlLbl val="0"/>
      </c:catAx>
      <c:valAx>
        <c:axId val="-1980961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901"/>
          <c:y val="0.6997273727880789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9.0500000000000025</c:v>
                </c:pt>
                <c:pt idx="1">
                  <c:v>9.4000000000000021</c:v>
                </c:pt>
                <c:pt idx="2">
                  <c:v>9.7500000000000018</c:v>
                </c:pt>
                <c:pt idx="3">
                  <c:v>10.100000000000001</c:v>
                </c:pt>
                <c:pt idx="4">
                  <c:v>10.450000000000001</c:v>
                </c:pt>
                <c:pt idx="5">
                  <c:v>10.8</c:v>
                </c:pt>
                <c:pt idx="6">
                  <c:v>11.15</c:v>
                </c:pt>
                <c:pt idx="7">
                  <c:v>11.5</c:v>
                </c:pt>
                <c:pt idx="8">
                  <c:v>11.85</c:v>
                </c:pt>
                <c:pt idx="9">
                  <c:v>12.2</c:v>
                </c:pt>
                <c:pt idx="10">
                  <c:v>12.549999999999999</c:v>
                </c:pt>
                <c:pt idx="11">
                  <c:v>12.899999999999999</c:v>
                </c:pt>
                <c:pt idx="12">
                  <c:v>13.249999999999998</c:v>
                </c:pt>
                <c:pt idx="13">
                  <c:v>13.599999999999998</c:v>
                </c:pt>
                <c:pt idx="14">
                  <c:v>13.949999999999998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5.5950392687500008</c:v>
                </c:pt>
                <c:pt idx="1">
                  <c:v>5.7000392687500003</c:v>
                </c:pt>
                <c:pt idx="2">
                  <c:v>5.8050392687500008</c:v>
                </c:pt>
                <c:pt idx="3">
                  <c:v>5.9100392687500003</c:v>
                </c:pt>
                <c:pt idx="4">
                  <c:v>6.0150392687500007</c:v>
                </c:pt>
                <c:pt idx="5">
                  <c:v>6.1200392687500003</c:v>
                </c:pt>
                <c:pt idx="6">
                  <c:v>6.2250392687500007</c:v>
                </c:pt>
                <c:pt idx="7">
                  <c:v>6.3300392687500002</c:v>
                </c:pt>
                <c:pt idx="8">
                  <c:v>6.4350392687500007</c:v>
                </c:pt>
                <c:pt idx="9">
                  <c:v>6.5400392687500002</c:v>
                </c:pt>
                <c:pt idx="10">
                  <c:v>6.6450392687499997</c:v>
                </c:pt>
                <c:pt idx="11">
                  <c:v>6.7500392687499993</c:v>
                </c:pt>
                <c:pt idx="12">
                  <c:v>6.8550392687499997</c:v>
                </c:pt>
                <c:pt idx="13">
                  <c:v>6.9600392687499992</c:v>
                </c:pt>
                <c:pt idx="14">
                  <c:v>7.0650392687499997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3-4227-84CA-D1F9EA15A6E0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9.0500000000000025</c:v>
                </c:pt>
                <c:pt idx="1">
                  <c:v>9.4000000000000021</c:v>
                </c:pt>
                <c:pt idx="2">
                  <c:v>9.7500000000000018</c:v>
                </c:pt>
                <c:pt idx="3">
                  <c:v>10.100000000000001</c:v>
                </c:pt>
                <c:pt idx="4">
                  <c:v>10.450000000000001</c:v>
                </c:pt>
                <c:pt idx="5">
                  <c:v>10.8</c:v>
                </c:pt>
                <c:pt idx="6">
                  <c:v>11.15</c:v>
                </c:pt>
                <c:pt idx="7">
                  <c:v>11.5</c:v>
                </c:pt>
                <c:pt idx="8">
                  <c:v>11.85</c:v>
                </c:pt>
                <c:pt idx="9">
                  <c:v>12.2</c:v>
                </c:pt>
                <c:pt idx="10">
                  <c:v>12.549999999999999</c:v>
                </c:pt>
                <c:pt idx="11">
                  <c:v>12.899999999999999</c:v>
                </c:pt>
                <c:pt idx="12">
                  <c:v>13.249999999999998</c:v>
                </c:pt>
                <c:pt idx="13">
                  <c:v>13.599999999999998</c:v>
                </c:pt>
                <c:pt idx="14">
                  <c:v>13.949999999999998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5.0900173855882356</c:v>
                </c:pt>
                <c:pt idx="1">
                  <c:v>5.2135467973529419</c:v>
                </c:pt>
                <c:pt idx="2">
                  <c:v>5.3370762091176474</c:v>
                </c:pt>
                <c:pt idx="3">
                  <c:v>5.4606056208823537</c:v>
                </c:pt>
                <c:pt idx="4">
                  <c:v>5.5841350326470591</c:v>
                </c:pt>
                <c:pt idx="5">
                  <c:v>5.7076644444117646</c:v>
                </c:pt>
                <c:pt idx="6">
                  <c:v>5.8311938561764709</c:v>
                </c:pt>
                <c:pt idx="7">
                  <c:v>5.9547232679411763</c:v>
                </c:pt>
                <c:pt idx="8">
                  <c:v>6.0782526797058818</c:v>
                </c:pt>
                <c:pt idx="9">
                  <c:v>6.2017820914705881</c:v>
                </c:pt>
                <c:pt idx="10">
                  <c:v>6.3253115032352927</c:v>
                </c:pt>
                <c:pt idx="11">
                  <c:v>6.4488409149999981</c:v>
                </c:pt>
                <c:pt idx="12">
                  <c:v>6.5723703267647045</c:v>
                </c:pt>
                <c:pt idx="13">
                  <c:v>6.6958997385294099</c:v>
                </c:pt>
                <c:pt idx="14">
                  <c:v>6.8194291502941162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3-4227-84CA-D1F9EA15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31888"/>
        <c:axId val="-1980928768"/>
      </c:lineChart>
      <c:catAx>
        <c:axId val="-198093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28768"/>
        <c:crosses val="autoZero"/>
        <c:auto val="1"/>
        <c:lblAlgn val="ctr"/>
        <c:lblOffset val="100"/>
        <c:noMultiLvlLbl val="0"/>
      </c:catAx>
      <c:valAx>
        <c:axId val="-1980928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3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1.7219202438404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0.72499999999999987</c:v>
                </c:pt>
                <c:pt idx="1">
                  <c:v>0.74999999999999989</c:v>
                </c:pt>
                <c:pt idx="2">
                  <c:v>0.77499999999999991</c:v>
                </c:pt>
                <c:pt idx="3">
                  <c:v>0.79999999999999993</c:v>
                </c:pt>
                <c:pt idx="4">
                  <c:v>0.82499999999999996</c:v>
                </c:pt>
                <c:pt idx="5">
                  <c:v>0.85</c:v>
                </c:pt>
                <c:pt idx="6">
                  <c:v>0.875</c:v>
                </c:pt>
                <c:pt idx="7">
                  <c:v>0.9</c:v>
                </c:pt>
                <c:pt idx="8">
                  <c:v>0.92500000000000004</c:v>
                </c:pt>
                <c:pt idx="9">
                  <c:v>0.95000000000000007</c:v>
                </c:pt>
                <c:pt idx="10">
                  <c:v>0.97500000000000009</c:v>
                </c:pt>
                <c:pt idx="11">
                  <c:v>1</c:v>
                </c:pt>
                <c:pt idx="12">
                  <c:v>1.0249999999999999</c:v>
                </c:pt>
                <c:pt idx="13">
                  <c:v>1.0499999999999998</c:v>
                </c:pt>
                <c:pt idx="14">
                  <c:v>1.0749999999999997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8.1981868554545407</c:v>
                </c:pt>
                <c:pt idx="1">
                  <c:v>8.8231868554545407</c:v>
                </c:pt>
                <c:pt idx="2">
                  <c:v>9.4481868554545407</c:v>
                </c:pt>
                <c:pt idx="3">
                  <c:v>10.073186855454544</c:v>
                </c:pt>
                <c:pt idx="4">
                  <c:v>10.698186855454544</c:v>
                </c:pt>
                <c:pt idx="5">
                  <c:v>11.323186855454544</c:v>
                </c:pt>
                <c:pt idx="6">
                  <c:v>11.948186855454544</c:v>
                </c:pt>
                <c:pt idx="7">
                  <c:v>12.573186855454544</c:v>
                </c:pt>
                <c:pt idx="8">
                  <c:v>13.198186855454544</c:v>
                </c:pt>
                <c:pt idx="9">
                  <c:v>13.823186855454544</c:v>
                </c:pt>
                <c:pt idx="10">
                  <c:v>14.448186855454548</c:v>
                </c:pt>
                <c:pt idx="11">
                  <c:v>15.073186855454544</c:v>
                </c:pt>
                <c:pt idx="12">
                  <c:v>15.698186855454541</c:v>
                </c:pt>
                <c:pt idx="13">
                  <c:v>16.323186855454541</c:v>
                </c:pt>
                <c:pt idx="14">
                  <c:v>16.948186855454537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5-4EF4-A754-D182C7269843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0.72499999999999987</c:v>
                </c:pt>
                <c:pt idx="1">
                  <c:v>0.74999999999999989</c:v>
                </c:pt>
                <c:pt idx="2">
                  <c:v>0.77499999999999991</c:v>
                </c:pt>
                <c:pt idx="3">
                  <c:v>0.79999999999999993</c:v>
                </c:pt>
                <c:pt idx="4">
                  <c:v>0.82499999999999996</c:v>
                </c:pt>
                <c:pt idx="5">
                  <c:v>0.85</c:v>
                </c:pt>
                <c:pt idx="6">
                  <c:v>0.875</c:v>
                </c:pt>
                <c:pt idx="7">
                  <c:v>0.9</c:v>
                </c:pt>
                <c:pt idx="8">
                  <c:v>0.92500000000000004</c:v>
                </c:pt>
                <c:pt idx="9">
                  <c:v>0.95000000000000007</c:v>
                </c:pt>
                <c:pt idx="10">
                  <c:v>0.97500000000000009</c:v>
                </c:pt>
                <c:pt idx="11">
                  <c:v>1</c:v>
                </c:pt>
                <c:pt idx="12">
                  <c:v>1.0249999999999999</c:v>
                </c:pt>
                <c:pt idx="13">
                  <c:v>1.0499999999999998</c:v>
                </c:pt>
                <c:pt idx="14">
                  <c:v>1.0749999999999997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8.3437890863636355</c:v>
                </c:pt>
                <c:pt idx="1">
                  <c:v>8.8437890863636355</c:v>
                </c:pt>
                <c:pt idx="2">
                  <c:v>9.3437890863636355</c:v>
                </c:pt>
                <c:pt idx="3">
                  <c:v>9.8437890863636355</c:v>
                </c:pt>
                <c:pt idx="4">
                  <c:v>10.343789086363637</c:v>
                </c:pt>
                <c:pt idx="5">
                  <c:v>10.843789086363637</c:v>
                </c:pt>
                <c:pt idx="6">
                  <c:v>11.343789086363637</c:v>
                </c:pt>
                <c:pt idx="7">
                  <c:v>11.843789086363637</c:v>
                </c:pt>
                <c:pt idx="8">
                  <c:v>12.343789086363637</c:v>
                </c:pt>
                <c:pt idx="9">
                  <c:v>12.843789086363637</c:v>
                </c:pt>
                <c:pt idx="10">
                  <c:v>13.343789086363637</c:v>
                </c:pt>
                <c:pt idx="11">
                  <c:v>13.843789086363637</c:v>
                </c:pt>
                <c:pt idx="12">
                  <c:v>14.343789086363637</c:v>
                </c:pt>
                <c:pt idx="13">
                  <c:v>14.843789086363634</c:v>
                </c:pt>
                <c:pt idx="14">
                  <c:v>15.343789086363634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5-4EF4-A754-D182C726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22672"/>
        <c:axId val="-1811318912"/>
      </c:lineChart>
      <c:catAx>
        <c:axId val="-181132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18912"/>
        <c:crosses val="autoZero"/>
        <c:auto val="1"/>
        <c:lblAlgn val="ctr"/>
        <c:lblOffset val="100"/>
        <c:noMultiLvlLbl val="0"/>
      </c:catAx>
      <c:valAx>
        <c:axId val="-181131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2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01"/>
          <c:y val="0.68307735726582597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1.7219205357950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0.7720734531818183</c:v>
                </c:pt>
                <c:pt idx="1">
                  <c:v>0.79474011984848492</c:v>
                </c:pt>
                <c:pt idx="2">
                  <c:v>0.81740678651515164</c:v>
                </c:pt>
                <c:pt idx="3">
                  <c:v>0.84007345318181825</c:v>
                </c:pt>
                <c:pt idx="4">
                  <c:v>0.86274011984848498</c:v>
                </c:pt>
                <c:pt idx="5">
                  <c:v>0.88540678651515159</c:v>
                </c:pt>
                <c:pt idx="6">
                  <c:v>0.90807345318181831</c:v>
                </c:pt>
                <c:pt idx="7">
                  <c:v>0.93074011984848493</c:v>
                </c:pt>
                <c:pt idx="8">
                  <c:v>0.95340678651515165</c:v>
                </c:pt>
                <c:pt idx="9">
                  <c:v>0.97607345318181826</c:v>
                </c:pt>
                <c:pt idx="10">
                  <c:v>0.99874011984848499</c:v>
                </c:pt>
                <c:pt idx="11">
                  <c:v>1.0214067865151517</c:v>
                </c:pt>
                <c:pt idx="12">
                  <c:v>1.0440734531818183</c:v>
                </c:pt>
                <c:pt idx="13">
                  <c:v>1.0667401198484849</c:v>
                </c:pt>
                <c:pt idx="14">
                  <c:v>1.0894067865151515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7-4FCD-B78E-A466B0BD4FF4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0.71819617068181807</c:v>
                </c:pt>
                <c:pt idx="1">
                  <c:v>0.73777950401515147</c:v>
                </c:pt>
                <c:pt idx="2">
                  <c:v>0.75736283734848475</c:v>
                </c:pt>
                <c:pt idx="3">
                  <c:v>0.77694617068181804</c:v>
                </c:pt>
                <c:pt idx="4">
                  <c:v>0.79652950401515143</c:v>
                </c:pt>
                <c:pt idx="5">
                  <c:v>0.81611283734848472</c:v>
                </c:pt>
                <c:pt idx="6">
                  <c:v>0.83569617068181812</c:v>
                </c:pt>
                <c:pt idx="7">
                  <c:v>0.85527950401515151</c:v>
                </c:pt>
                <c:pt idx="8">
                  <c:v>0.8748628373484848</c:v>
                </c:pt>
                <c:pt idx="9">
                  <c:v>0.8944461706818182</c:v>
                </c:pt>
                <c:pt idx="10">
                  <c:v>0.91402950401515148</c:v>
                </c:pt>
                <c:pt idx="11">
                  <c:v>0.93361283734848488</c:v>
                </c:pt>
                <c:pt idx="12">
                  <c:v>0.95319617068181817</c:v>
                </c:pt>
                <c:pt idx="13">
                  <c:v>0.97277950401515156</c:v>
                </c:pt>
                <c:pt idx="14">
                  <c:v>0.99236283734848485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7-4FCD-B78E-A466B0BD4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824880"/>
        <c:axId val="-1810817216"/>
      </c:lineChart>
      <c:catAx>
        <c:axId val="-181082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17216"/>
        <c:crosses val="autoZero"/>
        <c:auto val="1"/>
        <c:lblAlgn val="ctr"/>
        <c:lblOffset val="100"/>
        <c:noMultiLvlLbl val="0"/>
      </c:catAx>
      <c:valAx>
        <c:axId val="-1810817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2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2"/>
          <c:y val="0.69279595438501196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5.0120147597058819</c:v>
                </c:pt>
                <c:pt idx="1">
                  <c:v>5.2120147597058821</c:v>
                </c:pt>
                <c:pt idx="2">
                  <c:v>5.4120147597058814</c:v>
                </c:pt>
                <c:pt idx="3">
                  <c:v>5.6120147597058816</c:v>
                </c:pt>
                <c:pt idx="4">
                  <c:v>5.8120147597058818</c:v>
                </c:pt>
                <c:pt idx="5">
                  <c:v>6.0120147597058819</c:v>
                </c:pt>
                <c:pt idx="6">
                  <c:v>6.2120147597058821</c:v>
                </c:pt>
                <c:pt idx="7">
                  <c:v>6.4120147597058814</c:v>
                </c:pt>
                <c:pt idx="8">
                  <c:v>6.6120147597058816</c:v>
                </c:pt>
                <c:pt idx="9">
                  <c:v>6.8120147597058818</c:v>
                </c:pt>
                <c:pt idx="10">
                  <c:v>7.0120147597058819</c:v>
                </c:pt>
                <c:pt idx="11">
                  <c:v>7.2120147597058821</c:v>
                </c:pt>
                <c:pt idx="12">
                  <c:v>7.4120147597058814</c:v>
                </c:pt>
                <c:pt idx="13">
                  <c:v>7.6120147597058816</c:v>
                </c:pt>
                <c:pt idx="14">
                  <c:v>7.8120147597058818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B-4DB5-83AD-3398B0EC2BEB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5.2015213000000005</c:v>
                </c:pt>
                <c:pt idx="1">
                  <c:v>5.3190213000000002</c:v>
                </c:pt>
                <c:pt idx="2">
                  <c:v>5.4365213000000008</c:v>
                </c:pt>
                <c:pt idx="3">
                  <c:v>5.5540213000000005</c:v>
                </c:pt>
                <c:pt idx="4">
                  <c:v>5.6715213000000002</c:v>
                </c:pt>
                <c:pt idx="5">
                  <c:v>5.7890213000000008</c:v>
                </c:pt>
                <c:pt idx="6">
                  <c:v>5.9065213000000005</c:v>
                </c:pt>
                <c:pt idx="7">
                  <c:v>6.0240213000000002</c:v>
                </c:pt>
                <c:pt idx="8">
                  <c:v>6.1415213000000008</c:v>
                </c:pt>
                <c:pt idx="9">
                  <c:v>6.2590213000000006</c:v>
                </c:pt>
                <c:pt idx="10">
                  <c:v>6.3765213000000003</c:v>
                </c:pt>
                <c:pt idx="11">
                  <c:v>6.4940213000000009</c:v>
                </c:pt>
                <c:pt idx="12">
                  <c:v>6.6115213000000006</c:v>
                </c:pt>
                <c:pt idx="13">
                  <c:v>6.7290213000000003</c:v>
                </c:pt>
                <c:pt idx="14">
                  <c:v>6.8465213000000009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B-4DB5-83AD-3398B0EC2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50192"/>
        <c:axId val="-1810746432"/>
      </c:lineChart>
      <c:catAx>
        <c:axId val="-181075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46432"/>
        <c:crosses val="autoZero"/>
        <c:auto val="1"/>
        <c:lblAlgn val="ctr"/>
        <c:lblOffset val="100"/>
        <c:noMultiLvlLbl val="0"/>
      </c:catAx>
      <c:valAx>
        <c:axId val="-181074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5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01"/>
          <c:y val="0.70275205900986504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9.3750231850000016</c:v>
                </c:pt>
                <c:pt idx="1">
                  <c:v>9.9416898516666681</c:v>
                </c:pt>
                <c:pt idx="2">
                  <c:v>10.508356518333335</c:v>
                </c:pt>
                <c:pt idx="3">
                  <c:v>11.075023185000001</c:v>
                </c:pt>
                <c:pt idx="4">
                  <c:v>11.641689851666667</c:v>
                </c:pt>
                <c:pt idx="5">
                  <c:v>12.208356518333336</c:v>
                </c:pt>
                <c:pt idx="6">
                  <c:v>12.775023185000002</c:v>
                </c:pt>
                <c:pt idx="7">
                  <c:v>13.341689851666668</c:v>
                </c:pt>
                <c:pt idx="8">
                  <c:v>13.908356518333335</c:v>
                </c:pt>
                <c:pt idx="9">
                  <c:v>14.475023185000001</c:v>
                </c:pt>
                <c:pt idx="10">
                  <c:v>15.041689851666668</c:v>
                </c:pt>
                <c:pt idx="11">
                  <c:v>15.608356518333334</c:v>
                </c:pt>
                <c:pt idx="12">
                  <c:v>16.175023185000001</c:v>
                </c:pt>
                <c:pt idx="13">
                  <c:v>16.741689851666667</c:v>
                </c:pt>
                <c:pt idx="14">
                  <c:v>17.308356518333333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3-47FD-8826-CE739934B166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8.2077124999999977</c:v>
                </c:pt>
                <c:pt idx="1">
                  <c:v>8.5993791666666652</c:v>
                </c:pt>
                <c:pt idx="2">
                  <c:v>8.9910458333333327</c:v>
                </c:pt>
                <c:pt idx="3">
                  <c:v>9.3827124999999985</c:v>
                </c:pt>
                <c:pt idx="4">
                  <c:v>9.774379166666666</c:v>
                </c:pt>
                <c:pt idx="5">
                  <c:v>10.166045833333332</c:v>
                </c:pt>
                <c:pt idx="6">
                  <c:v>10.557712499999999</c:v>
                </c:pt>
                <c:pt idx="7">
                  <c:v>10.949379166666665</c:v>
                </c:pt>
                <c:pt idx="8">
                  <c:v>11.341045833333332</c:v>
                </c:pt>
                <c:pt idx="9">
                  <c:v>11.732712499999998</c:v>
                </c:pt>
                <c:pt idx="10">
                  <c:v>12.124379166666666</c:v>
                </c:pt>
                <c:pt idx="11">
                  <c:v>12.516045833333331</c:v>
                </c:pt>
                <c:pt idx="12">
                  <c:v>12.907712499999999</c:v>
                </c:pt>
                <c:pt idx="13">
                  <c:v>13.299379166666665</c:v>
                </c:pt>
                <c:pt idx="14">
                  <c:v>13.691045833333332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3-47FD-8826-CE739934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15824"/>
        <c:axId val="-1810712064"/>
      </c:lineChart>
      <c:catAx>
        <c:axId val="-181071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2064"/>
        <c:crosses val="autoZero"/>
        <c:auto val="1"/>
        <c:lblAlgn val="ctr"/>
        <c:lblOffset val="100"/>
        <c:noMultiLvlLbl val="0"/>
      </c:catAx>
      <c:valAx>
        <c:axId val="-1810712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8600830677749902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4.9499999999999975</c:v>
                </c:pt>
                <c:pt idx="1">
                  <c:v>5.0999999999999979</c:v>
                </c:pt>
                <c:pt idx="2">
                  <c:v>5.2499999999999982</c:v>
                </c:pt>
                <c:pt idx="3">
                  <c:v>5.3999999999999986</c:v>
                </c:pt>
                <c:pt idx="4">
                  <c:v>5.5499999999999989</c:v>
                </c:pt>
                <c:pt idx="5">
                  <c:v>5.6999999999999993</c:v>
                </c:pt>
                <c:pt idx="6">
                  <c:v>5.85</c:v>
                </c:pt>
                <c:pt idx="7">
                  <c:v>6</c:v>
                </c:pt>
                <c:pt idx="8">
                  <c:v>6.15</c:v>
                </c:pt>
                <c:pt idx="9">
                  <c:v>6.3000000000000007</c:v>
                </c:pt>
                <c:pt idx="10">
                  <c:v>6.4500000000000011</c:v>
                </c:pt>
                <c:pt idx="11">
                  <c:v>6.6000000000000014</c:v>
                </c:pt>
                <c:pt idx="12">
                  <c:v>6.7500000000000018</c:v>
                </c:pt>
                <c:pt idx="13">
                  <c:v>6.9000000000000021</c:v>
                </c:pt>
                <c:pt idx="14">
                  <c:v>7.0500000000000025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0.67627595401515095</c:v>
                </c:pt>
                <c:pt idx="1">
                  <c:v>0.70127595401515097</c:v>
                </c:pt>
                <c:pt idx="2">
                  <c:v>0.72627595401515099</c:v>
                </c:pt>
                <c:pt idx="3">
                  <c:v>0.75127595401515113</c:v>
                </c:pt>
                <c:pt idx="4">
                  <c:v>0.77627595401515115</c:v>
                </c:pt>
                <c:pt idx="5">
                  <c:v>0.80127595401515117</c:v>
                </c:pt>
                <c:pt idx="6">
                  <c:v>0.8262759540151513</c:v>
                </c:pt>
                <c:pt idx="7">
                  <c:v>0.85127595401515133</c:v>
                </c:pt>
                <c:pt idx="8">
                  <c:v>0.87627595401515124</c:v>
                </c:pt>
                <c:pt idx="9">
                  <c:v>0.90127595401515159</c:v>
                </c:pt>
                <c:pt idx="10">
                  <c:v>0.92627595401515161</c:v>
                </c:pt>
                <c:pt idx="11">
                  <c:v>0.95127595401515164</c:v>
                </c:pt>
                <c:pt idx="12">
                  <c:v>0.97627595401515166</c:v>
                </c:pt>
                <c:pt idx="13">
                  <c:v>1.0012759540151517</c:v>
                </c:pt>
                <c:pt idx="14">
                  <c:v>1.0262759540151516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7-4613-BBB7-1534D1A42374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4.9499999999999975</c:v>
                </c:pt>
                <c:pt idx="1">
                  <c:v>5.0999999999999979</c:v>
                </c:pt>
                <c:pt idx="2">
                  <c:v>5.2499999999999982</c:v>
                </c:pt>
                <c:pt idx="3">
                  <c:v>5.3999999999999986</c:v>
                </c:pt>
                <c:pt idx="4">
                  <c:v>5.5499999999999989</c:v>
                </c:pt>
                <c:pt idx="5">
                  <c:v>5.6999999999999993</c:v>
                </c:pt>
                <c:pt idx="6">
                  <c:v>5.85</c:v>
                </c:pt>
                <c:pt idx="7">
                  <c:v>6</c:v>
                </c:pt>
                <c:pt idx="8">
                  <c:v>6.15</c:v>
                </c:pt>
                <c:pt idx="9">
                  <c:v>6.3000000000000007</c:v>
                </c:pt>
                <c:pt idx="10">
                  <c:v>6.4500000000000011</c:v>
                </c:pt>
                <c:pt idx="11">
                  <c:v>6.6000000000000014</c:v>
                </c:pt>
                <c:pt idx="12">
                  <c:v>6.7500000000000018</c:v>
                </c:pt>
                <c:pt idx="13">
                  <c:v>6.9000000000000021</c:v>
                </c:pt>
                <c:pt idx="14">
                  <c:v>7.0500000000000025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0.76504511374848472</c:v>
                </c:pt>
                <c:pt idx="1">
                  <c:v>0.78204511374848484</c:v>
                </c:pt>
                <c:pt idx="2">
                  <c:v>0.79904511374848486</c:v>
                </c:pt>
                <c:pt idx="3">
                  <c:v>0.81604511374848487</c:v>
                </c:pt>
                <c:pt idx="4">
                  <c:v>0.83304511374848489</c:v>
                </c:pt>
                <c:pt idx="5">
                  <c:v>0.8500451137484849</c:v>
                </c:pt>
                <c:pt idx="6">
                  <c:v>0.86704511374848481</c:v>
                </c:pt>
                <c:pt idx="7">
                  <c:v>0.88404511374848505</c:v>
                </c:pt>
                <c:pt idx="8">
                  <c:v>0.90104511374848506</c:v>
                </c:pt>
                <c:pt idx="9">
                  <c:v>0.91804511374848519</c:v>
                </c:pt>
                <c:pt idx="10">
                  <c:v>0.9350451137484852</c:v>
                </c:pt>
                <c:pt idx="11">
                  <c:v>0.95204511374848522</c:v>
                </c:pt>
                <c:pt idx="12">
                  <c:v>0.96904511374848512</c:v>
                </c:pt>
                <c:pt idx="13">
                  <c:v>0.98604511374848536</c:v>
                </c:pt>
                <c:pt idx="14">
                  <c:v>1.0030451137484853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7-4613-BBB7-1534D1A4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83216"/>
        <c:axId val="-1810679456"/>
      </c:lineChart>
      <c:catAx>
        <c:axId val="-181068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79456"/>
        <c:crosses val="autoZero"/>
        <c:auto val="1"/>
        <c:lblAlgn val="ctr"/>
        <c:lblOffset val="100"/>
        <c:noMultiLvlLbl val="0"/>
      </c:catAx>
      <c:valAx>
        <c:axId val="-181067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8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01"/>
          <c:y val="0.68036890911024195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4.9499999999999975</c:v>
                </c:pt>
                <c:pt idx="1">
                  <c:v>5.0999999999999979</c:v>
                </c:pt>
                <c:pt idx="2">
                  <c:v>5.2499999999999982</c:v>
                </c:pt>
                <c:pt idx="3">
                  <c:v>5.3999999999999986</c:v>
                </c:pt>
                <c:pt idx="4">
                  <c:v>5.5499999999999989</c:v>
                </c:pt>
                <c:pt idx="5">
                  <c:v>5.6999999999999993</c:v>
                </c:pt>
                <c:pt idx="6">
                  <c:v>5.85</c:v>
                </c:pt>
                <c:pt idx="7">
                  <c:v>6</c:v>
                </c:pt>
                <c:pt idx="8">
                  <c:v>6.15</c:v>
                </c:pt>
                <c:pt idx="9">
                  <c:v>6.3000000000000007</c:v>
                </c:pt>
                <c:pt idx="10">
                  <c:v>6.4500000000000011</c:v>
                </c:pt>
                <c:pt idx="11">
                  <c:v>6.6000000000000014</c:v>
                </c:pt>
                <c:pt idx="12">
                  <c:v>6.7500000000000018</c:v>
                </c:pt>
                <c:pt idx="13">
                  <c:v>6.9000000000000021</c:v>
                </c:pt>
                <c:pt idx="14">
                  <c:v>7.0500000000000025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348.59393191489335</c:v>
                </c:pt>
                <c:pt idx="1">
                  <c:v>361.3598893617019</c:v>
                </c:pt>
                <c:pt idx="2">
                  <c:v>374.1258468085104</c:v>
                </c:pt>
                <c:pt idx="3">
                  <c:v>386.89180425531902</c:v>
                </c:pt>
                <c:pt idx="4">
                  <c:v>399.65776170212752</c:v>
                </c:pt>
                <c:pt idx="5">
                  <c:v>412.42371914893607</c:v>
                </c:pt>
                <c:pt idx="6">
                  <c:v>425.18967659574463</c:v>
                </c:pt>
                <c:pt idx="7">
                  <c:v>437.95563404255319</c:v>
                </c:pt>
                <c:pt idx="8">
                  <c:v>450.72159148936163</c:v>
                </c:pt>
                <c:pt idx="9">
                  <c:v>463.4875489361703</c:v>
                </c:pt>
                <c:pt idx="10">
                  <c:v>476.25350638297874</c:v>
                </c:pt>
                <c:pt idx="11">
                  <c:v>489.0194638297873</c:v>
                </c:pt>
                <c:pt idx="12">
                  <c:v>501.78542127659586</c:v>
                </c:pt>
                <c:pt idx="13">
                  <c:v>514.55137872340435</c:v>
                </c:pt>
                <c:pt idx="14">
                  <c:v>527.31733617021291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CB-4362-88F8-C0589A0355D3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4.9499999999999975</c:v>
                </c:pt>
                <c:pt idx="1">
                  <c:v>5.0999999999999979</c:v>
                </c:pt>
                <c:pt idx="2">
                  <c:v>5.2499999999999982</c:v>
                </c:pt>
                <c:pt idx="3">
                  <c:v>5.3999999999999986</c:v>
                </c:pt>
                <c:pt idx="4">
                  <c:v>5.5499999999999989</c:v>
                </c:pt>
                <c:pt idx="5">
                  <c:v>5.6999999999999993</c:v>
                </c:pt>
                <c:pt idx="6">
                  <c:v>5.85</c:v>
                </c:pt>
                <c:pt idx="7">
                  <c:v>6</c:v>
                </c:pt>
                <c:pt idx="8">
                  <c:v>6.15</c:v>
                </c:pt>
                <c:pt idx="9">
                  <c:v>6.3000000000000007</c:v>
                </c:pt>
                <c:pt idx="10">
                  <c:v>6.4500000000000011</c:v>
                </c:pt>
                <c:pt idx="11">
                  <c:v>6.6000000000000014</c:v>
                </c:pt>
                <c:pt idx="12">
                  <c:v>6.7500000000000018</c:v>
                </c:pt>
                <c:pt idx="13">
                  <c:v>6.9000000000000021</c:v>
                </c:pt>
                <c:pt idx="14">
                  <c:v>7.0500000000000025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366.89926201470581</c:v>
                </c:pt>
                <c:pt idx="1">
                  <c:v>374.39926201470587</c:v>
                </c:pt>
                <c:pt idx="2">
                  <c:v>381.89926201470587</c:v>
                </c:pt>
                <c:pt idx="3">
                  <c:v>389.39926201470587</c:v>
                </c:pt>
                <c:pt idx="4">
                  <c:v>396.89926201470581</c:v>
                </c:pt>
                <c:pt idx="5">
                  <c:v>404.39926201470581</c:v>
                </c:pt>
                <c:pt idx="6">
                  <c:v>411.89926201470581</c:v>
                </c:pt>
                <c:pt idx="7">
                  <c:v>419.39926201470593</c:v>
                </c:pt>
                <c:pt idx="8">
                  <c:v>426.89926201470593</c:v>
                </c:pt>
                <c:pt idx="9">
                  <c:v>434.39926201470598</c:v>
                </c:pt>
                <c:pt idx="10">
                  <c:v>441.89926201470598</c:v>
                </c:pt>
                <c:pt idx="11">
                  <c:v>449.39926201470598</c:v>
                </c:pt>
                <c:pt idx="12">
                  <c:v>456.89926201470598</c:v>
                </c:pt>
                <c:pt idx="13">
                  <c:v>464.39926201470604</c:v>
                </c:pt>
                <c:pt idx="14">
                  <c:v>471.89926201470604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B-4362-88F8-C0589A035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50608"/>
        <c:axId val="-1810646848"/>
      </c:lineChart>
      <c:catAx>
        <c:axId val="-181065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46848"/>
        <c:crosses val="autoZero"/>
        <c:auto val="1"/>
        <c:lblAlgn val="ctr"/>
        <c:lblOffset val="100"/>
        <c:noMultiLvlLbl val="0"/>
      </c:catAx>
      <c:valAx>
        <c:axId val="-1810646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5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4289052578105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4.9499999999999975</c:v>
                </c:pt>
                <c:pt idx="1">
                  <c:v>5.0999999999999979</c:v>
                </c:pt>
                <c:pt idx="2">
                  <c:v>5.2499999999999982</c:v>
                </c:pt>
                <c:pt idx="3">
                  <c:v>5.3999999999999986</c:v>
                </c:pt>
                <c:pt idx="4">
                  <c:v>5.5499999999999989</c:v>
                </c:pt>
                <c:pt idx="5">
                  <c:v>5.6999999999999993</c:v>
                </c:pt>
                <c:pt idx="6">
                  <c:v>5.85</c:v>
                </c:pt>
                <c:pt idx="7">
                  <c:v>6</c:v>
                </c:pt>
                <c:pt idx="8">
                  <c:v>6.15</c:v>
                </c:pt>
                <c:pt idx="9">
                  <c:v>6.3000000000000007</c:v>
                </c:pt>
                <c:pt idx="10">
                  <c:v>6.4500000000000011</c:v>
                </c:pt>
                <c:pt idx="11">
                  <c:v>6.6000000000000014</c:v>
                </c:pt>
                <c:pt idx="12">
                  <c:v>6.7500000000000018</c:v>
                </c:pt>
                <c:pt idx="13">
                  <c:v>6.9000000000000021</c:v>
                </c:pt>
                <c:pt idx="14">
                  <c:v>7.0500000000000025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7.3693081666666558</c:v>
                </c:pt>
                <c:pt idx="1">
                  <c:v>7.8693081666666558</c:v>
                </c:pt>
                <c:pt idx="2">
                  <c:v>8.3693081666666558</c:v>
                </c:pt>
                <c:pt idx="3">
                  <c:v>8.8693081666666593</c:v>
                </c:pt>
                <c:pt idx="4">
                  <c:v>9.3693081666666593</c:v>
                </c:pt>
                <c:pt idx="5">
                  <c:v>9.8693081666666593</c:v>
                </c:pt>
                <c:pt idx="6">
                  <c:v>10.369308166666663</c:v>
                </c:pt>
                <c:pt idx="7">
                  <c:v>10.869308166666663</c:v>
                </c:pt>
                <c:pt idx="8">
                  <c:v>11.369308166666663</c:v>
                </c:pt>
                <c:pt idx="9">
                  <c:v>11.869308166666666</c:v>
                </c:pt>
                <c:pt idx="10">
                  <c:v>12.369308166666666</c:v>
                </c:pt>
                <c:pt idx="11">
                  <c:v>12.869308166666666</c:v>
                </c:pt>
                <c:pt idx="12">
                  <c:v>13.369308166666672</c:v>
                </c:pt>
                <c:pt idx="13">
                  <c:v>13.869308166666672</c:v>
                </c:pt>
                <c:pt idx="14">
                  <c:v>14.369308166666672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A-43F6-A1A2-97DE06BBE7A0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4.9499999999999975</c:v>
                </c:pt>
                <c:pt idx="1">
                  <c:v>5.0999999999999979</c:v>
                </c:pt>
                <c:pt idx="2">
                  <c:v>5.2499999999999982</c:v>
                </c:pt>
                <c:pt idx="3">
                  <c:v>5.3999999999999986</c:v>
                </c:pt>
                <c:pt idx="4">
                  <c:v>5.5499999999999989</c:v>
                </c:pt>
                <c:pt idx="5">
                  <c:v>5.6999999999999993</c:v>
                </c:pt>
                <c:pt idx="6">
                  <c:v>5.85</c:v>
                </c:pt>
                <c:pt idx="7">
                  <c:v>6</c:v>
                </c:pt>
                <c:pt idx="8">
                  <c:v>6.15</c:v>
                </c:pt>
                <c:pt idx="9">
                  <c:v>6.3000000000000007</c:v>
                </c:pt>
                <c:pt idx="10">
                  <c:v>6.4500000000000011</c:v>
                </c:pt>
                <c:pt idx="11">
                  <c:v>6.6000000000000014</c:v>
                </c:pt>
                <c:pt idx="12">
                  <c:v>6.7500000000000018</c:v>
                </c:pt>
                <c:pt idx="13">
                  <c:v>6.9000000000000021</c:v>
                </c:pt>
                <c:pt idx="14">
                  <c:v>7.0500000000000025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9.1993146991666617</c:v>
                </c:pt>
                <c:pt idx="1">
                  <c:v>9.6243146991666642</c:v>
                </c:pt>
                <c:pt idx="2">
                  <c:v>10.049314699166665</c:v>
                </c:pt>
                <c:pt idx="3">
                  <c:v>10.474314699166666</c:v>
                </c:pt>
                <c:pt idx="4">
                  <c:v>10.899314699166666</c:v>
                </c:pt>
                <c:pt idx="5">
                  <c:v>11.324314699166669</c:v>
                </c:pt>
                <c:pt idx="6">
                  <c:v>11.749314699166668</c:v>
                </c:pt>
                <c:pt idx="7">
                  <c:v>12.17431469916667</c:v>
                </c:pt>
                <c:pt idx="8">
                  <c:v>12.599314699166671</c:v>
                </c:pt>
                <c:pt idx="9">
                  <c:v>13.024314699166673</c:v>
                </c:pt>
                <c:pt idx="10">
                  <c:v>13.449314699166674</c:v>
                </c:pt>
                <c:pt idx="11">
                  <c:v>13.874314699166673</c:v>
                </c:pt>
                <c:pt idx="12">
                  <c:v>14.299314699166674</c:v>
                </c:pt>
                <c:pt idx="13">
                  <c:v>14.724314699166678</c:v>
                </c:pt>
                <c:pt idx="14">
                  <c:v>15.149314699166677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A-43F6-A1A2-97DE06BB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17008"/>
        <c:axId val="-1810613248"/>
      </c:lineChart>
      <c:catAx>
        <c:axId val="-181061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3248"/>
        <c:crosses val="autoZero"/>
        <c:auto val="1"/>
        <c:lblAlgn val="ctr"/>
        <c:lblOffset val="100"/>
        <c:noMultiLvlLbl val="0"/>
      </c:catAx>
      <c:valAx>
        <c:axId val="-181061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"/>
          <c:y val="0.70803285073236799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>
          <a:extLst>
            <a:ext uri="{FF2B5EF4-FFF2-40B4-BE49-F238E27FC236}">
              <a16:creationId xmlns:a16="http://schemas.microsoft.com/office/drawing/2014/main" id="{00000000-0008-0000-0600-00002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>
          <a:extLst>
            <a:ext uri="{FF2B5EF4-FFF2-40B4-BE49-F238E27FC236}">
              <a16:creationId xmlns:a16="http://schemas.microsoft.com/office/drawing/2014/main" id="{00000000-0008-0000-0600-00002E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>
          <a:extLst>
            <a:ext uri="{FF2B5EF4-FFF2-40B4-BE49-F238E27FC236}">
              <a16:creationId xmlns:a16="http://schemas.microsoft.com/office/drawing/2014/main" id="{00000000-0008-0000-0600-00002F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>
          <a:extLst>
            <a:ext uri="{FF2B5EF4-FFF2-40B4-BE49-F238E27FC236}">
              <a16:creationId xmlns:a16="http://schemas.microsoft.com/office/drawing/2014/main" id="{00000000-0008-0000-0600-000030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>
          <a:extLst>
            <a:ext uri="{FF2B5EF4-FFF2-40B4-BE49-F238E27FC236}">
              <a16:creationId xmlns:a16="http://schemas.microsoft.com/office/drawing/2014/main" id="{00000000-0008-0000-0600-00003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>
          <a:extLst>
            <a:ext uri="{FF2B5EF4-FFF2-40B4-BE49-F238E27FC236}">
              <a16:creationId xmlns:a16="http://schemas.microsoft.com/office/drawing/2014/main" id="{00000000-0008-0000-0600-00003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>
          <a:extLst>
            <a:ext uri="{FF2B5EF4-FFF2-40B4-BE49-F238E27FC236}">
              <a16:creationId xmlns:a16="http://schemas.microsoft.com/office/drawing/2014/main" id="{00000000-0008-0000-0600-000033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>
          <a:extLst>
            <a:ext uri="{FF2B5EF4-FFF2-40B4-BE49-F238E27FC236}">
              <a16:creationId xmlns:a16="http://schemas.microsoft.com/office/drawing/2014/main" id="{00000000-0008-0000-0600-000034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>
          <a:extLst>
            <a:ext uri="{FF2B5EF4-FFF2-40B4-BE49-F238E27FC236}">
              <a16:creationId xmlns:a16="http://schemas.microsoft.com/office/drawing/2014/main" id="{00000000-0008-0000-0600-000035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>
          <a:extLst>
            <a:ext uri="{FF2B5EF4-FFF2-40B4-BE49-F238E27FC236}">
              <a16:creationId xmlns:a16="http://schemas.microsoft.com/office/drawing/2014/main" id="{00000000-0008-0000-0600-00003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>
          <a:extLst>
            <a:ext uri="{FF2B5EF4-FFF2-40B4-BE49-F238E27FC236}">
              <a16:creationId xmlns:a16="http://schemas.microsoft.com/office/drawing/2014/main" id="{00000000-0008-0000-0600-000037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>
          <a:extLst>
            <a:ext uri="{FF2B5EF4-FFF2-40B4-BE49-F238E27FC236}">
              <a16:creationId xmlns:a16="http://schemas.microsoft.com/office/drawing/2014/main" id="{00000000-0008-0000-0600-000038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>
          <a:extLst>
            <a:ext uri="{FF2B5EF4-FFF2-40B4-BE49-F238E27FC236}">
              <a16:creationId xmlns:a16="http://schemas.microsoft.com/office/drawing/2014/main" id="{00000000-0008-0000-0700-00002D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>
          <a:extLst>
            <a:ext uri="{FF2B5EF4-FFF2-40B4-BE49-F238E27FC236}">
              <a16:creationId xmlns:a16="http://schemas.microsoft.com/office/drawing/2014/main" id="{00000000-0008-0000-0700-00002E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>
          <a:extLst>
            <a:ext uri="{FF2B5EF4-FFF2-40B4-BE49-F238E27FC236}">
              <a16:creationId xmlns:a16="http://schemas.microsoft.com/office/drawing/2014/main" id="{00000000-0008-0000-0700-00002F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>
          <a:extLst>
            <a:ext uri="{FF2B5EF4-FFF2-40B4-BE49-F238E27FC236}">
              <a16:creationId xmlns:a16="http://schemas.microsoft.com/office/drawing/2014/main" id="{00000000-0008-0000-0700-000030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>
          <a:extLst>
            <a:ext uri="{FF2B5EF4-FFF2-40B4-BE49-F238E27FC236}">
              <a16:creationId xmlns:a16="http://schemas.microsoft.com/office/drawing/2014/main" id="{00000000-0008-0000-0700-000031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>
          <a:extLst>
            <a:ext uri="{FF2B5EF4-FFF2-40B4-BE49-F238E27FC236}">
              <a16:creationId xmlns:a16="http://schemas.microsoft.com/office/drawing/2014/main" id="{00000000-0008-0000-0700-00003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>
          <a:extLst>
            <a:ext uri="{FF2B5EF4-FFF2-40B4-BE49-F238E27FC236}">
              <a16:creationId xmlns:a16="http://schemas.microsoft.com/office/drawing/2014/main" id="{00000000-0008-0000-0700-000033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>
          <a:extLst>
            <a:ext uri="{FF2B5EF4-FFF2-40B4-BE49-F238E27FC236}">
              <a16:creationId xmlns:a16="http://schemas.microsoft.com/office/drawing/2014/main" id="{00000000-0008-0000-0700-000034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>
          <a:extLst>
            <a:ext uri="{FF2B5EF4-FFF2-40B4-BE49-F238E27FC236}">
              <a16:creationId xmlns:a16="http://schemas.microsoft.com/office/drawing/2014/main" id="{00000000-0008-0000-0700-000035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>
          <a:extLst>
            <a:ext uri="{FF2B5EF4-FFF2-40B4-BE49-F238E27FC236}">
              <a16:creationId xmlns:a16="http://schemas.microsoft.com/office/drawing/2014/main" id="{00000000-0008-0000-0700-000036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>
          <a:extLst>
            <a:ext uri="{FF2B5EF4-FFF2-40B4-BE49-F238E27FC236}">
              <a16:creationId xmlns:a16="http://schemas.microsoft.com/office/drawing/2014/main" id="{00000000-0008-0000-0700-000037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>
          <a:extLst>
            <a:ext uri="{FF2B5EF4-FFF2-40B4-BE49-F238E27FC236}">
              <a16:creationId xmlns:a16="http://schemas.microsoft.com/office/drawing/2014/main" id="{00000000-0008-0000-0700-000038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D8" sqref="D8:D12"/>
    </sheetView>
  </sheetViews>
  <sheetFormatPr baseColWidth="10" defaultColWidth="8.83203125" defaultRowHeight="13" x14ac:dyDescent="0.15"/>
  <cols>
    <col min="1" max="2" width="4" bestFit="1" customWidth="1"/>
    <col min="3" max="4" width="5.1640625" bestFit="1" customWidth="1"/>
    <col min="5" max="5" width="4" bestFit="1" customWidth="1"/>
    <col min="6" max="6" width="6.83203125" bestFit="1" customWidth="1"/>
  </cols>
  <sheetData>
    <row r="1" spans="1:6" x14ac:dyDescent="0.15">
      <c r="A1" t="s">
        <v>180</v>
      </c>
      <c r="B1" t="s">
        <v>179</v>
      </c>
      <c r="C1" t="s">
        <v>183</v>
      </c>
      <c r="D1" t="s">
        <v>181</v>
      </c>
      <c r="E1" t="s">
        <v>182</v>
      </c>
    </row>
    <row r="2" spans="1:6" x14ac:dyDescent="0.15">
      <c r="A2">
        <v>850</v>
      </c>
      <c r="B2">
        <v>840</v>
      </c>
      <c r="C2">
        <v>404</v>
      </c>
      <c r="D2">
        <v>869</v>
      </c>
      <c r="E2">
        <v>516</v>
      </c>
      <c r="F2" t="s">
        <v>186</v>
      </c>
    </row>
    <row r="3" spans="1:6" x14ac:dyDescent="0.15">
      <c r="A3" s="320">
        <f>AVERAGE(600, 586)</f>
        <v>593</v>
      </c>
      <c r="B3" s="320">
        <f>AVERAGE(537,551)</f>
        <v>544</v>
      </c>
      <c r="C3" s="320">
        <f>AVERAGE(311,301)</f>
        <v>306</v>
      </c>
      <c r="D3" s="320">
        <f>AVERAGE(617,597)</f>
        <v>607</v>
      </c>
      <c r="E3" s="320">
        <f>AVERAGE(268, 273)</f>
        <v>270.5</v>
      </c>
      <c r="F3" t="s">
        <v>185</v>
      </c>
    </row>
    <row r="4" spans="1:6" x14ac:dyDescent="0.15">
      <c r="A4" s="320">
        <f>A2-A3</f>
        <v>257</v>
      </c>
      <c r="B4" s="320">
        <f>B2-B3</f>
        <v>296</v>
      </c>
      <c r="C4" s="320">
        <f>C2-C3</f>
        <v>98</v>
      </c>
      <c r="D4" s="320">
        <f>D2-D3</f>
        <v>262</v>
      </c>
      <c r="E4" s="320">
        <f>E2-E3</f>
        <v>245.5</v>
      </c>
      <c r="F4" t="s">
        <v>187</v>
      </c>
    </row>
    <row r="5" spans="1:6" x14ac:dyDescent="0.15">
      <c r="A5" s="320">
        <f>A4-185</f>
        <v>72</v>
      </c>
      <c r="B5" s="320">
        <f>B4-185</f>
        <v>111</v>
      </c>
      <c r="C5" s="320">
        <f>C4-185</f>
        <v>-87</v>
      </c>
      <c r="D5" s="320">
        <f>D4-185</f>
        <v>77</v>
      </c>
      <c r="E5" s="320">
        <f>E4-185</f>
        <v>60.5</v>
      </c>
      <c r="F5" t="s">
        <v>188</v>
      </c>
    </row>
    <row r="8" spans="1:6" x14ac:dyDescent="0.15">
      <c r="A8" t="s">
        <v>184</v>
      </c>
      <c r="B8" t="s">
        <v>179</v>
      </c>
      <c r="C8" t="s">
        <v>183</v>
      </c>
      <c r="D8" t="s">
        <v>181</v>
      </c>
      <c r="E8" t="s">
        <v>182</v>
      </c>
    </row>
    <row r="9" spans="1:6" x14ac:dyDescent="0.15">
      <c r="A9">
        <v>361</v>
      </c>
      <c r="B9">
        <v>525</v>
      </c>
      <c r="C9">
        <v>263</v>
      </c>
      <c r="D9">
        <v>630</v>
      </c>
      <c r="E9">
        <v>258</v>
      </c>
      <c r="F9" t="s">
        <v>186</v>
      </c>
    </row>
    <row r="10" spans="1:6" x14ac:dyDescent="0.15">
      <c r="A10" s="320">
        <f>AVERAGE(293,298)</f>
        <v>295.5</v>
      </c>
      <c r="B10" s="320">
        <f>AVERAGE(424, 445)</f>
        <v>434.5</v>
      </c>
      <c r="C10" s="320">
        <f>AVERAGE(199,198)</f>
        <v>198.5</v>
      </c>
      <c r="D10" s="320">
        <f>AVERAGE(537, 528)</f>
        <v>532.5</v>
      </c>
      <c r="E10" s="320">
        <f>AVERAGE(196, 208)</f>
        <v>202</v>
      </c>
      <c r="F10" t="s">
        <v>185</v>
      </c>
    </row>
    <row r="11" spans="1:6" x14ac:dyDescent="0.15">
      <c r="A11" s="320">
        <f>A9-A10</f>
        <v>65.5</v>
      </c>
      <c r="B11" s="320">
        <f>B9-B10</f>
        <v>90.5</v>
      </c>
      <c r="C11" s="320">
        <f>C9-C10</f>
        <v>64.5</v>
      </c>
      <c r="D11" s="320">
        <f>D9-D10</f>
        <v>97.5</v>
      </c>
      <c r="E11" s="320">
        <f>E9-E10</f>
        <v>56</v>
      </c>
      <c r="F11" t="s">
        <v>187</v>
      </c>
    </row>
    <row r="12" spans="1:6" x14ac:dyDescent="0.15">
      <c r="A12" s="320">
        <f>A11-75</f>
        <v>-9.5</v>
      </c>
      <c r="B12" s="320">
        <f>B11-75</f>
        <v>15.5</v>
      </c>
      <c r="C12" s="320">
        <f>C11-75</f>
        <v>-10.5</v>
      </c>
      <c r="D12" s="320">
        <f>D11-75</f>
        <v>22.5</v>
      </c>
      <c r="E12" s="320">
        <f>E11-75</f>
        <v>-19</v>
      </c>
      <c r="F12" t="s">
        <v>188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 x14ac:dyDescent="0.15"/>
  <cols>
    <col min="1" max="16384" width="9.33203125" style="75"/>
  </cols>
  <sheetData>
    <row r="1" spans="1:13" s="62" customFormat="1" ht="12" hidden="1" x14ac:dyDescent="0.15">
      <c r="B1" s="469" t="s">
        <v>46</v>
      </c>
      <c r="C1" s="469"/>
      <c r="D1" s="469"/>
      <c r="E1" s="469"/>
      <c r="F1" s="469"/>
      <c r="G1" s="469"/>
    </row>
    <row r="2" spans="1:13" s="62" customFormat="1" ht="12" hidden="1" x14ac:dyDescent="0.15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  <c r="G2" s="64" t="str">
        <f>Conventional!X6</f>
        <v>Wheat</v>
      </c>
    </row>
    <row r="3" spans="1:13" s="62" customFormat="1" ht="12" hidden="1" x14ac:dyDescent="0.15">
      <c r="A3" s="63" t="s">
        <v>41</v>
      </c>
      <c r="B3" s="65">
        <f>Conventional!L7</f>
        <v>750</v>
      </c>
      <c r="C3" s="65">
        <f>Conventional!N7</f>
        <v>3400</v>
      </c>
      <c r="D3" s="65">
        <f>Conventional!P7</f>
        <v>85</v>
      </c>
      <c r="E3" s="65">
        <f>Conventional!R7</f>
        <v>30</v>
      </c>
      <c r="F3" s="65">
        <f>Conventional!T7</f>
        <v>65</v>
      </c>
      <c r="G3" s="65">
        <f>Conventional!X7</f>
        <v>55</v>
      </c>
    </row>
    <row r="4" spans="1:13" s="62" customFormat="1" ht="12" hidden="1" x14ac:dyDescent="0.15">
      <c r="A4" s="62" t="s">
        <v>42</v>
      </c>
      <c r="B4" s="67">
        <f>Conventional!L8</f>
        <v>0.9</v>
      </c>
      <c r="C4" s="68">
        <f>Conventional!N8</f>
        <v>440</v>
      </c>
      <c r="D4" s="69">
        <f>Conventional!P8</f>
        <v>6</v>
      </c>
      <c r="E4" s="69">
        <f>Conventional!R8</f>
        <v>11.5</v>
      </c>
      <c r="F4" s="69">
        <f>Conventional!T8</f>
        <v>5.8</v>
      </c>
      <c r="G4" s="69">
        <f>Conventional!X8</f>
        <v>7</v>
      </c>
    </row>
    <row r="5" spans="1:13" s="62" customFormat="1" ht="12" hidden="1" x14ac:dyDescent="0.15">
      <c r="A5" s="70" t="s">
        <v>44</v>
      </c>
      <c r="B5" s="71">
        <f t="shared" ref="B5:G5" si="0">B3*B4</f>
        <v>675</v>
      </c>
      <c r="C5" s="71">
        <f>C3*C4/2000</f>
        <v>748</v>
      </c>
      <c r="D5" s="71">
        <f t="shared" si="0"/>
        <v>510</v>
      </c>
      <c r="E5" s="71">
        <f t="shared" si="0"/>
        <v>345</v>
      </c>
      <c r="F5" s="71">
        <f t="shared" si="0"/>
        <v>377</v>
      </c>
      <c r="G5" s="71">
        <f t="shared" si="0"/>
        <v>385</v>
      </c>
    </row>
    <row r="6" spans="1:13" s="62" customFormat="1" ht="12" hidden="1" x14ac:dyDescent="0.15">
      <c r="A6" s="70" t="s">
        <v>43</v>
      </c>
      <c r="B6" s="73">
        <f>Conventional!L30</f>
        <v>594.04293988636368</v>
      </c>
      <c r="C6" s="73">
        <f>Conventional!N30</f>
        <v>643.98784999999998</v>
      </c>
      <c r="D6" s="73">
        <f>Conventional!P30</f>
        <v>441.00910457499992</v>
      </c>
      <c r="E6" s="73">
        <f>Conventional!R30</f>
        <v>296.23854555000003</v>
      </c>
      <c r="F6" s="73">
        <f>Conventional!T30</f>
        <v>325.42351444999997</v>
      </c>
      <c r="G6" s="73">
        <f>Conventional!X30</f>
        <v>330.59513794999998</v>
      </c>
    </row>
    <row r="7" spans="1:13" s="62" customFormat="1" ht="16" x14ac:dyDescent="0.2">
      <c r="A7" s="472" t="s">
        <v>128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71" t="s">
        <v>153</v>
      </c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</row>
    <row r="10" spans="1:13" x14ac:dyDescent="0.15">
      <c r="A10" s="465" t="s">
        <v>51</v>
      </c>
      <c r="B10" s="465"/>
      <c r="C10" s="465"/>
      <c r="D10" s="465"/>
      <c r="E10" s="465"/>
      <c r="F10" s="465"/>
      <c r="H10" s="465" t="s">
        <v>52</v>
      </c>
      <c r="I10" s="465"/>
      <c r="J10" s="465"/>
      <c r="K10" s="465"/>
      <c r="L10" s="465"/>
      <c r="M10" s="465"/>
    </row>
    <row r="11" spans="1:13" s="62" customFormat="1" ht="12" x14ac:dyDescent="0.15">
      <c r="A11" s="464" t="s">
        <v>36</v>
      </c>
      <c r="B11" s="464"/>
      <c r="C11" s="464"/>
      <c r="D11" s="464"/>
      <c r="E11" s="464"/>
      <c r="F11" s="464"/>
      <c r="H11" s="468" t="s">
        <v>36</v>
      </c>
      <c r="I11" s="468"/>
      <c r="J11" s="468"/>
      <c r="K11" s="468"/>
      <c r="L11" s="468"/>
      <c r="M11" s="468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15">
      <c r="A14" s="84">
        <f>Irrigated!A14</f>
        <v>4.1999999999999993</v>
      </c>
      <c r="B14" s="85">
        <f>$A$14*B$13-$D$6</f>
        <v>-173.25910457499998</v>
      </c>
      <c r="C14" s="85">
        <f>$A$14*C$13-$D$6</f>
        <v>-119.70910457499997</v>
      </c>
      <c r="D14" s="85">
        <f>$A$14*D$13-$D$6</f>
        <v>-84.009104574999981</v>
      </c>
      <c r="E14" s="85">
        <f>$A$14*E$13-$D$6</f>
        <v>-48.309104574999935</v>
      </c>
      <c r="F14" s="85">
        <f>$A$14*F$13-$D$6</f>
        <v>5.2408954250000193</v>
      </c>
      <c r="H14" s="84">
        <f>Irrigated!H14</f>
        <v>0.63</v>
      </c>
      <c r="I14" s="85">
        <f>$H$14*I$13-$B$6</f>
        <v>-239.66793988636368</v>
      </c>
      <c r="J14" s="85">
        <f>$H$14*J$13-$B$6</f>
        <v>-168.79293988636368</v>
      </c>
      <c r="K14" s="85">
        <f>$H$14*K$13-$B$6</f>
        <v>-121.54293988636368</v>
      </c>
      <c r="L14" s="85">
        <f>$H$14*L$13-$B$6</f>
        <v>-74.29293988636357</v>
      </c>
      <c r="M14" s="85">
        <f>$H$14*M$13-$B$6</f>
        <v>-3.4179398863636834</v>
      </c>
    </row>
    <row r="15" spans="1:13" x14ac:dyDescent="0.15">
      <c r="A15" s="86">
        <f>Irrigated!A15</f>
        <v>5.0999999999999996</v>
      </c>
      <c r="B15" s="87">
        <f>$A$15*B$13-$D$6</f>
        <v>-115.88410457499992</v>
      </c>
      <c r="C15" s="87">
        <f>$A$15*C$13-$D$6</f>
        <v>-50.859104574999947</v>
      </c>
      <c r="D15" s="87">
        <f>$A$15*D$13-$D$6</f>
        <v>-7.5091045749999807</v>
      </c>
      <c r="E15" s="87">
        <f>$A$15*E$13-$D$6</f>
        <v>35.840895425000099</v>
      </c>
      <c r="F15" s="87">
        <f>$A$15*F$13-$D$6</f>
        <v>100.86589542500008</v>
      </c>
      <c r="H15" s="86">
        <f>Irrigated!H15</f>
        <v>0.76500000000000001</v>
      </c>
      <c r="I15" s="87">
        <f>$H$15*I$13-$B$6</f>
        <v>-163.73043988636368</v>
      </c>
      <c r="J15" s="87">
        <f>$H$15*J$13-$B$6</f>
        <v>-77.667939886363683</v>
      </c>
      <c r="K15" s="87">
        <f>$H$15*K$13-$B$6</f>
        <v>-20.292939886363683</v>
      </c>
      <c r="L15" s="87">
        <f>$H$15*L$13-$B$6</f>
        <v>37.08206011363643</v>
      </c>
      <c r="M15" s="87">
        <f>$H$15*M$13-$B$6</f>
        <v>123.14456011363632</v>
      </c>
    </row>
    <row r="16" spans="1:13" x14ac:dyDescent="0.15">
      <c r="A16" s="86">
        <f>Irrigated!A16</f>
        <v>6</v>
      </c>
      <c r="B16" s="87">
        <f>$A$16*B$13-$D$6</f>
        <v>-58.509104574999924</v>
      </c>
      <c r="C16" s="87">
        <f>$A$16*C$13-$D$6</f>
        <v>17.990895425000076</v>
      </c>
      <c r="D16" s="87">
        <f>$A$16*D$13-$D$6</f>
        <v>68.990895425000076</v>
      </c>
      <c r="E16" s="87">
        <f>$A$16*E$13-$D$6</f>
        <v>119.99089542500019</v>
      </c>
      <c r="F16" s="87">
        <f>$A$16*F$13-$D$6</f>
        <v>196.49089542500008</v>
      </c>
      <c r="H16" s="86">
        <f>Irrigated!H16</f>
        <v>0.9</v>
      </c>
      <c r="I16" s="87">
        <f>$H$16*I$13-$B$6</f>
        <v>-87.792939886363683</v>
      </c>
      <c r="J16" s="87">
        <f>$H$16*J$13-$B$6</f>
        <v>13.457060113636317</v>
      </c>
      <c r="K16" s="87">
        <f>$H$16*K$13-$B$6</f>
        <v>80.957060113636317</v>
      </c>
      <c r="L16" s="87">
        <f>$H$16*L$13-$B$6</f>
        <v>148.45706011363643</v>
      </c>
      <c r="M16" s="87">
        <f>$H$16*M$13-$B$6</f>
        <v>249.70706011363632</v>
      </c>
    </row>
    <row r="17" spans="1:13" x14ac:dyDescent="0.15">
      <c r="A17" s="86">
        <f>Irrigated!A17</f>
        <v>6.8999999999999995</v>
      </c>
      <c r="B17" s="87">
        <f>$A$17*B$13-$D$6</f>
        <v>-1.1341045749999807</v>
      </c>
      <c r="C17" s="87">
        <f>$A$17*C$13-$D$6</f>
        <v>86.840895424999985</v>
      </c>
      <c r="D17" s="87">
        <f>$A$17*D$13-$D$6</f>
        <v>145.49089542500008</v>
      </c>
      <c r="E17" s="87">
        <f>$A$17*E$13-$D$6</f>
        <v>204.14089542500017</v>
      </c>
      <c r="F17" s="87">
        <f>$A$17*F$13-$D$6</f>
        <v>292.11589542500008</v>
      </c>
      <c r="H17" s="86">
        <f>Irrigated!H17</f>
        <v>1.0349999999999999</v>
      </c>
      <c r="I17" s="87">
        <f>$H$17*I$13-$B$6</f>
        <v>-11.855439886363683</v>
      </c>
      <c r="J17" s="87">
        <f>$H$17*J$13-$B$6</f>
        <v>104.58206011363632</v>
      </c>
      <c r="K17" s="87">
        <f>$H$17*K$13-$B$6</f>
        <v>182.2070601136362</v>
      </c>
      <c r="L17" s="87">
        <f>$H$17*L$13-$B$6</f>
        <v>259.83206011363632</v>
      </c>
      <c r="M17" s="87">
        <f>$H$17*M$13-$B$6</f>
        <v>376.2695601136362</v>
      </c>
    </row>
    <row r="18" spans="1:13" x14ac:dyDescent="0.15">
      <c r="A18" s="88">
        <f>Irrigated!A18</f>
        <v>7.8000000000000007</v>
      </c>
      <c r="B18" s="89">
        <f>$A$18*B$13-$D$6</f>
        <v>56.240895425000133</v>
      </c>
      <c r="C18" s="89">
        <f>$A$18*C$13-$D$6</f>
        <v>155.69089542500012</v>
      </c>
      <c r="D18" s="89">
        <f>$A$18*D$13-$D$6</f>
        <v>221.99089542500019</v>
      </c>
      <c r="E18" s="89">
        <f>$A$18*E$13-$D$6</f>
        <v>288.29089542500026</v>
      </c>
      <c r="F18" s="89">
        <f>$A$18*F$13-$D$6</f>
        <v>387.74089542500019</v>
      </c>
      <c r="H18" s="88">
        <f>Irrigated!H18</f>
        <v>1.1700000000000002</v>
      </c>
      <c r="I18" s="89">
        <f>$H$18*I$13-$B$6</f>
        <v>64.08206011363643</v>
      </c>
      <c r="J18" s="89">
        <f>$H$18*J$13-$B$6</f>
        <v>195.70706011363643</v>
      </c>
      <c r="K18" s="89">
        <f>$H$18*K$13-$B$6</f>
        <v>283.45706011363643</v>
      </c>
      <c r="L18" s="89">
        <f>$H$18*L$13-$B$6</f>
        <v>371.20706011363654</v>
      </c>
      <c r="M18" s="89">
        <f>$H$18*M$13-$B$6</f>
        <v>502.83206011363654</v>
      </c>
    </row>
    <row r="20" spans="1:13" x14ac:dyDescent="0.15">
      <c r="A20" s="465" t="s">
        <v>54</v>
      </c>
      <c r="B20" s="465"/>
      <c r="C20" s="465"/>
      <c r="D20" s="465"/>
      <c r="E20" s="465"/>
      <c r="F20" s="465"/>
      <c r="H20" s="466" t="s">
        <v>121</v>
      </c>
      <c r="I20" s="466"/>
      <c r="J20" s="466"/>
      <c r="K20" s="466"/>
      <c r="L20" s="466"/>
      <c r="M20" s="466"/>
    </row>
    <row r="21" spans="1:13" s="62" customFormat="1" ht="12" x14ac:dyDescent="0.15">
      <c r="A21" s="464" t="s">
        <v>36</v>
      </c>
      <c r="B21" s="464"/>
      <c r="C21" s="464"/>
      <c r="D21" s="464"/>
      <c r="E21" s="464"/>
      <c r="F21" s="464"/>
      <c r="H21" s="467" t="s">
        <v>36</v>
      </c>
      <c r="I21" s="467"/>
      <c r="J21" s="467"/>
      <c r="K21" s="467"/>
      <c r="L21" s="467"/>
      <c r="M21" s="467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15">
      <c r="A24" s="84">
        <f>Irrigated!A24</f>
        <v>4.0599999999999996</v>
      </c>
      <c r="B24" s="85">
        <f>$A$24*B$23-$F$6</f>
        <v>-127.49851444999999</v>
      </c>
      <c r="C24" s="85">
        <f>$A$24*C$23-$F$6</f>
        <v>-87.91351444999998</v>
      </c>
      <c r="D24" s="85">
        <f>$A$24*D$23-$F$6</f>
        <v>-61.523514449999993</v>
      </c>
      <c r="E24" s="85">
        <f>$A$24*E$23-$F$6</f>
        <v>-35.133514450000007</v>
      </c>
      <c r="F24" s="85">
        <f>$A$24*F$23-$F$6</f>
        <v>4.4514855499999726</v>
      </c>
      <c r="H24" s="90">
        <f>Irrigated!H24</f>
        <v>308</v>
      </c>
      <c r="I24" s="85">
        <f>$H$24*I$23/2000-$C$6</f>
        <v>-251.28784999999999</v>
      </c>
      <c r="J24" s="85">
        <f>$H$24*J$23/2000-$C$6</f>
        <v>-172.74784999999997</v>
      </c>
      <c r="K24" s="85">
        <f>$H$24*K$23/2000-$C$6</f>
        <v>-120.38784999999996</v>
      </c>
      <c r="L24" s="85">
        <f>$H$24*L$23/2000-$C$6</f>
        <v>-68.02784999999983</v>
      </c>
      <c r="M24" s="85">
        <f>$H$24*M$23/2000-$C$6</f>
        <v>10.51215000000002</v>
      </c>
    </row>
    <row r="25" spans="1:13" x14ac:dyDescent="0.15">
      <c r="A25" s="86">
        <f>Irrigated!A25</f>
        <v>4.93</v>
      </c>
      <c r="B25" s="87">
        <f>$A$25*B$23-$F$6</f>
        <v>-85.086014449999993</v>
      </c>
      <c r="C25" s="87">
        <f>$A$25*C$23-$F$6</f>
        <v>-37.018514449999998</v>
      </c>
      <c r="D25" s="87">
        <f>$A$25*D$23-$F$6</f>
        <v>-4.9735144499999819</v>
      </c>
      <c r="E25" s="87">
        <f>$A$25*E$23-$F$6</f>
        <v>27.071485550000034</v>
      </c>
      <c r="F25" s="87">
        <f>$A$25*F$23-$F$6</f>
        <v>75.138985550000029</v>
      </c>
      <c r="H25" s="91">
        <f>Irrigated!H25</f>
        <v>374</v>
      </c>
      <c r="I25" s="87">
        <f>$H$25*I$23/2000-$C$6</f>
        <v>-167.13784999999996</v>
      </c>
      <c r="J25" s="87">
        <f>$H$25*J$23/2000-$C$6</f>
        <v>-71.767849999999953</v>
      </c>
      <c r="K25" s="87">
        <f>$H$25*K$23/2000-$C$6</f>
        <v>-8.1878500000000258</v>
      </c>
      <c r="L25" s="87">
        <f>$H$25*L$23/2000-$C$6</f>
        <v>55.392150000000129</v>
      </c>
      <c r="M25" s="87">
        <f>$H$25*M$23/2000-$C$6</f>
        <v>150.76215000000002</v>
      </c>
    </row>
    <row r="26" spans="1:13" x14ac:dyDescent="0.15">
      <c r="A26" s="86">
        <f>Irrigated!A26</f>
        <v>5.8</v>
      </c>
      <c r="B26" s="87">
        <f>$A$26*B$23-$F$6</f>
        <v>-42.673514449999971</v>
      </c>
      <c r="C26" s="87">
        <f>$A$26*C$23-$F$6</f>
        <v>13.876485550000041</v>
      </c>
      <c r="D26" s="87">
        <f>$A$26*D$23-$F$6</f>
        <v>51.576485550000029</v>
      </c>
      <c r="E26" s="87">
        <f>$A$26*E$23-$F$6</f>
        <v>89.276485550000018</v>
      </c>
      <c r="F26" s="87">
        <f>$A$26*F$23-$F$6</f>
        <v>145.82648555000003</v>
      </c>
      <c r="H26" s="91">
        <f>Irrigated!H26</f>
        <v>440</v>
      </c>
      <c r="I26" s="87">
        <f>$H$26*I$23/2000-$C$6</f>
        <v>-82.98784999999998</v>
      </c>
      <c r="J26" s="87">
        <f>$H$26*J$23/2000-$C$6</f>
        <v>29.212150000000065</v>
      </c>
      <c r="K26" s="87">
        <f>$H$26*K$23/2000-$C$6</f>
        <v>104.01215000000002</v>
      </c>
      <c r="L26" s="87">
        <f>$H$26*L$23/2000-$C$6</f>
        <v>178.81215000000009</v>
      </c>
      <c r="M26" s="87">
        <f>$H$26*M$23/2000-$C$6</f>
        <v>291.01215000000002</v>
      </c>
    </row>
    <row r="27" spans="1:13" x14ac:dyDescent="0.15">
      <c r="A27" s="86">
        <f>Irrigated!A27</f>
        <v>6.669999999999999</v>
      </c>
      <c r="B27" s="87">
        <f>$A$27*B$23-$F$6</f>
        <v>-0.26101445000000467</v>
      </c>
      <c r="C27" s="87">
        <f>$A$27*C$23-$F$6</f>
        <v>64.771485549999966</v>
      </c>
      <c r="D27" s="87">
        <f>$A$27*D$23-$F$6</f>
        <v>108.12648554999998</v>
      </c>
      <c r="E27" s="87">
        <f>$A$27*E$23-$F$6</f>
        <v>151.48148554999995</v>
      </c>
      <c r="F27" s="87">
        <f>$A$27*F$23-$F$6</f>
        <v>216.51398554999992</v>
      </c>
      <c r="H27" s="91">
        <f>Irrigated!H27</f>
        <v>505.99999999999994</v>
      </c>
      <c r="I27" s="87">
        <f>$H$27*I$23/2000-$C$6</f>
        <v>1.1621499999998832</v>
      </c>
      <c r="J27" s="87">
        <f>$H$27*J$23/2000-$C$6</f>
        <v>130.19214999999986</v>
      </c>
      <c r="K27" s="87">
        <f>$H$27*K$23/2000-$C$6</f>
        <v>216.21214999999995</v>
      </c>
      <c r="L27" s="87">
        <f>$H$27*L$23/2000-$C$6</f>
        <v>302.23215000000005</v>
      </c>
      <c r="M27" s="87">
        <f>$H$27*M$23/2000-$C$6</f>
        <v>431.26214999999979</v>
      </c>
    </row>
    <row r="28" spans="1:13" x14ac:dyDescent="0.15">
      <c r="A28" s="88">
        <f>Irrigated!A28</f>
        <v>7.54</v>
      </c>
      <c r="B28" s="89">
        <f>$A$28*B$23-$F$6</f>
        <v>42.151485550000018</v>
      </c>
      <c r="C28" s="89">
        <f>$A$28*C$23-$F$6</f>
        <v>115.66648555</v>
      </c>
      <c r="D28" s="89">
        <f>$A$28*D$23-$F$6</f>
        <v>164.67648555000005</v>
      </c>
      <c r="E28" s="89">
        <f>$A$28*E$23-$F$6</f>
        <v>213.68648555000004</v>
      </c>
      <c r="F28" s="89">
        <f>$A$28*F$23-$F$6</f>
        <v>287.20148555000003</v>
      </c>
      <c r="H28" s="92">
        <f>Irrigated!H28</f>
        <v>572</v>
      </c>
      <c r="I28" s="89">
        <f>$H$28*I$23/2000-$C$6</f>
        <v>85.312149999999974</v>
      </c>
      <c r="J28" s="89">
        <f>$H$28*J$23/2000-$C$6</f>
        <v>231.17214999999999</v>
      </c>
      <c r="K28" s="89">
        <f>$H$28*K$23/2000-$C$6</f>
        <v>328.41215</v>
      </c>
      <c r="L28" s="89">
        <f>$H$28*L$23/2000-$C$6</f>
        <v>425.65215000000035</v>
      </c>
      <c r="M28" s="89">
        <f>$H$28*M$23/2000-$C$6</f>
        <v>571.51215000000002</v>
      </c>
    </row>
    <row r="30" spans="1:13" x14ac:dyDescent="0.15">
      <c r="A30" s="465" t="s">
        <v>53</v>
      </c>
      <c r="B30" s="465"/>
      <c r="C30" s="465"/>
      <c r="D30" s="465"/>
      <c r="E30" s="465"/>
      <c r="F30" s="465"/>
      <c r="H30" s="465" t="s">
        <v>63</v>
      </c>
      <c r="I30" s="465"/>
      <c r="J30" s="465"/>
      <c r="K30" s="465"/>
      <c r="L30" s="465"/>
      <c r="M30" s="465"/>
    </row>
    <row r="31" spans="1:13" s="62" customFormat="1" ht="12" x14ac:dyDescent="0.15">
      <c r="A31" s="464" t="s">
        <v>36</v>
      </c>
      <c r="B31" s="464"/>
      <c r="C31" s="464"/>
      <c r="D31" s="464"/>
      <c r="E31" s="464"/>
      <c r="F31" s="464"/>
      <c r="H31" s="464" t="s">
        <v>36</v>
      </c>
      <c r="I31" s="464"/>
      <c r="J31" s="464"/>
      <c r="K31" s="464"/>
      <c r="L31" s="464"/>
      <c r="M31" s="464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15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H33" s="83" t="s">
        <v>42</v>
      </c>
      <c r="I33" s="78">
        <f>0.75*K33</f>
        <v>41.25</v>
      </c>
      <c r="J33" s="78">
        <f>0.9*K33</f>
        <v>49.5</v>
      </c>
      <c r="K33" s="78">
        <f>G3</f>
        <v>55</v>
      </c>
      <c r="L33" s="78">
        <f>K33*1.1</f>
        <v>60.500000000000007</v>
      </c>
      <c r="M33" s="78">
        <f>K33*1.25</f>
        <v>68.75</v>
      </c>
    </row>
    <row r="34" spans="1:13" x14ac:dyDescent="0.15">
      <c r="A34" s="84">
        <f>Irrigated!A34</f>
        <v>8.0499999999999989</v>
      </c>
      <c r="B34" s="85">
        <f>$A$34*B$33-$E$6</f>
        <v>-115.11354555000005</v>
      </c>
      <c r="C34" s="85">
        <f>$A$34*C$33-$E$6</f>
        <v>-78.88854555000006</v>
      </c>
      <c r="D34" s="85">
        <f>$A$34*D$33-$E$6</f>
        <v>-54.738545550000055</v>
      </c>
      <c r="E34" s="85">
        <f>$A$34*E$33-$E$6</f>
        <v>-30.588545550000049</v>
      </c>
      <c r="F34" s="85">
        <f>$A$34*F$33-$E$6</f>
        <v>5.636454449999917</v>
      </c>
      <c r="H34" s="84">
        <f>Irrigated!H34</f>
        <v>4.8999999999999995</v>
      </c>
      <c r="I34" s="85">
        <f>$H$34*I$33-$G$6</f>
        <v>-128.47013795000001</v>
      </c>
      <c r="J34" s="85">
        <f>$H$34*J$33-$G$6</f>
        <v>-88.045137949999997</v>
      </c>
      <c r="K34" s="85">
        <f>$H$34*K$33-$G$6</f>
        <v>-61.095137950000037</v>
      </c>
      <c r="L34" s="85">
        <f>$H$34*L$33-$G$6</f>
        <v>-34.145137949999992</v>
      </c>
      <c r="M34" s="85">
        <f>$H$34*M$33-$G$6</f>
        <v>6.2798620499999629</v>
      </c>
    </row>
    <row r="35" spans="1:13" x14ac:dyDescent="0.15">
      <c r="A35" s="86">
        <f>Irrigated!A35</f>
        <v>9.7750000000000004</v>
      </c>
      <c r="B35" s="87">
        <f>$A$35*B$33-$E$6</f>
        <v>-76.301045550000026</v>
      </c>
      <c r="C35" s="87">
        <f>$A$35*C$33-$E$6</f>
        <v>-32.313545550000015</v>
      </c>
      <c r="D35" s="87">
        <f>$A$35*D$33-$E$6</f>
        <v>-2.9885455500000262</v>
      </c>
      <c r="E35" s="87">
        <f>$A$35*E$33-$E$6</f>
        <v>26.336454449999962</v>
      </c>
      <c r="F35" s="87">
        <f>$A$35*F$33-$E$6</f>
        <v>70.323954449999974</v>
      </c>
      <c r="H35" s="86">
        <f>Irrigated!H35</f>
        <v>5.95</v>
      </c>
      <c r="I35" s="87">
        <f>$H$35*I$33-$G$6</f>
        <v>-85.15763794999998</v>
      </c>
      <c r="J35" s="87">
        <f>$H$35*J$33-$G$6</f>
        <v>-36.070137949999946</v>
      </c>
      <c r="K35" s="87">
        <f>$H$35*K$33-$G$6</f>
        <v>-3.3451379499999803</v>
      </c>
      <c r="L35" s="87">
        <f>$H$35*L$33-$G$6</f>
        <v>29.379862050000099</v>
      </c>
      <c r="M35" s="87">
        <f>$H$35*M$33-$G$6</f>
        <v>78.46736205000002</v>
      </c>
    </row>
    <row r="36" spans="1:13" x14ac:dyDescent="0.15">
      <c r="A36" s="86">
        <f>Irrigated!A36</f>
        <v>11.5</v>
      </c>
      <c r="B36" s="87">
        <f>$A$36*B$33-$E$6</f>
        <v>-37.488545550000026</v>
      </c>
      <c r="C36" s="87">
        <f>$A$36*C$33-$E$6</f>
        <v>14.261454449999974</v>
      </c>
      <c r="D36" s="87">
        <f>$A$36*D$33-$E$6</f>
        <v>48.761454449999974</v>
      </c>
      <c r="E36" s="87">
        <f>$A$36*E$33-$E$6</f>
        <v>83.261454449999974</v>
      </c>
      <c r="F36" s="87">
        <f>$A$36*F$33-$E$6</f>
        <v>135.01145444999997</v>
      </c>
      <c r="H36" s="86">
        <f>Irrigated!H36</f>
        <v>7</v>
      </c>
      <c r="I36" s="87">
        <f>$H$36*I$33-$G$6</f>
        <v>-41.84513794999998</v>
      </c>
      <c r="J36" s="87">
        <f>$H$36*J$33-$G$6</f>
        <v>15.90486205000002</v>
      </c>
      <c r="K36" s="87">
        <f>$H$36*K$33-$G$6</f>
        <v>54.40486205000002</v>
      </c>
      <c r="L36" s="87">
        <f>$H$36*L$33-$G$6</f>
        <v>92.904862050000077</v>
      </c>
      <c r="M36" s="87">
        <f>$H$36*M$33-$G$6</f>
        <v>150.65486205000002</v>
      </c>
    </row>
    <row r="37" spans="1:13" x14ac:dyDescent="0.15">
      <c r="A37" s="86">
        <f>Irrigated!A37</f>
        <v>13.225</v>
      </c>
      <c r="B37" s="87">
        <f>$A$37*B$33-$E$6</f>
        <v>1.3239544499999738</v>
      </c>
      <c r="C37" s="87">
        <f>$A$37*C$33-$E$6</f>
        <v>60.836454449999962</v>
      </c>
      <c r="D37" s="87">
        <f>$A$37*D$33-$E$6</f>
        <v>100.51145444999997</v>
      </c>
      <c r="E37" s="87">
        <f>$A$37*E$33-$E$6</f>
        <v>140.18645444999999</v>
      </c>
      <c r="F37" s="87">
        <f>$A$37*F$33-$E$6</f>
        <v>199.69895444999997</v>
      </c>
      <c r="H37" s="86">
        <f>Irrigated!H37</f>
        <v>8.0499999999999989</v>
      </c>
      <c r="I37" s="87">
        <f>$H$37*I$33-$G$6</f>
        <v>1.4673620499999629</v>
      </c>
      <c r="J37" s="87">
        <f>$H$37*J$33-$G$6</f>
        <v>67.879862049999986</v>
      </c>
      <c r="K37" s="87">
        <f>$H$37*K$33-$G$6</f>
        <v>112.15486204999996</v>
      </c>
      <c r="L37" s="87">
        <f>$H$37*L$33-$G$6</f>
        <v>156.42986205</v>
      </c>
      <c r="M37" s="87">
        <f>$H$37*M$33-$G$6</f>
        <v>222.84236204999991</v>
      </c>
    </row>
    <row r="38" spans="1:13" x14ac:dyDescent="0.15">
      <c r="A38" s="88">
        <f>Irrigated!A38</f>
        <v>14.950000000000001</v>
      </c>
      <c r="B38" s="89">
        <f>$A$38*B$33-$E$6</f>
        <v>40.136454449999974</v>
      </c>
      <c r="C38" s="89">
        <f>$A$38*C$33-$E$6</f>
        <v>107.41145445000001</v>
      </c>
      <c r="D38" s="89">
        <f>$A$38*D$33-$E$6</f>
        <v>152.26145445000003</v>
      </c>
      <c r="E38" s="89">
        <f>$A$38*E$33-$E$6</f>
        <v>197.11145445</v>
      </c>
      <c r="F38" s="89">
        <f>$A$38*F$33-$E$6</f>
        <v>264.38645444999997</v>
      </c>
      <c r="H38" s="88">
        <f>Irrigated!H38</f>
        <v>9.1</v>
      </c>
      <c r="I38" s="89">
        <f>$H$38*I$33-$G$6</f>
        <v>44.77986205000002</v>
      </c>
      <c r="J38" s="89">
        <f>$H$38*J$33-$G$6</f>
        <v>119.85486205000001</v>
      </c>
      <c r="K38" s="89">
        <f>$H$38*K$33-$G$6</f>
        <v>169.90486205000002</v>
      </c>
      <c r="L38" s="89">
        <f>$H$38*L$33-$G$6</f>
        <v>219.95486205000009</v>
      </c>
      <c r="M38" s="89">
        <f>$H$38*M$33-$G$6</f>
        <v>295.02986205000002</v>
      </c>
    </row>
    <row r="39" spans="1:13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5">
    <mergeCell ref="A10:F10"/>
    <mergeCell ref="A11:F11"/>
    <mergeCell ref="B1:G1"/>
    <mergeCell ref="A7:M7"/>
    <mergeCell ref="H10:M10"/>
    <mergeCell ref="H11:M11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ignoredErrors>
    <ignoredError sqref="A29:F29 A19:F19 A57:F57 A47:F47" numberStoredAsText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 x14ac:dyDescent="0.15"/>
  <cols>
    <col min="1" max="13" width="9.33203125" style="75" customWidth="1"/>
    <col min="14" max="14" width="6.5" style="75" bestFit="1" customWidth="1"/>
    <col min="15" max="16384" width="9.6640625" style="75"/>
  </cols>
  <sheetData>
    <row r="1" spans="1:13" s="62" customFormat="1" ht="12" hidden="1" x14ac:dyDescent="0.15">
      <c r="A1" s="61"/>
      <c r="B1" s="473" t="s">
        <v>45</v>
      </c>
      <c r="C1" s="473"/>
      <c r="D1" s="473"/>
      <c r="E1" s="473"/>
      <c r="F1" s="473"/>
      <c r="G1" s="61"/>
    </row>
    <row r="2" spans="1:13" s="62" customFormat="1" ht="12" hidden="1" x14ac:dyDescent="0.15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</row>
    <row r="3" spans="1:13" s="62" customFormat="1" ht="12" hidden="1" x14ac:dyDescent="0.15">
      <c r="A3" s="63" t="s">
        <v>41</v>
      </c>
      <c r="B3" s="65">
        <f>'Strip-Till'!B7</f>
        <v>1200</v>
      </c>
      <c r="C3" s="65">
        <f>'Strip-Till'!D7</f>
        <v>4700</v>
      </c>
      <c r="D3" s="65">
        <f>'Strip-Till'!F7</f>
        <v>200</v>
      </c>
      <c r="E3" s="65">
        <f>'Strip-Till'!H7</f>
        <v>60</v>
      </c>
      <c r="F3" s="65">
        <f>'Strip-Till'!J7</f>
        <v>100</v>
      </c>
    </row>
    <row r="4" spans="1:13" s="62" customFormat="1" ht="12" hidden="1" x14ac:dyDescent="0.15">
      <c r="A4" s="62" t="s">
        <v>42</v>
      </c>
      <c r="B4" s="67">
        <f>'Strip-Till'!B8</f>
        <v>0.9</v>
      </c>
      <c r="C4" s="68">
        <f>'Strip-Till'!D8</f>
        <v>440</v>
      </c>
      <c r="D4" s="69">
        <f>'Strip-Till'!F8</f>
        <v>6</v>
      </c>
      <c r="E4" s="69">
        <f>'Strip-Till'!H8</f>
        <v>11.5</v>
      </c>
      <c r="F4" s="69">
        <f>'Strip-Till'!J8</f>
        <v>5.8</v>
      </c>
      <c r="G4" s="69"/>
    </row>
    <row r="5" spans="1:13" s="62" customFormat="1" ht="12" hidden="1" x14ac:dyDescent="0.15">
      <c r="A5" s="70" t="s">
        <v>44</v>
      </c>
      <c r="B5" s="71">
        <f>B3*B4</f>
        <v>1080</v>
      </c>
      <c r="C5" s="71">
        <f>C3*C4/2000</f>
        <v>1034</v>
      </c>
      <c r="D5" s="71">
        <f>D3*D4</f>
        <v>1200</v>
      </c>
      <c r="E5" s="71">
        <f>E3*E4</f>
        <v>690</v>
      </c>
      <c r="F5" s="71">
        <f>F3*F4</f>
        <v>580</v>
      </c>
      <c r="G5" s="72"/>
    </row>
    <row r="6" spans="1:13" s="62" customFormat="1" ht="12" hidden="1" x14ac:dyDescent="0.15">
      <c r="A6" s="70" t="s">
        <v>43</v>
      </c>
      <c r="B6" s="73">
        <f>'Strip-Till'!B31</f>
        <v>740.15116731818171</v>
      </c>
      <c r="C6" s="73">
        <f>'Strip-Till'!D31</f>
        <v>713.81065000000012</v>
      </c>
      <c r="D6" s="73">
        <f>'Strip-Till'!F31</f>
        <v>913.58013500000004</v>
      </c>
      <c r="E6" s="73">
        <f>'Strip-Till'!H31</f>
        <v>337.57228125</v>
      </c>
      <c r="F6" s="73">
        <f>'Strip-Till'!J31</f>
        <v>466.98184000000003</v>
      </c>
      <c r="G6" s="68"/>
    </row>
    <row r="7" spans="1:13" s="62" customFormat="1" ht="16" x14ac:dyDescent="0.2">
      <c r="A7" s="472" t="s">
        <v>129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71" t="s">
        <v>153</v>
      </c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</row>
    <row r="10" spans="1:13" x14ac:dyDescent="0.15">
      <c r="A10" s="465" t="s">
        <v>55</v>
      </c>
      <c r="B10" s="465"/>
      <c r="C10" s="465"/>
      <c r="D10" s="465"/>
      <c r="E10" s="465"/>
      <c r="F10" s="465"/>
      <c r="H10" s="465" t="s">
        <v>56</v>
      </c>
      <c r="I10" s="465"/>
      <c r="J10" s="465"/>
      <c r="K10" s="465"/>
      <c r="L10" s="465"/>
      <c r="M10" s="465"/>
    </row>
    <row r="11" spans="1:13" s="62" customFormat="1" ht="12" x14ac:dyDescent="0.15">
      <c r="A11" s="464" t="s">
        <v>36</v>
      </c>
      <c r="B11" s="464"/>
      <c r="C11" s="464"/>
      <c r="D11" s="464"/>
      <c r="E11" s="464"/>
      <c r="F11" s="464"/>
      <c r="H11" s="468" t="s">
        <v>36</v>
      </c>
      <c r="I11" s="468"/>
      <c r="J11" s="468"/>
      <c r="K11" s="468"/>
      <c r="L11" s="468"/>
      <c r="M11" s="468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15">
      <c r="A14" s="84">
        <f>Irrigated!A14</f>
        <v>4.1999999999999993</v>
      </c>
      <c r="B14" s="85">
        <f>$A$14*B$13-$D$6</f>
        <v>-283.58013500000015</v>
      </c>
      <c r="C14" s="85">
        <f>$A$14*C$13-$D$6</f>
        <v>-157.58013500000015</v>
      </c>
      <c r="D14" s="85">
        <f>$A$14*D$13-$D$6</f>
        <v>-73.580135000000155</v>
      </c>
      <c r="E14" s="85">
        <f>$A$14*E$13-$D$6</f>
        <v>10.419864999999959</v>
      </c>
      <c r="F14" s="85">
        <f>$A$14*F$13-$D$6</f>
        <v>136.41986499999973</v>
      </c>
      <c r="H14" s="84">
        <f>Irrigated!H14</f>
        <v>0.63</v>
      </c>
      <c r="I14" s="87">
        <f>$H$14*$I$13-$B$6</f>
        <v>-173.15116731818171</v>
      </c>
      <c r="J14" s="87">
        <f>$H$14*J13-$B$6</f>
        <v>-59.751167318181729</v>
      </c>
      <c r="K14" s="87">
        <f>$H$14*K13-$B$6</f>
        <v>15.848832681818294</v>
      </c>
      <c r="L14" s="87">
        <f>$H$14*L13-$B$6</f>
        <v>91.448832681818317</v>
      </c>
      <c r="M14" s="87">
        <f>$H$14*M13-$B$6</f>
        <v>204.84883268181829</v>
      </c>
    </row>
    <row r="15" spans="1:13" x14ac:dyDescent="0.15">
      <c r="A15" s="86">
        <f>Irrigated!A15</f>
        <v>5.0999999999999996</v>
      </c>
      <c r="B15" s="87">
        <f>$A$15*B$13-$D$6</f>
        <v>-148.58013500000004</v>
      </c>
      <c r="C15" s="87">
        <f>$A$15*C$13-$D$6</f>
        <v>4.4198649999998452</v>
      </c>
      <c r="D15" s="87">
        <f>$A$15*D$13-$D$6</f>
        <v>106.41986499999985</v>
      </c>
      <c r="E15" s="87">
        <f>$A$15*E$13-$D$6</f>
        <v>208.41986499999996</v>
      </c>
      <c r="F15" s="87">
        <f>$A$15*F$13-$D$6</f>
        <v>361.41986499999996</v>
      </c>
      <c r="H15" s="86">
        <f>Irrigated!H15</f>
        <v>0.76500000000000001</v>
      </c>
      <c r="I15" s="87">
        <f>$H$15*$I$13-$B$6</f>
        <v>-51.651167318181706</v>
      </c>
      <c r="J15" s="87">
        <f>$H$15*J13-$B$6</f>
        <v>86.04883268181834</v>
      </c>
      <c r="K15" s="87">
        <f>$H$15*K13-$B$6</f>
        <v>177.84883268181829</v>
      </c>
      <c r="L15" s="87">
        <f>$H$15*L13-$B$6</f>
        <v>269.64883268181836</v>
      </c>
      <c r="M15" s="87">
        <f>$H$15*M13-$B$6</f>
        <v>407.34883268181829</v>
      </c>
    </row>
    <row r="16" spans="1:13" x14ac:dyDescent="0.15">
      <c r="A16" s="86">
        <f>Irrigated!A16</f>
        <v>6</v>
      </c>
      <c r="B16" s="87">
        <f>$A$16*B$13-$D$6</f>
        <v>-13.580135000000041</v>
      </c>
      <c r="C16" s="87">
        <f>$A$16*C$13-$D$6</f>
        <v>166.41986499999996</v>
      </c>
      <c r="D16" s="87">
        <f>$A$16*D$13-$D$6</f>
        <v>286.41986499999996</v>
      </c>
      <c r="E16" s="87">
        <f>$A$16*E$13-$D$6</f>
        <v>406.41986500000019</v>
      </c>
      <c r="F16" s="87">
        <f>$A$16*F$13-$D$6</f>
        <v>586.41986499999996</v>
      </c>
      <c r="H16" s="86">
        <f>Irrigated!H16</f>
        <v>0.9</v>
      </c>
      <c r="I16" s="87">
        <f>$H$16*$I$13-$B$6</f>
        <v>69.848832681818294</v>
      </c>
      <c r="J16" s="87">
        <f>$H$16*J13-$B$6</f>
        <v>231.84883268181829</v>
      </c>
      <c r="K16" s="87">
        <f>$H$16*K13-$B$6</f>
        <v>339.84883268181829</v>
      </c>
      <c r="L16" s="87">
        <f>$H$16*L13-$B$6</f>
        <v>447.84883268181829</v>
      </c>
      <c r="M16" s="87">
        <f>$H$16*M13-$B$6</f>
        <v>609.84883268181829</v>
      </c>
    </row>
    <row r="17" spans="1:13" x14ac:dyDescent="0.15">
      <c r="A17" s="86">
        <f>Irrigated!A17</f>
        <v>6.8999999999999995</v>
      </c>
      <c r="B17" s="87">
        <f>$A$17*B$13-$D$6</f>
        <v>121.41986499999996</v>
      </c>
      <c r="C17" s="87">
        <f>$A$17*C$13-$D$6</f>
        <v>328.41986499999996</v>
      </c>
      <c r="D17" s="87">
        <f>$A$17*D$13-$D$6</f>
        <v>466.41986499999996</v>
      </c>
      <c r="E17" s="87">
        <f>$A$17*E$13-$D$6</f>
        <v>604.41986499999996</v>
      </c>
      <c r="F17" s="87">
        <f>$A$17*F$13-$D$6</f>
        <v>811.41986499999973</v>
      </c>
      <c r="H17" s="86">
        <f>Irrigated!H17</f>
        <v>1.0349999999999999</v>
      </c>
      <c r="I17" s="87">
        <f>$H$17*$I$13-$B$6</f>
        <v>191.34883268181818</v>
      </c>
      <c r="J17" s="87">
        <f>$H$17*J13-$B$6</f>
        <v>377.64883268181825</v>
      </c>
      <c r="K17" s="87">
        <f>$H$17*K13-$B$6</f>
        <v>501.84883268181829</v>
      </c>
      <c r="L17" s="87">
        <f>$H$17*L13-$B$6</f>
        <v>626.04883268181811</v>
      </c>
      <c r="M17" s="87">
        <f>$H$17*M13-$B$6</f>
        <v>812.34883268181807</v>
      </c>
    </row>
    <row r="18" spans="1:13" x14ac:dyDescent="0.15">
      <c r="A18" s="88">
        <f>Irrigated!A18</f>
        <v>7.8000000000000007</v>
      </c>
      <c r="B18" s="89">
        <f>$A$18*B$13-$D$6</f>
        <v>256.41986499999996</v>
      </c>
      <c r="C18" s="89">
        <f>$A$18*C$13-$D$6</f>
        <v>490.41986500000019</v>
      </c>
      <c r="D18" s="89">
        <f>$A$18*D$13-$D$6</f>
        <v>646.41986500000019</v>
      </c>
      <c r="E18" s="89">
        <f>$A$18*E$13-$D$6</f>
        <v>802.41986500000041</v>
      </c>
      <c r="F18" s="89">
        <f>$A$18*F$13-$D$6</f>
        <v>1036.4198650000003</v>
      </c>
      <c r="H18" s="88">
        <f>Irrigated!H18</f>
        <v>1.1700000000000002</v>
      </c>
      <c r="I18" s="89">
        <f>$H$18*$I$13-$B$6</f>
        <v>312.84883268181852</v>
      </c>
      <c r="J18" s="89">
        <f>$H$18*J13-$B$6</f>
        <v>523.44883268181843</v>
      </c>
      <c r="K18" s="89">
        <f>$H$18*K13-$B$6</f>
        <v>663.84883268181852</v>
      </c>
      <c r="L18" s="89">
        <f>$H$18*L13-$B$6</f>
        <v>804.24883268181839</v>
      </c>
      <c r="M18" s="89">
        <f>$H$18*M13-$B$6</f>
        <v>1014.8488326818185</v>
      </c>
    </row>
    <row r="20" spans="1:13" x14ac:dyDescent="0.15">
      <c r="A20" s="465" t="s">
        <v>57</v>
      </c>
      <c r="B20" s="465"/>
      <c r="C20" s="465"/>
      <c r="D20" s="465"/>
      <c r="E20" s="465"/>
      <c r="F20" s="465"/>
      <c r="H20" s="466" t="s">
        <v>122</v>
      </c>
      <c r="I20" s="466"/>
      <c r="J20" s="466"/>
      <c r="K20" s="466"/>
      <c r="L20" s="466"/>
      <c r="M20" s="466"/>
    </row>
    <row r="21" spans="1:13" s="62" customFormat="1" ht="12" x14ac:dyDescent="0.15">
      <c r="A21" s="464" t="s">
        <v>36</v>
      </c>
      <c r="B21" s="464"/>
      <c r="C21" s="464"/>
      <c r="D21" s="464"/>
      <c r="E21" s="464"/>
      <c r="F21" s="464"/>
      <c r="H21" s="467" t="s">
        <v>36</v>
      </c>
      <c r="I21" s="467"/>
      <c r="J21" s="467"/>
      <c r="K21" s="467"/>
      <c r="L21" s="467"/>
      <c r="M21" s="467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15">
      <c r="A24" s="84">
        <f>Irrigated!A24</f>
        <v>4.0599999999999996</v>
      </c>
      <c r="B24" s="85">
        <f>$A$24*B$23-$F$6</f>
        <v>-162.48184000000009</v>
      </c>
      <c r="C24" s="85">
        <f>$A$24*C$23-$F$6</f>
        <v>-101.58184000000006</v>
      </c>
      <c r="D24" s="85">
        <f>$A$24*D$23-$F$6</f>
        <v>-60.981840000000091</v>
      </c>
      <c r="E24" s="85">
        <f>$A$24*E$23-$F$6</f>
        <v>-20.381840000000011</v>
      </c>
      <c r="F24" s="85">
        <f>$A$24*F$23-$F$6</f>
        <v>40.518159999999909</v>
      </c>
      <c r="H24" s="90">
        <f>Irrigated!H24</f>
        <v>308</v>
      </c>
      <c r="I24" s="85">
        <f>$H$24*I$23/2000-$C$6</f>
        <v>-170.9606500000001</v>
      </c>
      <c r="J24" s="85">
        <f>$H$24*J$23/2000-$C$6</f>
        <v>-62.390650000000164</v>
      </c>
      <c r="K24" s="85">
        <f>$H$24*K$23/2000-$C$6</f>
        <v>9.9893499999998312</v>
      </c>
      <c r="L24" s="85">
        <f>$H$24*L$23/2000-$C$6</f>
        <v>82.369349999999827</v>
      </c>
      <c r="M24" s="85">
        <f>$H$24*M$23/2000-$C$6</f>
        <v>190.93934999999988</v>
      </c>
    </row>
    <row r="25" spans="1:13" x14ac:dyDescent="0.15">
      <c r="A25" s="86">
        <f>Irrigated!A25</f>
        <v>4.93</v>
      </c>
      <c r="B25" s="87">
        <f>$A$25*B$23-$F$6</f>
        <v>-97.231840000000034</v>
      </c>
      <c r="C25" s="87">
        <f>$A$25*C$23-$F$6</f>
        <v>-23.281840000000045</v>
      </c>
      <c r="D25" s="87">
        <f>$A$25*D$23-$F$6</f>
        <v>26.018159999999966</v>
      </c>
      <c r="E25" s="87">
        <f>$A$25*E$23-$F$6</f>
        <v>75.318160000000034</v>
      </c>
      <c r="F25" s="87">
        <f>$A$25*F$23-$F$6</f>
        <v>149.26815999999997</v>
      </c>
      <c r="H25" s="91">
        <f>Irrigated!H25</f>
        <v>374</v>
      </c>
      <c r="I25" s="87">
        <f>$H$25*I$23/2000-$C$6</f>
        <v>-54.635650000000169</v>
      </c>
      <c r="J25" s="87">
        <f>$H$25*J$23/2000-$C$6</f>
        <v>77.199349999999868</v>
      </c>
      <c r="K25" s="87">
        <f>$H$25*K$23/2000-$C$6</f>
        <v>165.08934999999985</v>
      </c>
      <c r="L25" s="87">
        <f>$H$25*L$23/2000-$C$6</f>
        <v>252.97934999999984</v>
      </c>
      <c r="M25" s="87">
        <f>$H$25*M$23/2000-$C$6</f>
        <v>384.81434999999988</v>
      </c>
    </row>
    <row r="26" spans="1:13" x14ac:dyDescent="0.15">
      <c r="A26" s="86">
        <f>Irrigated!A26</f>
        <v>5.8</v>
      </c>
      <c r="B26" s="87">
        <f>$A$26*B$23-$F$6</f>
        <v>-31.981840000000034</v>
      </c>
      <c r="C26" s="87">
        <f>$A$26*C$23-$F$6</f>
        <v>55.018159999999966</v>
      </c>
      <c r="D26" s="87">
        <f>$A$26*D$23-$F$6</f>
        <v>113.01815999999997</v>
      </c>
      <c r="E26" s="87">
        <f>$A$26*E$23-$F$6</f>
        <v>171.01816000000008</v>
      </c>
      <c r="F26" s="87">
        <f>$A$26*F$23-$F$6</f>
        <v>258.01815999999997</v>
      </c>
      <c r="H26" s="91">
        <f>Irrigated!H26</f>
        <v>440</v>
      </c>
      <c r="I26" s="87">
        <f>$H$26*I$23/2000-$C$6</f>
        <v>61.689349999999877</v>
      </c>
      <c r="J26" s="87">
        <f>$H$26*J$23/2000-$C$6</f>
        <v>216.7893499999999</v>
      </c>
      <c r="K26" s="87">
        <f>$H$26*K$23/2000-$C$6</f>
        <v>320.18934999999988</v>
      </c>
      <c r="L26" s="87">
        <f>$H$26*L$23/2000-$C$6</f>
        <v>423.58934999999997</v>
      </c>
      <c r="M26" s="87">
        <f>$H$26*M$23/2000-$C$6</f>
        <v>578.68934999999988</v>
      </c>
    </row>
    <row r="27" spans="1:13" x14ac:dyDescent="0.15">
      <c r="A27" s="86">
        <f>Irrigated!A27</f>
        <v>6.669999999999999</v>
      </c>
      <c r="B27" s="87">
        <f>$A$27*B$23-$F$6</f>
        <v>33.268159999999909</v>
      </c>
      <c r="C27" s="87">
        <f>$A$27*C$23-$F$6</f>
        <v>133.31815999999992</v>
      </c>
      <c r="D27" s="87">
        <f>$A$27*D$23-$F$6</f>
        <v>200.01815999999985</v>
      </c>
      <c r="E27" s="87">
        <f>$A$27*E$23-$F$6</f>
        <v>266.71816000000001</v>
      </c>
      <c r="F27" s="87">
        <f>$A$27*F$23-$F$6</f>
        <v>366.76815999999985</v>
      </c>
      <c r="H27" s="91">
        <f>Irrigated!H27</f>
        <v>505.99999999999994</v>
      </c>
      <c r="I27" s="87">
        <f>$H$27*I$23/2000-$C$6</f>
        <v>178.01434999999981</v>
      </c>
      <c r="J27" s="87">
        <f>$H$27*J$23/2000-$C$6</f>
        <v>356.3793499999997</v>
      </c>
      <c r="K27" s="87">
        <f>$H$27*K$23/2000-$C$6</f>
        <v>475.28934999999956</v>
      </c>
      <c r="L27" s="87">
        <f>$H$27*L$23/2000-$C$6</f>
        <v>594.19934999999964</v>
      </c>
      <c r="M27" s="87">
        <f>$H$27*M$23/2000-$C$6</f>
        <v>772.56434999999965</v>
      </c>
    </row>
    <row r="28" spans="1:13" x14ac:dyDescent="0.15">
      <c r="A28" s="88">
        <f>Irrigated!A28</f>
        <v>7.54</v>
      </c>
      <c r="B28" s="89">
        <f>$A$28*B$23-$F$6</f>
        <v>98.518159999999966</v>
      </c>
      <c r="C28" s="89">
        <f>$A$28*C$23-$F$6</f>
        <v>211.61815999999999</v>
      </c>
      <c r="D28" s="89">
        <f>$A$28*D$23-$F$6</f>
        <v>287.01815999999997</v>
      </c>
      <c r="E28" s="89">
        <f>$A$28*E$23-$F$6</f>
        <v>362.41816000000006</v>
      </c>
      <c r="F28" s="89">
        <f>$A$28*F$23-$F$6</f>
        <v>475.51815999999997</v>
      </c>
      <c r="H28" s="92">
        <f>Irrigated!H28</f>
        <v>572</v>
      </c>
      <c r="I28" s="89">
        <f>$H$28*I$23/2000-$C$6</f>
        <v>294.33934999999985</v>
      </c>
      <c r="J28" s="89">
        <f>$H$28*J$23/2000-$C$6</f>
        <v>495.96934999999985</v>
      </c>
      <c r="K28" s="89">
        <f>$H$28*K$23/2000-$C$6</f>
        <v>630.38934999999992</v>
      </c>
      <c r="L28" s="89">
        <f>$H$28*L$23/2000-$C$6</f>
        <v>764.80934999999977</v>
      </c>
      <c r="M28" s="89">
        <f>$H$28*M$23/2000-$C$6</f>
        <v>966.43934999999988</v>
      </c>
    </row>
    <row r="30" spans="1:13" x14ac:dyDescent="0.15">
      <c r="A30" s="465" t="s">
        <v>58</v>
      </c>
      <c r="B30" s="465"/>
      <c r="C30" s="465"/>
      <c r="D30" s="465"/>
      <c r="E30" s="465"/>
      <c r="F30" s="465"/>
    </row>
    <row r="31" spans="1:13" s="62" customFormat="1" ht="12" x14ac:dyDescent="0.15">
      <c r="A31" s="464" t="s">
        <v>36</v>
      </c>
      <c r="B31" s="464"/>
      <c r="C31" s="464"/>
      <c r="D31" s="464"/>
      <c r="E31" s="464"/>
      <c r="F31" s="464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</row>
    <row r="33" spans="1:6" x14ac:dyDescent="0.15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</row>
    <row r="34" spans="1:6" x14ac:dyDescent="0.15">
      <c r="A34" s="84">
        <f>Irrigated!A34</f>
        <v>8.0499999999999989</v>
      </c>
      <c r="B34" s="85">
        <f>$A$34*B$33-$E$6</f>
        <v>24.67771874999994</v>
      </c>
      <c r="C34" s="85">
        <f>$A$34*C$33-$E$6</f>
        <v>97.127718749999929</v>
      </c>
      <c r="D34" s="85">
        <f>$A$34*D$33-$E$6</f>
        <v>145.42771874999994</v>
      </c>
      <c r="E34" s="85">
        <f>$A$34*E$33-$E$6</f>
        <v>193.72771874999995</v>
      </c>
      <c r="F34" s="85">
        <f>$A$34*F$33-$E$6</f>
        <v>266.17771874999988</v>
      </c>
    </row>
    <row r="35" spans="1:6" x14ac:dyDescent="0.15">
      <c r="A35" s="86">
        <f>Irrigated!A35</f>
        <v>9.7750000000000004</v>
      </c>
      <c r="B35" s="87">
        <f>$A$35*B$33-$E$6</f>
        <v>102.30271875</v>
      </c>
      <c r="C35" s="87">
        <f>$A$35*C$33-$E$6</f>
        <v>190.27771875000002</v>
      </c>
      <c r="D35" s="87">
        <f>$A$35*D$33-$E$6</f>
        <v>248.92771875</v>
      </c>
      <c r="E35" s="87">
        <f>$A$35*E$33-$E$6</f>
        <v>307.57771874999997</v>
      </c>
      <c r="F35" s="87">
        <f>$A$35*F$33-$E$6</f>
        <v>395.55271875</v>
      </c>
    </row>
    <row r="36" spans="1:6" x14ac:dyDescent="0.15">
      <c r="A36" s="86">
        <f>Irrigated!A36</f>
        <v>11.5</v>
      </c>
      <c r="B36" s="87">
        <f>$A$36*B$33-$E$6</f>
        <v>179.92771875</v>
      </c>
      <c r="C36" s="87">
        <f>$A$36*C$33-$E$6</f>
        <v>283.42771875</v>
      </c>
      <c r="D36" s="87">
        <f>$A$36*D$33-$E$6</f>
        <v>352.42771875</v>
      </c>
      <c r="E36" s="87">
        <f>$A$36*E$33-$E$6</f>
        <v>421.42771875</v>
      </c>
      <c r="F36" s="87">
        <f>$A$36*F$33-$E$6</f>
        <v>524.92771874999994</v>
      </c>
    </row>
    <row r="37" spans="1:6" x14ac:dyDescent="0.15">
      <c r="A37" s="86">
        <f>Irrigated!A37</f>
        <v>13.225</v>
      </c>
      <c r="B37" s="87">
        <f>$A$37*B$33-$E$6</f>
        <v>257.55271875</v>
      </c>
      <c r="C37" s="87">
        <f>$A$37*C$33-$E$6</f>
        <v>376.57771874999997</v>
      </c>
      <c r="D37" s="87">
        <f>$A$37*D$33-$E$6</f>
        <v>455.92771875</v>
      </c>
      <c r="E37" s="87">
        <f>$A$37*E$33-$E$6</f>
        <v>535.27771875000008</v>
      </c>
      <c r="F37" s="87">
        <f>$A$37*F$33-$E$6</f>
        <v>654.30271874999994</v>
      </c>
    </row>
    <row r="38" spans="1:6" x14ac:dyDescent="0.15">
      <c r="A38" s="88">
        <f>Irrigated!A38</f>
        <v>14.950000000000001</v>
      </c>
      <c r="B38" s="89">
        <f>$A$38*B$33-$E$6</f>
        <v>335.17771875</v>
      </c>
      <c r="C38" s="89">
        <f>$A$38*C$33-$E$6</f>
        <v>469.72771875000007</v>
      </c>
      <c r="D38" s="89">
        <f>$A$38*D$33-$E$6</f>
        <v>559.42771875000017</v>
      </c>
      <c r="E38" s="89">
        <f>$A$38*E$33-$E$6</f>
        <v>649.12771874999999</v>
      </c>
      <c r="F38" s="89">
        <f>$A$38*F$33-$E$6</f>
        <v>783.67771874999994</v>
      </c>
    </row>
    <row r="39" spans="1:6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3">
    <mergeCell ref="A31:F31"/>
    <mergeCell ref="A20:F20"/>
    <mergeCell ref="A21:F21"/>
    <mergeCell ref="H21:M21"/>
    <mergeCell ref="A30:F30"/>
    <mergeCell ref="H20:M20"/>
    <mergeCell ref="B1:F1"/>
    <mergeCell ref="A7:M7"/>
    <mergeCell ref="A10:F10"/>
    <mergeCell ref="A11:F11"/>
    <mergeCell ref="H11:M11"/>
    <mergeCell ref="A9:M9"/>
    <mergeCell ref="H10:M1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 x14ac:dyDescent="0.15"/>
  <cols>
    <col min="1" max="13" width="9.33203125" style="75" customWidth="1"/>
    <col min="14" max="16384" width="9.6640625" style="75"/>
  </cols>
  <sheetData>
    <row r="1" spans="1:13" s="62" customFormat="1" ht="12" hidden="1" x14ac:dyDescent="0.15">
      <c r="B1" s="473" t="s">
        <v>46</v>
      </c>
      <c r="C1" s="473"/>
      <c r="D1" s="473"/>
      <c r="E1" s="473"/>
      <c r="F1" s="473"/>
      <c r="G1" s="93"/>
    </row>
    <row r="2" spans="1:13" s="62" customFormat="1" ht="12" hidden="1" x14ac:dyDescent="0.15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</row>
    <row r="3" spans="1:13" s="62" customFormat="1" ht="12" hidden="1" x14ac:dyDescent="0.15">
      <c r="A3" s="63" t="s">
        <v>41</v>
      </c>
      <c r="B3" s="65">
        <f>'Strip-Till'!L7</f>
        <v>750</v>
      </c>
      <c r="C3" s="65">
        <f>'Strip-Till'!N7</f>
        <v>3400</v>
      </c>
      <c r="D3" s="65">
        <f>'Strip-Till'!P7</f>
        <v>85</v>
      </c>
      <c r="E3" s="65">
        <f>'Strip-Till'!R7</f>
        <v>30</v>
      </c>
      <c r="F3" s="65">
        <f>'Strip-Till'!T7</f>
        <v>65</v>
      </c>
    </row>
    <row r="4" spans="1:13" s="62" customFormat="1" ht="12" hidden="1" x14ac:dyDescent="0.15">
      <c r="A4" s="62" t="s">
        <v>42</v>
      </c>
      <c r="B4" s="67">
        <f>'Strip-Till'!L8</f>
        <v>0.9</v>
      </c>
      <c r="C4" s="68">
        <f>'Strip-Till'!N8</f>
        <v>440</v>
      </c>
      <c r="D4" s="69">
        <f>'Strip-Till'!P8</f>
        <v>6</v>
      </c>
      <c r="E4" s="69">
        <f>'Strip-Till'!R8</f>
        <v>11.5</v>
      </c>
      <c r="F4" s="69">
        <f>'Strip-Till'!T8</f>
        <v>5.8</v>
      </c>
    </row>
    <row r="5" spans="1:13" s="62" customFormat="1" ht="12" hidden="1" x14ac:dyDescent="0.15">
      <c r="A5" s="70" t="s">
        <v>44</v>
      </c>
      <c r="B5" s="71">
        <f>B3*B4</f>
        <v>675</v>
      </c>
      <c r="C5" s="71">
        <f>C3*C4/2000</f>
        <v>748</v>
      </c>
      <c r="D5" s="71">
        <f>D3*D4</f>
        <v>510</v>
      </c>
      <c r="E5" s="71">
        <f>E3*E4</f>
        <v>345</v>
      </c>
      <c r="F5" s="71">
        <f>F3*F4</f>
        <v>377</v>
      </c>
    </row>
    <row r="6" spans="1:13" s="62" customFormat="1" ht="12" hidden="1" x14ac:dyDescent="0.15">
      <c r="A6" s="70" t="s">
        <v>43</v>
      </c>
      <c r="B6" s="73">
        <f>'Strip-Till'!L31</f>
        <v>631.99878988636362</v>
      </c>
      <c r="C6" s="73">
        <f>'Strip-Till'!N31</f>
        <v>627.97939999999994</v>
      </c>
      <c r="D6" s="73">
        <f>'Strip-Till'!P31</f>
        <v>448.75645457499996</v>
      </c>
      <c r="E6" s="73">
        <f>'Strip-Till'!R31</f>
        <v>287.60497679999997</v>
      </c>
      <c r="F6" s="73">
        <f>'Strip-Till'!T31</f>
        <v>313.48396444999997</v>
      </c>
    </row>
    <row r="7" spans="1:13" s="62" customFormat="1" ht="16" x14ac:dyDescent="0.2">
      <c r="A7" s="472" t="s">
        <v>130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71" t="s">
        <v>153</v>
      </c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</row>
    <row r="10" spans="1:13" x14ac:dyDescent="0.15">
      <c r="A10" s="465" t="s">
        <v>59</v>
      </c>
      <c r="B10" s="465"/>
      <c r="C10" s="465"/>
      <c r="D10" s="465"/>
      <c r="E10" s="465"/>
      <c r="F10" s="465"/>
      <c r="H10" s="465" t="s">
        <v>62</v>
      </c>
      <c r="I10" s="465"/>
      <c r="J10" s="465"/>
      <c r="K10" s="465"/>
      <c r="L10" s="465"/>
      <c r="M10" s="465"/>
    </row>
    <row r="11" spans="1:13" s="62" customFormat="1" ht="12" x14ac:dyDescent="0.15">
      <c r="A11" s="464" t="s">
        <v>36</v>
      </c>
      <c r="B11" s="464"/>
      <c r="C11" s="464"/>
      <c r="D11" s="464"/>
      <c r="E11" s="464"/>
      <c r="F11" s="464"/>
      <c r="H11" s="468" t="s">
        <v>36</v>
      </c>
      <c r="I11" s="468"/>
      <c r="J11" s="468"/>
      <c r="K11" s="468"/>
      <c r="L11" s="468"/>
      <c r="M11" s="468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15">
      <c r="A14" s="84">
        <f>Irrigated!A14</f>
        <v>4.1999999999999993</v>
      </c>
      <c r="B14" s="85">
        <f>$A$14*B$13-$D$6</f>
        <v>-181.00645457500002</v>
      </c>
      <c r="C14" s="85">
        <f>$A$14*C$13-$D$6</f>
        <v>-127.45645457500001</v>
      </c>
      <c r="D14" s="85">
        <f>$A$14*D$13-$D$6</f>
        <v>-91.756454575000021</v>
      </c>
      <c r="E14" s="85">
        <f>$A$14*E$13-$D$6</f>
        <v>-56.056454574999975</v>
      </c>
      <c r="F14" s="85">
        <f>$A$14*F$13-$D$6</f>
        <v>-2.5064545750000207</v>
      </c>
      <c r="H14" s="84">
        <f>Irrigated!H14</f>
        <v>0.63</v>
      </c>
      <c r="I14" s="85">
        <f>$H$14*I$13-$B$6</f>
        <v>-277.62378988636362</v>
      </c>
      <c r="J14" s="85">
        <f>$H$14*J$13-$B$6</f>
        <v>-206.74878988636362</v>
      </c>
      <c r="K14" s="85">
        <f>$H$14*K$13-$B$6</f>
        <v>-159.49878988636362</v>
      </c>
      <c r="L14" s="85">
        <f>$H$14*L$13-$B$6</f>
        <v>-112.24878988636351</v>
      </c>
      <c r="M14" s="85">
        <f>$H$14*M$13-$B$6</f>
        <v>-41.373789886363625</v>
      </c>
    </row>
    <row r="15" spans="1:13" x14ac:dyDescent="0.15">
      <c r="A15" s="86">
        <f>Irrigated!A15</f>
        <v>5.0999999999999996</v>
      </c>
      <c r="B15" s="87">
        <f>$A$15*B$13-$D$6</f>
        <v>-123.63145457499996</v>
      </c>
      <c r="C15" s="87">
        <f>$A$15*C$13-$D$6</f>
        <v>-58.606454574999987</v>
      </c>
      <c r="D15" s="87">
        <f>$A$15*D$13-$D$6</f>
        <v>-15.256454575000021</v>
      </c>
      <c r="E15" s="87">
        <f>$A$15*E$13-$D$6</f>
        <v>28.093545425000059</v>
      </c>
      <c r="F15" s="87">
        <f>$A$15*F$13-$D$6</f>
        <v>93.118545425000036</v>
      </c>
      <c r="H15" s="86">
        <f>Irrigated!H15</f>
        <v>0.76500000000000001</v>
      </c>
      <c r="I15" s="87">
        <f>$H$15*I$13-$B$6</f>
        <v>-201.68628988636362</v>
      </c>
      <c r="J15" s="87">
        <f>$H$15*J$13-$B$6</f>
        <v>-115.62378988636362</v>
      </c>
      <c r="K15" s="87">
        <f>$H$15*K$13-$B$6</f>
        <v>-58.248789886363625</v>
      </c>
      <c r="L15" s="87">
        <f>$H$15*L$13-$B$6</f>
        <v>-0.87378988636351096</v>
      </c>
      <c r="M15" s="87">
        <f>$H$15*M$13-$B$6</f>
        <v>85.188710113636375</v>
      </c>
    </row>
    <row r="16" spans="1:13" x14ac:dyDescent="0.15">
      <c r="A16" s="86">
        <f>Irrigated!A16</f>
        <v>6</v>
      </c>
      <c r="B16" s="87">
        <f>$A$16*B$13-$D$6</f>
        <v>-66.256454574999964</v>
      </c>
      <c r="C16" s="87">
        <f>$A$16*C$13-$D$6</f>
        <v>10.243545425000036</v>
      </c>
      <c r="D16" s="87">
        <f>$A$16*D$13-$D$6</f>
        <v>61.243545425000036</v>
      </c>
      <c r="E16" s="87">
        <f>$A$16*E$13-$D$6</f>
        <v>112.24354542500015</v>
      </c>
      <c r="F16" s="87">
        <f>$A$16*F$13-$D$6</f>
        <v>188.74354542500004</v>
      </c>
      <c r="H16" s="86">
        <f>Irrigated!H16</f>
        <v>0.9</v>
      </c>
      <c r="I16" s="87">
        <f>$H$16*I$13-$B$6</f>
        <v>-125.74878988636362</v>
      </c>
      <c r="J16" s="87">
        <f>$H$16*J$13-$B$6</f>
        <v>-24.498789886363625</v>
      </c>
      <c r="K16" s="87">
        <f>$H$16*K$13-$B$6</f>
        <v>43.001210113636375</v>
      </c>
      <c r="L16" s="87">
        <f>$H$16*L$13-$B$6</f>
        <v>110.50121011363649</v>
      </c>
      <c r="M16" s="87">
        <f>$H$16*M$13-$B$6</f>
        <v>211.75121011363638</v>
      </c>
    </row>
    <row r="17" spans="1:13" x14ac:dyDescent="0.15">
      <c r="A17" s="86">
        <f>Irrigated!A17</f>
        <v>6.8999999999999995</v>
      </c>
      <c r="B17" s="87">
        <f>$A$17*B$13-$D$6</f>
        <v>-8.8814545750000207</v>
      </c>
      <c r="C17" s="87">
        <f>$A$17*C$13-$D$6</f>
        <v>79.093545424999945</v>
      </c>
      <c r="D17" s="87">
        <f>$A$17*D$13-$D$6</f>
        <v>137.74354542500004</v>
      </c>
      <c r="E17" s="87">
        <f>$A$17*E$13-$D$6</f>
        <v>196.39354542500013</v>
      </c>
      <c r="F17" s="87">
        <f>$A$17*F$13-$D$6</f>
        <v>284.36854542500004</v>
      </c>
      <c r="H17" s="86">
        <f>Irrigated!H17</f>
        <v>1.0349999999999999</v>
      </c>
      <c r="I17" s="87">
        <f>$H$17*I$13-$B$6</f>
        <v>-49.811289886363625</v>
      </c>
      <c r="J17" s="87">
        <f>$H$17*J$13-$B$6</f>
        <v>66.626210113636375</v>
      </c>
      <c r="K17" s="87">
        <f>$H$17*K$13-$B$6</f>
        <v>144.25121011363626</v>
      </c>
      <c r="L17" s="87">
        <f>$H$17*L$13-$B$6</f>
        <v>221.87621011363638</v>
      </c>
      <c r="M17" s="87">
        <f>$H$17*M$13-$B$6</f>
        <v>338.31371011363626</v>
      </c>
    </row>
    <row r="18" spans="1:13" x14ac:dyDescent="0.15">
      <c r="A18" s="88">
        <f>Irrigated!A18</f>
        <v>7.8000000000000007</v>
      </c>
      <c r="B18" s="89">
        <f>$A$18*B$13-$D$6</f>
        <v>48.493545425000093</v>
      </c>
      <c r="C18" s="89">
        <f>$A$18*C$13-$D$6</f>
        <v>147.94354542500008</v>
      </c>
      <c r="D18" s="89">
        <f>$A$18*D$13-$D$6</f>
        <v>214.24354542500015</v>
      </c>
      <c r="E18" s="89">
        <f>$A$18*E$13-$D$6</f>
        <v>280.54354542500022</v>
      </c>
      <c r="F18" s="89">
        <f>$A$18*F$13-$D$6</f>
        <v>379.99354542500015</v>
      </c>
      <c r="H18" s="88">
        <f>Irrigated!H18</f>
        <v>1.1700000000000002</v>
      </c>
      <c r="I18" s="89">
        <f>$H$18*I$13-$B$6</f>
        <v>26.126210113636489</v>
      </c>
      <c r="J18" s="89">
        <f>$H$18*J$13-$B$6</f>
        <v>157.75121011363649</v>
      </c>
      <c r="K18" s="89">
        <f>$H$18*K$13-$B$6</f>
        <v>245.50121011363649</v>
      </c>
      <c r="L18" s="89">
        <f>$H$18*L$13-$B$6</f>
        <v>333.2512101136366</v>
      </c>
      <c r="M18" s="89">
        <f>$H$18*M$13-$B$6</f>
        <v>464.8762101136366</v>
      </c>
    </row>
    <row r="20" spans="1:13" x14ac:dyDescent="0.15">
      <c r="A20" s="465" t="s">
        <v>60</v>
      </c>
      <c r="B20" s="465"/>
      <c r="C20" s="465"/>
      <c r="D20" s="465"/>
      <c r="E20" s="465"/>
      <c r="F20" s="465"/>
      <c r="H20" s="466" t="s">
        <v>123</v>
      </c>
      <c r="I20" s="466"/>
      <c r="J20" s="466"/>
      <c r="K20" s="466"/>
      <c r="L20" s="466"/>
      <c r="M20" s="466"/>
    </row>
    <row r="21" spans="1:13" s="62" customFormat="1" ht="12" x14ac:dyDescent="0.15">
      <c r="A21" s="464" t="s">
        <v>36</v>
      </c>
      <c r="B21" s="464"/>
      <c r="C21" s="464"/>
      <c r="D21" s="464"/>
      <c r="E21" s="464"/>
      <c r="F21" s="464"/>
      <c r="H21" s="467" t="s">
        <v>36</v>
      </c>
      <c r="I21" s="467"/>
      <c r="J21" s="467"/>
      <c r="K21" s="467"/>
      <c r="L21" s="467"/>
      <c r="M21" s="467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15">
      <c r="A24" s="84">
        <f>Irrigated!A24</f>
        <v>4.0599999999999996</v>
      </c>
      <c r="B24" s="85">
        <f>$A$24*B$23-$F$6</f>
        <v>-115.55896444999999</v>
      </c>
      <c r="C24" s="85">
        <f>$A$24*C$23-$F$6</f>
        <v>-75.973964449999983</v>
      </c>
      <c r="D24" s="85">
        <f>$A$24*D$23-$F$6</f>
        <v>-49.583964449999996</v>
      </c>
      <c r="E24" s="85">
        <f>$A$24*E$23-$F$6</f>
        <v>-23.19396445000001</v>
      </c>
      <c r="F24" s="85">
        <f>$A$24*F$23-$F$6</f>
        <v>16.39103554999997</v>
      </c>
      <c r="H24" s="90">
        <f>Irrigated!H24</f>
        <v>308</v>
      </c>
      <c r="I24" s="85">
        <f>$H$24*I$23/2000-$C$6</f>
        <v>-235.27939999999995</v>
      </c>
      <c r="J24" s="85">
        <f>$H$24*J$23/2000-$C$6</f>
        <v>-156.73939999999993</v>
      </c>
      <c r="K24" s="85">
        <f>$H$24*K$23/2000-$C$6</f>
        <v>-104.37939999999992</v>
      </c>
      <c r="L24" s="85">
        <f>$H$24*L$23/2000-$C$6</f>
        <v>-52.019399999999791</v>
      </c>
      <c r="M24" s="85">
        <f>$H$24*M$23/2000-$C$6</f>
        <v>26.520600000000059</v>
      </c>
    </row>
    <row r="25" spans="1:13" x14ac:dyDescent="0.15">
      <c r="A25" s="86">
        <f>Irrigated!A25</f>
        <v>4.93</v>
      </c>
      <c r="B25" s="87">
        <f>$A$25*B$23-$F$6</f>
        <v>-73.146464449999996</v>
      </c>
      <c r="C25" s="87">
        <f>$A$25*C$23-$F$6</f>
        <v>-25.078964450000001</v>
      </c>
      <c r="D25" s="87">
        <f>$A$25*D$23-$F$6</f>
        <v>6.9660355500000151</v>
      </c>
      <c r="E25" s="87">
        <f>$A$25*E$23-$F$6</f>
        <v>39.011035550000031</v>
      </c>
      <c r="F25" s="87">
        <f>$A$25*F$23-$F$6</f>
        <v>87.078535550000026</v>
      </c>
      <c r="H25" s="91">
        <f>Irrigated!H25</f>
        <v>374</v>
      </c>
      <c r="I25" s="87">
        <f>$H$25*I$23/2000-$C$6</f>
        <v>-151.12939999999992</v>
      </c>
      <c r="J25" s="87">
        <f>$H$25*J$23/2000-$C$6</f>
        <v>-55.759399999999914</v>
      </c>
      <c r="K25" s="87">
        <f>$H$25*K$23/2000-$C$6</f>
        <v>7.8206000000000131</v>
      </c>
      <c r="L25" s="87">
        <f>$H$25*L$23/2000-$C$6</f>
        <v>71.400600000000168</v>
      </c>
      <c r="M25" s="87">
        <f>$H$25*M$23/2000-$C$6</f>
        <v>166.77060000000006</v>
      </c>
    </row>
    <row r="26" spans="1:13" x14ac:dyDescent="0.15">
      <c r="A26" s="86">
        <f>Irrigated!A26</f>
        <v>5.8</v>
      </c>
      <c r="B26" s="87">
        <f>$A$26*B$23-$F$6</f>
        <v>-30.733964449999974</v>
      </c>
      <c r="C26" s="87">
        <f>$A$26*C$23-$F$6</f>
        <v>25.816035550000038</v>
      </c>
      <c r="D26" s="87">
        <f>$A$26*D$23-$F$6</f>
        <v>63.516035550000026</v>
      </c>
      <c r="E26" s="87">
        <f>$A$26*E$23-$F$6</f>
        <v>101.21603555000002</v>
      </c>
      <c r="F26" s="87">
        <f>$A$26*F$23-$F$6</f>
        <v>157.76603555000003</v>
      </c>
      <c r="H26" s="91">
        <f>Irrigated!H26</f>
        <v>440</v>
      </c>
      <c r="I26" s="87">
        <f>$H$26*I$23/2000-$C$6</f>
        <v>-66.979399999999941</v>
      </c>
      <c r="J26" s="87">
        <f>$H$26*J$23/2000-$C$6</f>
        <v>45.220600000000104</v>
      </c>
      <c r="K26" s="87">
        <f>$H$26*K$23/2000-$C$6</f>
        <v>120.02060000000006</v>
      </c>
      <c r="L26" s="87">
        <f>$H$26*L$23/2000-$C$6</f>
        <v>194.82060000000013</v>
      </c>
      <c r="M26" s="87">
        <f>$H$26*M$23/2000-$C$6</f>
        <v>307.02060000000006</v>
      </c>
    </row>
    <row r="27" spans="1:13" x14ac:dyDescent="0.15">
      <c r="A27" s="86">
        <f>Irrigated!A27</f>
        <v>6.669999999999999</v>
      </c>
      <c r="B27" s="87">
        <f>$A$27*B$23-$F$6</f>
        <v>11.678535549999992</v>
      </c>
      <c r="C27" s="87">
        <f>$A$27*C$23-$F$6</f>
        <v>76.711035549999963</v>
      </c>
      <c r="D27" s="87">
        <f>$A$27*D$23-$F$6</f>
        <v>120.06603554999998</v>
      </c>
      <c r="E27" s="87">
        <f>$A$27*E$23-$F$6</f>
        <v>163.42103554999994</v>
      </c>
      <c r="F27" s="87">
        <f>$A$27*F$23-$F$6</f>
        <v>228.45353554999991</v>
      </c>
      <c r="H27" s="91">
        <f>Irrigated!H27</f>
        <v>505.99999999999994</v>
      </c>
      <c r="I27" s="87">
        <f>$H$27*I$23/2000-$C$6</f>
        <v>17.170599999999922</v>
      </c>
      <c r="J27" s="87">
        <f>$H$27*J$23/2000-$C$6</f>
        <v>146.20059999999989</v>
      </c>
      <c r="K27" s="87">
        <f>$H$27*K$23/2000-$C$6</f>
        <v>232.22059999999999</v>
      </c>
      <c r="L27" s="87">
        <f>$H$27*L$23/2000-$C$6</f>
        <v>318.24060000000009</v>
      </c>
      <c r="M27" s="87">
        <f>$H$27*M$23/2000-$C$6</f>
        <v>447.27059999999983</v>
      </c>
    </row>
    <row r="28" spans="1:13" x14ac:dyDescent="0.15">
      <c r="A28" s="88">
        <f>Irrigated!A28</f>
        <v>7.54</v>
      </c>
      <c r="B28" s="89">
        <f>$A$28*B$23-$F$6</f>
        <v>54.091035550000015</v>
      </c>
      <c r="C28" s="89">
        <f>$A$28*C$23-$F$6</f>
        <v>127.60603555</v>
      </c>
      <c r="D28" s="89">
        <f>$A$28*D$23-$F$6</f>
        <v>176.61603555000005</v>
      </c>
      <c r="E28" s="89">
        <f>$A$28*E$23-$F$6</f>
        <v>225.62603555000004</v>
      </c>
      <c r="F28" s="89">
        <f>$A$28*F$23-$F$6</f>
        <v>299.14103555000003</v>
      </c>
      <c r="H28" s="92">
        <f>Irrigated!H28</f>
        <v>572</v>
      </c>
      <c r="I28" s="89">
        <f>$H$28*I$23/2000-$C$6</f>
        <v>101.32060000000001</v>
      </c>
      <c r="J28" s="89">
        <f>$H$28*J$23/2000-$C$6</f>
        <v>247.18060000000003</v>
      </c>
      <c r="K28" s="89">
        <f>$H$28*K$23/2000-$C$6</f>
        <v>344.42060000000004</v>
      </c>
      <c r="L28" s="89">
        <f>$H$28*L$23/2000-$C$6</f>
        <v>441.66060000000039</v>
      </c>
      <c r="M28" s="89">
        <f>$H$28*M$23/2000-$C$6</f>
        <v>587.52060000000006</v>
      </c>
    </row>
    <row r="30" spans="1:13" x14ac:dyDescent="0.15">
      <c r="A30" s="465" t="s">
        <v>61</v>
      </c>
      <c r="B30" s="465"/>
      <c r="C30" s="465"/>
      <c r="D30" s="465"/>
      <c r="E30" s="465"/>
      <c r="F30" s="465"/>
    </row>
    <row r="31" spans="1:13" s="62" customFormat="1" ht="12" x14ac:dyDescent="0.15">
      <c r="A31" s="464" t="s">
        <v>36</v>
      </c>
      <c r="B31" s="464"/>
      <c r="C31" s="464"/>
      <c r="D31" s="464"/>
      <c r="E31" s="464"/>
      <c r="F31" s="464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I32" s="62"/>
    </row>
    <row r="33" spans="1:9" x14ac:dyDescent="0.15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I33" s="62"/>
    </row>
    <row r="34" spans="1:9" x14ac:dyDescent="0.15">
      <c r="A34" s="84">
        <f>Irrigated!A34</f>
        <v>8.0499999999999989</v>
      </c>
      <c r="B34" s="85">
        <f>$A$34*B$33-$E$6</f>
        <v>-106.4799768</v>
      </c>
      <c r="C34" s="85">
        <f>$A$34*C$33-$E$6</f>
        <v>-70.254976800000009</v>
      </c>
      <c r="D34" s="85">
        <f>$A$34*D$33-$E$6</f>
        <v>-46.104976800000003</v>
      </c>
      <c r="E34" s="85">
        <f>$A$34*E$33-$E$6</f>
        <v>-21.954976799999997</v>
      </c>
      <c r="F34" s="85">
        <f>$A$34*F$33-$E$6</f>
        <v>14.270023199999969</v>
      </c>
      <c r="I34" s="62"/>
    </row>
    <row r="35" spans="1:9" x14ac:dyDescent="0.15">
      <c r="A35" s="86">
        <f>Irrigated!A35</f>
        <v>9.7750000000000004</v>
      </c>
      <c r="B35" s="87">
        <f>$A$35*B$33-$E$6</f>
        <v>-67.667476799999974</v>
      </c>
      <c r="C35" s="87">
        <f>$A$35*C$33-$E$6</f>
        <v>-23.679976799999963</v>
      </c>
      <c r="D35" s="87">
        <f>$A$35*D$33-$E$6</f>
        <v>5.6450232000000256</v>
      </c>
      <c r="E35" s="87">
        <f>$A$35*E$33-$E$6</f>
        <v>34.970023200000014</v>
      </c>
      <c r="F35" s="87">
        <f>$A$35*F$33-$E$6</f>
        <v>78.957523200000026</v>
      </c>
      <c r="I35" s="62"/>
    </row>
    <row r="36" spans="1:9" x14ac:dyDescent="0.15">
      <c r="A36" s="86">
        <f>Irrigated!A36</f>
        <v>11.5</v>
      </c>
      <c r="B36" s="87">
        <f>$A$36*B$33-$E$6</f>
        <v>-28.854976799999974</v>
      </c>
      <c r="C36" s="87">
        <f>$A$36*C$33-$E$6</f>
        <v>22.895023200000026</v>
      </c>
      <c r="D36" s="87">
        <f>$A$36*D$33-$E$6</f>
        <v>57.395023200000026</v>
      </c>
      <c r="E36" s="87">
        <f>$A$36*E$33-$E$6</f>
        <v>91.895023200000026</v>
      </c>
      <c r="F36" s="87">
        <f>$A$36*F$33-$E$6</f>
        <v>143.64502320000003</v>
      </c>
      <c r="I36" s="62"/>
    </row>
    <row r="37" spans="1:9" x14ac:dyDescent="0.15">
      <c r="A37" s="86">
        <f>Irrigated!A37</f>
        <v>13.225</v>
      </c>
      <c r="B37" s="87">
        <f>$A$37*B$33-$E$6</f>
        <v>9.9575232000000256</v>
      </c>
      <c r="C37" s="87">
        <f>$A$37*C$33-$E$6</f>
        <v>69.470023200000014</v>
      </c>
      <c r="D37" s="87">
        <f>$A$37*D$33-$E$6</f>
        <v>109.14502320000003</v>
      </c>
      <c r="E37" s="87">
        <f>$A$37*E$33-$E$6</f>
        <v>148.82002320000004</v>
      </c>
      <c r="F37" s="87">
        <f>$A$37*F$33-$E$6</f>
        <v>208.33252320000003</v>
      </c>
      <c r="I37" s="62"/>
    </row>
    <row r="38" spans="1:9" x14ac:dyDescent="0.15">
      <c r="A38" s="88">
        <f>Irrigated!A38</f>
        <v>14.950000000000001</v>
      </c>
      <c r="B38" s="89">
        <f>$A$38*B$33-$E$6</f>
        <v>48.770023200000026</v>
      </c>
      <c r="C38" s="89">
        <f>$A$38*C$33-$E$6</f>
        <v>116.04502320000006</v>
      </c>
      <c r="D38" s="89">
        <f>$A$38*D$33-$E$6</f>
        <v>160.89502320000008</v>
      </c>
      <c r="E38" s="89">
        <f>$A$38*E$33-$E$6</f>
        <v>205.74502320000005</v>
      </c>
      <c r="F38" s="89">
        <f>$A$38*F$33-$E$6</f>
        <v>273.02002320000003</v>
      </c>
      <c r="I38" s="62"/>
    </row>
    <row r="39" spans="1:9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BE422"/>
  <sheetViews>
    <sheetView tabSelected="1" zoomScale="180" zoomScaleNormal="180" zoomScaleSheetLayoutView="87" zoomScalePageLayoutView="170" workbookViewId="0">
      <pane xSplit="1" ySplit="9" topLeftCell="B27" activePane="bottomRight" state="frozen"/>
      <selection pane="topRight" activeCell="B1" sqref="B1"/>
      <selection pane="bottomLeft" activeCell="A10" sqref="A10"/>
      <selection pane="bottomRight" activeCell="F33" sqref="F33"/>
    </sheetView>
  </sheetViews>
  <sheetFormatPr baseColWidth="10" defaultColWidth="8.83203125" defaultRowHeight="14" x14ac:dyDescent="0.2"/>
  <cols>
    <col min="1" max="1" width="29.1640625" style="96" customWidth="1"/>
    <col min="2" max="2" width="7.5" style="101" bestFit="1" customWidth="1"/>
    <col min="3" max="3" width="3" style="101" bestFit="1" customWidth="1"/>
    <col min="4" max="4" width="5.5" style="101" bestFit="1" customWidth="1"/>
    <col min="5" max="5" width="4" style="101" bestFit="1" customWidth="1"/>
    <col min="6" max="6" width="5.5" style="101" bestFit="1" customWidth="1"/>
    <col min="7" max="7" width="3.5" style="101" bestFit="1" customWidth="1"/>
    <col min="8" max="8" width="8" style="101" bestFit="1" customWidth="1"/>
    <col min="9" max="9" width="3.5" style="101" bestFit="1" customWidth="1"/>
    <col min="10" max="10" width="5.5" style="101" bestFit="1" customWidth="1"/>
    <col min="11" max="11" width="3.5" style="101" bestFit="1" customWidth="1"/>
    <col min="12" max="12" width="5.6640625" style="101" bestFit="1" customWidth="1"/>
    <col min="13" max="13" width="3.5" style="101" customWidth="1"/>
    <col min="14" max="14" width="5.5" style="101" bestFit="1" customWidth="1"/>
    <col min="15" max="15" width="3" style="101" bestFit="1" customWidth="1"/>
    <col min="16" max="16" width="5.5" style="101" bestFit="1" customWidth="1"/>
    <col min="17" max="17" width="4" style="101" bestFit="1" customWidth="1"/>
    <col min="18" max="18" width="5.83203125" style="101" bestFit="1" customWidth="1"/>
    <col min="19" max="19" width="3.5" style="101" bestFit="1" customWidth="1"/>
    <col min="20" max="20" width="5.5" style="101" bestFit="1" customWidth="1"/>
    <col min="21" max="21" width="3.5" style="101" bestFit="1" customWidth="1"/>
    <col min="22" max="22" width="5.5" style="101" bestFit="1" customWidth="1"/>
    <col min="23" max="23" width="3.5" style="101" bestFit="1" customWidth="1"/>
    <col min="24" max="24" width="5.5" style="101" bestFit="1" customWidth="1"/>
    <col min="25" max="25" width="3.5" style="101" customWidth="1"/>
    <col min="26" max="26" width="5.5" style="101" bestFit="1" customWidth="1"/>
    <col min="27" max="27" width="3.5" style="101" customWidth="1"/>
    <col min="28" max="28" width="5.5" style="101" bestFit="1" customWidth="1"/>
    <col min="29" max="29" width="6.5" style="101" bestFit="1" customWidth="1"/>
    <col min="30" max="30" width="8.83203125" style="101"/>
    <col min="31" max="57" width="8.83203125" style="100"/>
    <col min="58" max="16384" width="8.83203125" style="101"/>
  </cols>
  <sheetData>
    <row r="1" spans="1:57" ht="14" customHeight="1" x14ac:dyDescent="0.2">
      <c r="A1" s="94" t="s">
        <v>192</v>
      </c>
      <c r="B1" s="160"/>
      <c r="C1" s="160"/>
      <c r="D1" s="160"/>
      <c r="E1" s="160"/>
      <c r="F1" s="160"/>
      <c r="G1" s="160"/>
      <c r="H1" s="335"/>
      <c r="I1" s="335"/>
      <c r="J1" s="335"/>
      <c r="K1" s="335"/>
      <c r="L1" s="406" t="s">
        <v>193</v>
      </c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160"/>
      <c r="AA1" s="160"/>
      <c r="AB1" s="160"/>
      <c r="AC1" s="100"/>
      <c r="AD1" s="100"/>
      <c r="BE1" s="101"/>
    </row>
    <row r="2" spans="1:57" s="319" customFormat="1" ht="11" customHeight="1" x14ac:dyDescent="0.2">
      <c r="A2" s="316" t="s">
        <v>190</v>
      </c>
      <c r="B2" s="316"/>
      <c r="C2" s="316"/>
      <c r="D2" s="316"/>
      <c r="E2" s="316"/>
      <c r="F2" s="316"/>
      <c r="G2" s="316"/>
      <c r="H2" s="336"/>
      <c r="I2" s="336"/>
      <c r="J2" s="336"/>
      <c r="K2" s="336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317"/>
      <c r="AA2" s="317"/>
      <c r="AB2" s="317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</row>
    <row r="3" spans="1:57" x14ac:dyDescent="0.2">
      <c r="A3" s="231" t="s">
        <v>195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5"/>
      <c r="Z3" s="307"/>
      <c r="AA3" s="307"/>
      <c r="AB3" s="100"/>
      <c r="AC3" s="100"/>
      <c r="AD3" s="100"/>
      <c r="AZ3" s="101"/>
      <c r="BA3" s="101"/>
      <c r="BB3" s="101"/>
      <c r="BC3" s="101"/>
      <c r="BD3" s="101"/>
      <c r="BE3" s="101"/>
    </row>
    <row r="4" spans="1:57" x14ac:dyDescent="0.2">
      <c r="A4" s="175" t="s">
        <v>25</v>
      </c>
      <c r="B4" s="408" t="s">
        <v>0</v>
      </c>
      <c r="C4" s="409"/>
      <c r="D4" s="409"/>
      <c r="E4" s="409"/>
      <c r="F4" s="409"/>
      <c r="G4" s="409"/>
      <c r="H4" s="409"/>
      <c r="I4" s="409"/>
      <c r="J4" s="409"/>
      <c r="K4" s="409"/>
      <c r="L4" s="408" t="s">
        <v>1</v>
      </c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10"/>
      <c r="Z4" s="307"/>
      <c r="AA4" s="307"/>
      <c r="AB4" s="100"/>
      <c r="AC4" s="100"/>
      <c r="AD4" s="100"/>
      <c r="BA4" s="101"/>
      <c r="BB4" s="101"/>
      <c r="BC4" s="101"/>
      <c r="BD4" s="101"/>
      <c r="BE4" s="101"/>
    </row>
    <row r="5" spans="1:57" s="162" customFormat="1" x14ac:dyDescent="0.2">
      <c r="A5" s="176"/>
      <c r="B5" s="395"/>
      <c r="C5" s="396"/>
      <c r="D5" s="394"/>
      <c r="E5" s="394"/>
      <c r="F5" s="397"/>
      <c r="G5" s="397"/>
      <c r="H5" s="397"/>
      <c r="I5" s="397"/>
      <c r="J5" s="404" t="s">
        <v>23</v>
      </c>
      <c r="K5" s="396"/>
      <c r="L5" s="395"/>
      <c r="M5" s="396"/>
      <c r="N5" s="394"/>
      <c r="O5" s="394"/>
      <c r="P5" s="397"/>
      <c r="Q5" s="397"/>
      <c r="R5" s="397"/>
      <c r="S5" s="397"/>
      <c r="T5" s="397" t="s">
        <v>23</v>
      </c>
      <c r="U5" s="397"/>
      <c r="V5" s="397" t="s">
        <v>22</v>
      </c>
      <c r="W5" s="397"/>
      <c r="X5" s="396"/>
      <c r="Y5" s="398"/>
      <c r="Z5" s="306"/>
      <c r="AA5" s="306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</row>
    <row r="6" spans="1:57" s="162" customFormat="1" x14ac:dyDescent="0.2">
      <c r="A6" s="176"/>
      <c r="B6" s="402" t="s">
        <v>2</v>
      </c>
      <c r="C6" s="400"/>
      <c r="D6" s="403" t="s">
        <v>3</v>
      </c>
      <c r="E6" s="403"/>
      <c r="F6" s="399" t="s">
        <v>4</v>
      </c>
      <c r="G6" s="399"/>
      <c r="H6" s="399" t="s">
        <v>5</v>
      </c>
      <c r="I6" s="399"/>
      <c r="J6" s="405" t="s">
        <v>6</v>
      </c>
      <c r="K6" s="400"/>
      <c r="L6" s="402" t="s">
        <v>2</v>
      </c>
      <c r="M6" s="400"/>
      <c r="N6" s="403" t="s">
        <v>3</v>
      </c>
      <c r="O6" s="403"/>
      <c r="P6" s="399" t="s">
        <v>4</v>
      </c>
      <c r="Q6" s="399"/>
      <c r="R6" s="399" t="s">
        <v>5</v>
      </c>
      <c r="S6" s="399"/>
      <c r="T6" s="399" t="s">
        <v>6</v>
      </c>
      <c r="U6" s="399"/>
      <c r="V6" s="399" t="s">
        <v>7</v>
      </c>
      <c r="W6" s="399"/>
      <c r="X6" s="400" t="s">
        <v>7</v>
      </c>
      <c r="Y6" s="401"/>
      <c r="Z6" s="306"/>
      <c r="AA6" s="306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</row>
    <row r="7" spans="1:57" x14ac:dyDescent="0.2">
      <c r="A7" s="108" t="s">
        <v>154</v>
      </c>
      <c r="B7" s="288">
        <v>1200</v>
      </c>
      <c r="C7" s="287" t="s">
        <v>158</v>
      </c>
      <c r="D7" s="278">
        <f>'Peanut Price Calculator'!B10</f>
        <v>4700</v>
      </c>
      <c r="E7" s="279" t="s">
        <v>158</v>
      </c>
      <c r="F7" s="282">
        <v>200</v>
      </c>
      <c r="G7" s="283" t="s">
        <v>161</v>
      </c>
      <c r="H7" s="282">
        <v>60</v>
      </c>
      <c r="I7" s="283" t="s">
        <v>161</v>
      </c>
      <c r="J7" s="282">
        <v>100</v>
      </c>
      <c r="K7" s="287" t="s">
        <v>161</v>
      </c>
      <c r="L7" s="289">
        <v>750</v>
      </c>
      <c r="M7" s="287" t="s">
        <v>158</v>
      </c>
      <c r="N7" s="278">
        <f>'Peanut Price Calculator'!B21</f>
        <v>3400</v>
      </c>
      <c r="O7" s="279" t="s">
        <v>158</v>
      </c>
      <c r="P7" s="282">
        <v>85</v>
      </c>
      <c r="Q7" s="283" t="s">
        <v>161</v>
      </c>
      <c r="R7" s="282">
        <v>30</v>
      </c>
      <c r="S7" s="283" t="s">
        <v>161</v>
      </c>
      <c r="T7" s="282">
        <v>65</v>
      </c>
      <c r="U7" s="283" t="s">
        <v>161</v>
      </c>
      <c r="V7" s="282">
        <v>75</v>
      </c>
      <c r="W7" s="283" t="s">
        <v>161</v>
      </c>
      <c r="X7" s="284">
        <v>55</v>
      </c>
      <c r="Y7" s="285" t="s">
        <v>161</v>
      </c>
      <c r="Z7" s="307"/>
      <c r="AA7" s="307"/>
      <c r="AB7" s="100"/>
      <c r="AC7" s="100"/>
      <c r="AD7" s="100"/>
      <c r="BB7" s="101"/>
      <c r="BC7" s="101"/>
      <c r="BD7" s="101"/>
      <c r="BE7" s="101"/>
    </row>
    <row r="8" spans="1:57" ht="15" thickBot="1" x14ac:dyDescent="0.25">
      <c r="A8" s="109" t="s">
        <v>124</v>
      </c>
      <c r="B8" s="277">
        <v>0.9</v>
      </c>
      <c r="C8" s="276" t="s">
        <v>159</v>
      </c>
      <c r="D8" s="280">
        <f>'Peanut Price Calculator'!B17</f>
        <v>440</v>
      </c>
      <c r="E8" s="281" t="s">
        <v>160</v>
      </c>
      <c r="F8" s="273">
        <v>6</v>
      </c>
      <c r="G8" s="270" t="s">
        <v>162</v>
      </c>
      <c r="H8" s="273">
        <v>11.5</v>
      </c>
      <c r="I8" s="270" t="s">
        <v>162</v>
      </c>
      <c r="J8" s="273">
        <v>5.8</v>
      </c>
      <c r="K8" s="276" t="s">
        <v>162</v>
      </c>
      <c r="L8" s="308">
        <f>B8</f>
        <v>0.9</v>
      </c>
      <c r="M8" s="276" t="s">
        <v>159</v>
      </c>
      <c r="N8" s="280">
        <f>'Peanut Price Calculator'!B28</f>
        <v>440</v>
      </c>
      <c r="O8" s="281" t="s">
        <v>160</v>
      </c>
      <c r="P8" s="269">
        <f>F8</f>
        <v>6</v>
      </c>
      <c r="Q8" s="270" t="s">
        <v>162</v>
      </c>
      <c r="R8" s="269">
        <f>H8</f>
        <v>11.5</v>
      </c>
      <c r="S8" s="270" t="s">
        <v>162</v>
      </c>
      <c r="T8" s="269">
        <f>J8</f>
        <v>5.8</v>
      </c>
      <c r="U8" s="270" t="s">
        <v>162</v>
      </c>
      <c r="V8" s="273">
        <v>7</v>
      </c>
      <c r="W8" s="270" t="s">
        <v>162</v>
      </c>
      <c r="X8" s="271">
        <f>V8</f>
        <v>7</v>
      </c>
      <c r="Y8" s="272" t="s">
        <v>162</v>
      </c>
      <c r="Z8" s="307"/>
      <c r="AA8" s="307"/>
      <c r="AB8" s="100"/>
      <c r="AC8" s="100"/>
      <c r="AD8" s="100"/>
      <c r="BB8" s="101"/>
      <c r="BC8" s="101"/>
      <c r="BD8" s="101"/>
      <c r="BE8" s="101"/>
    </row>
    <row r="9" spans="1:57" x14ac:dyDescent="0.2">
      <c r="A9" s="110" t="s">
        <v>155</v>
      </c>
      <c r="B9" s="389">
        <f>B7*B8</f>
        <v>1080</v>
      </c>
      <c r="C9" s="382"/>
      <c r="D9" s="384">
        <f>D8*(D7/2000)</f>
        <v>1034</v>
      </c>
      <c r="E9" s="384"/>
      <c r="F9" s="384">
        <f>F7*F8</f>
        <v>1200</v>
      </c>
      <c r="G9" s="384"/>
      <c r="H9" s="384">
        <f>H7*H8</f>
        <v>690</v>
      </c>
      <c r="I9" s="384"/>
      <c r="J9" s="391">
        <f>J7*J8</f>
        <v>580</v>
      </c>
      <c r="K9" s="382"/>
      <c r="L9" s="389">
        <f>L7*L8</f>
        <v>675</v>
      </c>
      <c r="M9" s="382"/>
      <c r="N9" s="384">
        <f>N8*(N7/2000)</f>
        <v>748</v>
      </c>
      <c r="O9" s="384"/>
      <c r="P9" s="384">
        <f>P7*P8</f>
        <v>510</v>
      </c>
      <c r="Q9" s="384"/>
      <c r="R9" s="384">
        <f>R7*R8</f>
        <v>345</v>
      </c>
      <c r="S9" s="384"/>
      <c r="T9" s="384">
        <f>T7*T8</f>
        <v>377</v>
      </c>
      <c r="U9" s="384"/>
      <c r="V9" s="384">
        <f>V7*V8</f>
        <v>525</v>
      </c>
      <c r="W9" s="384"/>
      <c r="X9" s="382">
        <f>X7*X8</f>
        <v>385</v>
      </c>
      <c r="Y9" s="383"/>
      <c r="Z9" s="307"/>
      <c r="AA9" s="307"/>
      <c r="AB9" s="100"/>
      <c r="AC9" s="100"/>
      <c r="AD9" s="100"/>
      <c r="BB9" s="101"/>
      <c r="BC9" s="101"/>
      <c r="BD9" s="101"/>
      <c r="BE9" s="101"/>
    </row>
    <row r="10" spans="1:57" x14ac:dyDescent="0.2">
      <c r="A10" s="111" t="s">
        <v>156</v>
      </c>
      <c r="B10" s="379"/>
      <c r="C10" s="376"/>
      <c r="D10" s="378"/>
      <c r="E10" s="378"/>
      <c r="F10" s="378"/>
      <c r="G10" s="378"/>
      <c r="H10" s="378"/>
      <c r="I10" s="378"/>
      <c r="J10" s="388"/>
      <c r="K10" s="376"/>
      <c r="L10" s="379"/>
      <c r="M10" s="376"/>
      <c r="N10" s="378"/>
      <c r="O10" s="378"/>
      <c r="P10" s="378"/>
      <c r="Q10" s="378"/>
      <c r="R10" s="378"/>
      <c r="S10" s="378"/>
      <c r="T10" s="378"/>
      <c r="U10" s="378"/>
      <c r="V10" s="302"/>
      <c r="W10" s="301"/>
      <c r="X10" s="376"/>
      <c r="Y10" s="377"/>
      <c r="Z10" s="307"/>
      <c r="AA10" s="307"/>
      <c r="AB10" s="100"/>
      <c r="AC10" s="100"/>
      <c r="AD10" s="100"/>
      <c r="BB10" s="101"/>
      <c r="BC10" s="101"/>
      <c r="BD10" s="101"/>
      <c r="BE10" s="101"/>
    </row>
    <row r="11" spans="1:57" x14ac:dyDescent="0.2">
      <c r="A11" s="105" t="s">
        <v>24</v>
      </c>
      <c r="B11" s="390">
        <v>95</v>
      </c>
      <c r="C11" s="380"/>
      <c r="D11" s="387">
        <v>123.2</v>
      </c>
      <c r="E11" s="387"/>
      <c r="F11" s="387">
        <v>121.6</v>
      </c>
      <c r="G11" s="387"/>
      <c r="H11" s="385">
        <f>247/4</f>
        <v>61.75</v>
      </c>
      <c r="I11" s="386"/>
      <c r="J11" s="385">
        <v>25</v>
      </c>
      <c r="K11" s="380"/>
      <c r="L11" s="390">
        <v>95</v>
      </c>
      <c r="M11" s="380"/>
      <c r="N11" s="387">
        <v>130</v>
      </c>
      <c r="O11" s="387"/>
      <c r="P11" s="387">
        <v>76</v>
      </c>
      <c r="Q11" s="387"/>
      <c r="R11" s="385">
        <f>247/4</f>
        <v>61.75</v>
      </c>
      <c r="S11" s="386"/>
      <c r="T11" s="387">
        <v>15</v>
      </c>
      <c r="U11" s="387"/>
      <c r="V11" s="387">
        <v>65</v>
      </c>
      <c r="W11" s="387"/>
      <c r="X11" s="380">
        <f>43.2</f>
        <v>43.2</v>
      </c>
      <c r="Y11" s="381"/>
      <c r="Z11" s="307"/>
      <c r="AA11" s="307"/>
      <c r="AB11" s="100"/>
      <c r="AC11" s="100"/>
      <c r="AD11" s="100"/>
      <c r="BB11" s="101"/>
      <c r="BC11" s="101"/>
      <c r="BD11" s="101"/>
      <c r="BE11" s="101"/>
    </row>
    <row r="12" spans="1:57" x14ac:dyDescent="0.2">
      <c r="A12" s="105" t="s">
        <v>8</v>
      </c>
      <c r="B12" s="351">
        <f>B7/495*0.75</f>
        <v>1.8181818181818183</v>
      </c>
      <c r="C12" s="352"/>
      <c r="D12" s="342"/>
      <c r="E12" s="342"/>
      <c r="F12" s="342"/>
      <c r="G12" s="342"/>
      <c r="H12" s="342"/>
      <c r="I12" s="342"/>
      <c r="J12" s="352"/>
      <c r="K12" s="352"/>
      <c r="L12" s="351">
        <f>L7/495*0.75</f>
        <v>1.1363636363636362</v>
      </c>
      <c r="M12" s="35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52"/>
      <c r="Y12" s="359"/>
      <c r="Z12" s="307"/>
      <c r="AA12" s="307"/>
      <c r="AB12" s="100"/>
      <c r="AC12" s="100"/>
      <c r="AD12" s="100"/>
      <c r="BB12" s="101"/>
      <c r="BC12" s="101"/>
      <c r="BD12" s="101"/>
      <c r="BE12" s="101"/>
    </row>
    <row r="13" spans="1:57" x14ac:dyDescent="0.2">
      <c r="A13" s="105" t="s">
        <v>27</v>
      </c>
      <c r="B13" s="351">
        <f>16.5+6.7+B7*0.075*$D$46+0.0583*B7*$F$46+0.0583*B7*$H$46</f>
        <v>221.54320000000001</v>
      </c>
      <c r="C13" s="352"/>
      <c r="D13" s="342">
        <f>9.25+57.5+3.37</f>
        <v>70.12</v>
      </c>
      <c r="E13" s="342"/>
      <c r="F13" s="342">
        <f>25+F7*1.2*$D$46+F7*0.5*$F$46+F7*$H$46</f>
        <v>503</v>
      </c>
      <c r="G13" s="342"/>
      <c r="H13" s="342">
        <f>6.5+16.5+0.6667*H7*$F$46+1.333*H7*$H$46+3.37</f>
        <v>111.95699999999999</v>
      </c>
      <c r="I13" s="342"/>
      <c r="J13" s="352">
        <f>25+1.25*J7*$D$46+0.6*J7*$F$46+0.9*J7*$H$46</f>
        <v>269.3</v>
      </c>
      <c r="K13" s="352"/>
      <c r="L13" s="351">
        <f>16.5+6.7+0.08*L7*$D$46+0.0667*L7*$F$46+0.0667*L7*$H$46</f>
        <v>160.2355</v>
      </c>
      <c r="M13" s="352"/>
      <c r="N13" s="342">
        <f>9.25+57.5+3.37</f>
        <v>70.12</v>
      </c>
      <c r="O13" s="342"/>
      <c r="P13" s="342">
        <f>12.5+P7*1.1765*$D$46+0.4706*P7*$F$46+0.7059*P7*$H$46</f>
        <v>193.70453000000001</v>
      </c>
      <c r="Q13" s="342"/>
      <c r="R13" s="339">
        <f>6.5+16.5+1.3333*R7*$F$46+2.6667*R7*$H$46+3.37</f>
        <v>111.97002000000001</v>
      </c>
      <c r="S13" s="340"/>
      <c r="T13" s="342">
        <f>12.5+1.2308*T7*$D$46+0.6154*T7*$F$46+0.9231*T7*$H$46</f>
        <v>171.70398</v>
      </c>
      <c r="U13" s="342"/>
      <c r="V13" s="342">
        <f>12.5+1.6*V7*$D$46+0.6667*V7*$F$46+0.8*V7*$H$46</f>
        <v>222.70174999999998</v>
      </c>
      <c r="W13" s="342"/>
      <c r="X13" s="352">
        <f>12.5+1.4545*X7*$D$46+0.7273*X7*$F$46+0.7273*X7*$H$46</f>
        <v>157.29937999999999</v>
      </c>
      <c r="Y13" s="359"/>
      <c r="Z13" s="307"/>
      <c r="AA13" s="309"/>
      <c r="AB13" s="100"/>
      <c r="AC13" s="100"/>
      <c r="AD13" s="100"/>
      <c r="BB13" s="101"/>
      <c r="BC13" s="101"/>
      <c r="BD13" s="101"/>
      <c r="BE13" s="101"/>
    </row>
    <row r="14" spans="1:57" x14ac:dyDescent="0.2">
      <c r="A14" s="105" t="s">
        <v>125</v>
      </c>
      <c r="B14" s="351"/>
      <c r="C14" s="352"/>
      <c r="D14" s="342"/>
      <c r="E14" s="342"/>
      <c r="F14" s="342"/>
      <c r="G14" s="342"/>
      <c r="H14" s="342"/>
      <c r="I14" s="342"/>
      <c r="J14" s="352"/>
      <c r="K14" s="352"/>
      <c r="L14" s="351"/>
      <c r="M14" s="35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52"/>
      <c r="Y14" s="359"/>
      <c r="Z14" s="307"/>
      <c r="AA14" s="309"/>
      <c r="AB14" s="100"/>
      <c r="AC14" s="100"/>
      <c r="AD14" s="100"/>
      <c r="BB14" s="101"/>
      <c r="BC14" s="101"/>
      <c r="BD14" s="101"/>
      <c r="BE14" s="101"/>
    </row>
    <row r="15" spans="1:57" x14ac:dyDescent="0.2">
      <c r="A15" s="105" t="s">
        <v>9</v>
      </c>
      <c r="B15" s="351">
        <f>((71.45+88.37)/2+23.75+7.2+14.53)</f>
        <v>125.39</v>
      </c>
      <c r="C15" s="352"/>
      <c r="D15" s="342">
        <f>35.55+52.44+93.06</f>
        <v>181.05</v>
      </c>
      <c r="E15" s="342"/>
      <c r="F15" s="342">
        <f>14+8.32+15.75</f>
        <v>38.07</v>
      </c>
      <c r="G15" s="342"/>
      <c r="H15" s="342">
        <f>(35.28+34.03+44.9+44.01)/4+2.78+18</f>
        <v>60.335000000000001</v>
      </c>
      <c r="I15" s="342"/>
      <c r="J15" s="352">
        <f>17.85+11.15</f>
        <v>29</v>
      </c>
      <c r="K15" s="352"/>
      <c r="L15" s="351">
        <f>((97.65+88.37)/2+23.75+5.2+14.53)</f>
        <v>136.49</v>
      </c>
      <c r="M15" s="352"/>
      <c r="N15" s="342">
        <f>46.9+52.44+54.02</f>
        <v>153.36000000000001</v>
      </c>
      <c r="O15" s="342"/>
      <c r="P15" s="342">
        <f>14+8.32+15.75</f>
        <v>38.07</v>
      </c>
      <c r="Q15" s="342"/>
      <c r="R15" s="342">
        <f>(31.78+34.03+44.9+44.01)/4+2.78</f>
        <v>41.46</v>
      </c>
      <c r="S15" s="342"/>
      <c r="T15" s="342">
        <f>17.85+11.15</f>
        <v>29</v>
      </c>
      <c r="U15" s="342"/>
      <c r="V15" s="342">
        <f>35.82+1.43+20.1</f>
        <v>57.35</v>
      </c>
      <c r="W15" s="342"/>
      <c r="X15" s="352">
        <f>27.82+1.43+16.5</f>
        <v>45.75</v>
      </c>
      <c r="Y15" s="359"/>
      <c r="Z15" s="307"/>
      <c r="AA15" s="309"/>
      <c r="AB15" s="100"/>
      <c r="AC15" s="100"/>
      <c r="AD15" s="100"/>
      <c r="BB15" s="101"/>
      <c r="BC15" s="101"/>
      <c r="BD15" s="101"/>
      <c r="BE15" s="101"/>
    </row>
    <row r="16" spans="1:57" x14ac:dyDescent="0.2">
      <c r="A16" s="105" t="s">
        <v>172</v>
      </c>
      <c r="B16" s="232"/>
      <c r="C16" s="233"/>
      <c r="D16" s="339"/>
      <c r="E16" s="340"/>
      <c r="F16" s="339"/>
      <c r="G16" s="340"/>
      <c r="H16" s="339"/>
      <c r="I16" s="340"/>
      <c r="J16" s="233"/>
      <c r="K16" s="233"/>
      <c r="L16" s="299"/>
      <c r="M16" s="298"/>
      <c r="N16" s="339"/>
      <c r="O16" s="340"/>
      <c r="P16" s="339"/>
      <c r="Q16" s="340"/>
      <c r="R16" s="339"/>
      <c r="S16" s="340"/>
      <c r="T16" s="339"/>
      <c r="U16" s="340"/>
      <c r="V16" s="339">
        <v>8</v>
      </c>
      <c r="W16" s="340"/>
      <c r="X16" s="298">
        <v>8</v>
      </c>
      <c r="Y16" s="300"/>
      <c r="Z16" s="307"/>
      <c r="AA16" s="307"/>
      <c r="AB16" s="100"/>
      <c r="AC16" s="100"/>
      <c r="AD16" s="100"/>
      <c r="BB16" s="101"/>
      <c r="BC16" s="101"/>
      <c r="BD16" s="101"/>
      <c r="BE16" s="101"/>
    </row>
    <row r="17" spans="1:57" x14ac:dyDescent="0.2">
      <c r="A17" s="105" t="s">
        <v>173</v>
      </c>
      <c r="B17" s="351">
        <v>18</v>
      </c>
      <c r="C17" s="352"/>
      <c r="D17" s="342">
        <v>18</v>
      </c>
      <c r="E17" s="342"/>
      <c r="F17" s="342"/>
      <c r="G17" s="342"/>
      <c r="H17" s="342"/>
      <c r="I17" s="342"/>
      <c r="J17" s="352"/>
      <c r="K17" s="352"/>
      <c r="L17" s="351">
        <v>18</v>
      </c>
      <c r="M17" s="352"/>
      <c r="N17" s="342">
        <v>18</v>
      </c>
      <c r="O17" s="342"/>
      <c r="P17" s="342"/>
      <c r="Q17" s="342"/>
      <c r="R17" s="342"/>
      <c r="S17" s="342"/>
      <c r="T17" s="342"/>
      <c r="U17" s="342"/>
      <c r="V17" s="342"/>
      <c r="W17" s="342"/>
      <c r="X17" s="352"/>
      <c r="Y17" s="359"/>
      <c r="Z17" s="307"/>
      <c r="AA17" s="307"/>
      <c r="AB17" s="100"/>
      <c r="AC17" s="100"/>
      <c r="AD17" s="100"/>
      <c r="BB17" s="101"/>
      <c r="BC17" s="101"/>
      <c r="BD17" s="101"/>
      <c r="BE17" s="101"/>
    </row>
    <row r="18" spans="1:57" x14ac:dyDescent="0.2">
      <c r="A18" s="105" t="s">
        <v>10</v>
      </c>
      <c r="B18" s="351">
        <v>12.5</v>
      </c>
      <c r="C18" s="352"/>
      <c r="D18" s="342">
        <v>12.5</v>
      </c>
      <c r="E18" s="342"/>
      <c r="F18" s="342"/>
      <c r="G18" s="342"/>
      <c r="H18" s="342"/>
      <c r="I18" s="342"/>
      <c r="J18" s="352"/>
      <c r="K18" s="352"/>
      <c r="L18" s="351">
        <v>12.5</v>
      </c>
      <c r="M18" s="352"/>
      <c r="N18" s="342">
        <v>12.5</v>
      </c>
      <c r="O18" s="342"/>
      <c r="P18" s="342"/>
      <c r="Q18" s="342"/>
      <c r="R18" s="342"/>
      <c r="S18" s="342"/>
      <c r="T18" s="342"/>
      <c r="U18" s="342"/>
      <c r="V18" s="342"/>
      <c r="W18" s="342"/>
      <c r="X18" s="352"/>
      <c r="Y18" s="359"/>
      <c r="Z18" s="307"/>
      <c r="AA18" s="307"/>
      <c r="AB18" s="100"/>
      <c r="AC18" s="100"/>
      <c r="AD18" s="100"/>
      <c r="BB18" s="101"/>
      <c r="BC18" s="101"/>
      <c r="BD18" s="101"/>
      <c r="BE18" s="101"/>
    </row>
    <row r="19" spans="1:57" x14ac:dyDescent="0.2">
      <c r="A19" s="105" t="s">
        <v>28</v>
      </c>
      <c r="B19" s="351">
        <f>(4.6+6.4)*$B$47</f>
        <v>33</v>
      </c>
      <c r="C19" s="352"/>
      <c r="D19" s="342">
        <f>(9.7+7.9)*$B$47</f>
        <v>52.800000000000004</v>
      </c>
      <c r="E19" s="342"/>
      <c r="F19" s="342">
        <f>7.4*$B$47</f>
        <v>22.200000000000003</v>
      </c>
      <c r="G19" s="342"/>
      <c r="H19" s="342">
        <f>6.8*$B$47</f>
        <v>20.399999999999999</v>
      </c>
      <c r="I19" s="342"/>
      <c r="J19" s="352">
        <f>7.6*$B$47</f>
        <v>22.799999999999997</v>
      </c>
      <c r="K19" s="352"/>
      <c r="L19" s="351">
        <f>(4.6+6.4)*$B$47</f>
        <v>33</v>
      </c>
      <c r="M19" s="352"/>
      <c r="N19" s="342">
        <f>(9.7+7.9)*$B$47</f>
        <v>52.800000000000004</v>
      </c>
      <c r="O19" s="342"/>
      <c r="P19" s="342">
        <f>7.4*B47</f>
        <v>22.200000000000003</v>
      </c>
      <c r="Q19" s="342"/>
      <c r="R19" s="342">
        <f>6.8*$B$47</f>
        <v>20.399999999999999</v>
      </c>
      <c r="S19" s="342"/>
      <c r="T19" s="342">
        <f>7.6*$B$47</f>
        <v>22.799999999999997</v>
      </c>
      <c r="U19" s="342"/>
      <c r="V19" s="342">
        <f>11*$B$47</f>
        <v>33</v>
      </c>
      <c r="W19" s="342"/>
      <c r="X19" s="352">
        <f>6.7*$B$47</f>
        <v>20.100000000000001</v>
      </c>
      <c r="Y19" s="359"/>
      <c r="Z19" s="307"/>
      <c r="AA19" s="307"/>
      <c r="AB19" s="100"/>
      <c r="AC19" s="100"/>
      <c r="AD19" s="100"/>
      <c r="BB19" s="101"/>
      <c r="BC19" s="101"/>
      <c r="BD19" s="101"/>
      <c r="BE19" s="101"/>
    </row>
    <row r="20" spans="1:57" x14ac:dyDescent="0.2">
      <c r="A20" s="105" t="s">
        <v>11</v>
      </c>
      <c r="B20" s="351">
        <f>14.36+29.15</f>
        <v>43.51</v>
      </c>
      <c r="C20" s="352"/>
      <c r="D20" s="342">
        <f>23.6+33.7</f>
        <v>57.300000000000004</v>
      </c>
      <c r="E20" s="342"/>
      <c r="F20" s="342">
        <f>14.35+9.64</f>
        <v>23.990000000000002</v>
      </c>
      <c r="G20" s="342"/>
      <c r="H20" s="342">
        <f>12.43+7.88</f>
        <v>20.309999999999999</v>
      </c>
      <c r="I20" s="342"/>
      <c r="J20" s="339">
        <f>15.11+5.66</f>
        <v>20.77</v>
      </c>
      <c r="K20" s="359"/>
      <c r="L20" s="351">
        <f>14.36+29.15</f>
        <v>43.51</v>
      </c>
      <c r="M20" s="352"/>
      <c r="N20" s="342">
        <f>23.6+33.7</f>
        <v>57.300000000000004</v>
      </c>
      <c r="O20" s="342"/>
      <c r="P20" s="342">
        <f>14.35+9.64</f>
        <v>23.990000000000002</v>
      </c>
      <c r="Q20" s="342"/>
      <c r="R20" s="342">
        <f>12.43+7.88</f>
        <v>20.309999999999999</v>
      </c>
      <c r="S20" s="342"/>
      <c r="T20" s="339">
        <f>15.11+5.66</f>
        <v>20.77</v>
      </c>
      <c r="U20" s="359"/>
      <c r="V20" s="342">
        <f>16.21+6.37</f>
        <v>22.580000000000002</v>
      </c>
      <c r="W20" s="342"/>
      <c r="X20" s="352">
        <f>8.72+6.37</f>
        <v>15.09</v>
      </c>
      <c r="Y20" s="359"/>
      <c r="Z20" s="307"/>
      <c r="AA20" s="307"/>
      <c r="AB20" s="100"/>
      <c r="AC20" s="100"/>
      <c r="AD20" s="100"/>
      <c r="BB20" s="101"/>
      <c r="BC20" s="101"/>
      <c r="BD20" s="101"/>
      <c r="BE20" s="101"/>
    </row>
    <row r="21" spans="1:57" x14ac:dyDescent="0.2">
      <c r="A21" s="105" t="s">
        <v>29</v>
      </c>
      <c r="B21" s="351">
        <f>((7*8)*0.67+(4.8*$B$47*8)*0.33)</f>
        <v>75.536000000000001</v>
      </c>
      <c r="C21" s="352"/>
      <c r="D21" s="342">
        <f>((7*6)*0.67+(4.8*$B$47*6)*0.33)</f>
        <v>56.652000000000001</v>
      </c>
      <c r="E21" s="342"/>
      <c r="F21" s="339">
        <f>((7*8)*0.67+(4.8*$B$47*8)*0.33)</f>
        <v>75.536000000000001</v>
      </c>
      <c r="G21" s="340"/>
      <c r="H21" s="342">
        <f>((7*5)*0.67+(4.8*$B$47*5)*0.33)</f>
        <v>47.210000000000008</v>
      </c>
      <c r="I21" s="342"/>
      <c r="J21" s="339">
        <f>((7*4)*0.67+(4.8*$B$47*4)*0.33)</f>
        <v>37.768000000000001</v>
      </c>
      <c r="K21" s="352"/>
      <c r="L21" s="351"/>
      <c r="M21" s="352"/>
      <c r="N21" s="342"/>
      <c r="O21" s="342"/>
      <c r="P21" s="342"/>
      <c r="Q21" s="342"/>
      <c r="R21" s="342"/>
      <c r="S21" s="342"/>
      <c r="T21" s="342"/>
      <c r="U21" s="342"/>
      <c r="V21" s="339"/>
      <c r="W21" s="340"/>
      <c r="X21" s="352"/>
      <c r="Y21" s="359"/>
      <c r="Z21" s="307"/>
      <c r="AA21" s="307"/>
      <c r="AB21" s="100"/>
      <c r="AC21" s="100"/>
      <c r="AD21" s="100"/>
      <c r="BB21" s="101"/>
      <c r="BC21" s="101"/>
      <c r="BD21" s="101"/>
      <c r="BE21" s="101"/>
    </row>
    <row r="22" spans="1:57" x14ac:dyDescent="0.2">
      <c r="A22" s="105" t="s">
        <v>13</v>
      </c>
      <c r="B22" s="351">
        <v>14.44</v>
      </c>
      <c r="C22" s="352"/>
      <c r="D22" s="342">
        <v>34.659999999999997</v>
      </c>
      <c r="E22" s="342"/>
      <c r="F22" s="342">
        <v>14.35</v>
      </c>
      <c r="G22" s="342"/>
      <c r="H22" s="342">
        <v>12.42</v>
      </c>
      <c r="I22" s="342"/>
      <c r="J22" s="342">
        <v>14</v>
      </c>
      <c r="K22" s="342"/>
      <c r="L22" s="351">
        <v>14.44</v>
      </c>
      <c r="M22" s="352"/>
      <c r="N22" s="342">
        <v>34.659999999999997</v>
      </c>
      <c r="O22" s="342"/>
      <c r="P22" s="342">
        <f>14.82</f>
        <v>14.82</v>
      </c>
      <c r="Q22" s="342"/>
      <c r="R22" s="342">
        <v>12.42</v>
      </c>
      <c r="S22" s="342"/>
      <c r="T22" s="342">
        <v>14</v>
      </c>
      <c r="U22" s="342"/>
      <c r="V22" s="342">
        <v>16.5</v>
      </c>
      <c r="W22" s="342"/>
      <c r="X22" s="352">
        <v>10.07</v>
      </c>
      <c r="Y22" s="359"/>
      <c r="Z22" s="307"/>
      <c r="AA22" s="307"/>
      <c r="AB22" s="100"/>
      <c r="AC22" s="100"/>
      <c r="AD22" s="100"/>
      <c r="BB22" s="101"/>
      <c r="BC22" s="101"/>
      <c r="BD22" s="101"/>
      <c r="BE22" s="101"/>
    </row>
    <row r="23" spans="1:57" x14ac:dyDescent="0.2">
      <c r="A23" s="105" t="s">
        <v>14</v>
      </c>
      <c r="B23" s="351">
        <v>19</v>
      </c>
      <c r="C23" s="352"/>
      <c r="D23" s="342">
        <v>31</v>
      </c>
      <c r="E23" s="342"/>
      <c r="F23" s="342">
        <v>21</v>
      </c>
      <c r="G23" s="342"/>
      <c r="H23" s="342">
        <v>12</v>
      </c>
      <c r="I23" s="342"/>
      <c r="J23" s="352">
        <v>27</v>
      </c>
      <c r="K23" s="352"/>
      <c r="L23" s="351">
        <v>35</v>
      </c>
      <c r="M23" s="352"/>
      <c r="N23" s="342">
        <v>43</v>
      </c>
      <c r="O23" s="342"/>
      <c r="P23" s="342">
        <v>35</v>
      </c>
      <c r="Q23" s="342"/>
      <c r="R23" s="342">
        <v>20</v>
      </c>
      <c r="S23" s="342"/>
      <c r="T23" s="342">
        <v>24</v>
      </c>
      <c r="U23" s="342"/>
      <c r="V23" s="342">
        <v>13</v>
      </c>
      <c r="W23" s="342"/>
      <c r="X23" s="352">
        <v>17</v>
      </c>
      <c r="Y23" s="359"/>
      <c r="Z23" s="307"/>
      <c r="AA23" s="307"/>
      <c r="AB23" s="100"/>
      <c r="AC23" s="100"/>
      <c r="AD23" s="100"/>
      <c r="BB23" s="101"/>
      <c r="BC23" s="101"/>
      <c r="BD23" s="101"/>
      <c r="BE23" s="101"/>
    </row>
    <row r="24" spans="1:57" x14ac:dyDescent="0.2">
      <c r="A24" s="105" t="s">
        <v>126</v>
      </c>
      <c r="B24" s="351"/>
      <c r="C24" s="352"/>
      <c r="D24" s="342"/>
      <c r="E24" s="342"/>
      <c r="F24" s="342"/>
      <c r="G24" s="342"/>
      <c r="H24" s="342"/>
      <c r="I24" s="342"/>
      <c r="J24" s="352"/>
      <c r="K24" s="352"/>
      <c r="L24" s="351"/>
      <c r="M24" s="35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52"/>
      <c r="Y24" s="359"/>
      <c r="Z24" s="307"/>
      <c r="AA24" s="307"/>
      <c r="AB24" s="100"/>
      <c r="AC24" s="100"/>
      <c r="AD24" s="100"/>
      <c r="BB24" s="101"/>
      <c r="BC24" s="101"/>
      <c r="BD24" s="101"/>
      <c r="BE24" s="101"/>
    </row>
    <row r="25" spans="1:57" x14ac:dyDescent="0.2">
      <c r="A25" s="105" t="s">
        <v>16</v>
      </c>
      <c r="B25" s="351"/>
      <c r="C25" s="352"/>
      <c r="D25" s="342"/>
      <c r="E25" s="342"/>
      <c r="F25" s="342"/>
      <c r="G25" s="342"/>
      <c r="H25" s="342"/>
      <c r="I25" s="342"/>
      <c r="J25" s="352"/>
      <c r="K25" s="352"/>
      <c r="L25" s="351"/>
      <c r="M25" s="35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52"/>
      <c r="Y25" s="359"/>
      <c r="Z25" s="307"/>
      <c r="AA25" s="307"/>
      <c r="AB25" s="100"/>
      <c r="AC25" s="100"/>
      <c r="AD25" s="100"/>
      <c r="BB25" s="101"/>
      <c r="BC25" s="101"/>
      <c r="BD25" s="101"/>
      <c r="BE25" s="101"/>
    </row>
    <row r="26" spans="1:57" x14ac:dyDescent="0.2">
      <c r="A26" s="105" t="s">
        <v>17</v>
      </c>
      <c r="B26" s="392">
        <f>(SUM(B11:B25))*0.5*0.055</f>
        <v>18.142778</v>
      </c>
      <c r="C26" s="370"/>
      <c r="D26" s="372">
        <f>(SUM(D11:D25))*0.5*0.055</f>
        <v>17.525255000000001</v>
      </c>
      <c r="E26" s="372"/>
      <c r="F26" s="372">
        <f>(SUM(F11:F25))*0.5*0.055</f>
        <v>22.543015000000008</v>
      </c>
      <c r="G26" s="372"/>
      <c r="H26" s="372">
        <f>(SUM(H11:H25))*0.5*0.055</f>
        <v>9.5255050000000008</v>
      </c>
      <c r="I26" s="372"/>
      <c r="J26" s="370">
        <f>(SUM(J11:J25))*0.5*0.055</f>
        <v>12.255045000000001</v>
      </c>
      <c r="K26" s="370"/>
      <c r="L26" s="392">
        <f>(SUM(L11:L25))*0.5*0.055</f>
        <v>15.106076250000001</v>
      </c>
      <c r="M26" s="370"/>
      <c r="N26" s="372">
        <f>(SUM(N11:N25))*0.5*0.055</f>
        <v>15.722850000000001</v>
      </c>
      <c r="O26" s="372"/>
      <c r="P26" s="372">
        <f>(SUM(P11:P25))*0.5*0.055</f>
        <v>11.104074574999999</v>
      </c>
      <c r="Q26" s="372"/>
      <c r="R26" s="372">
        <f>(SUM(R11:R25))*0.5*0.055</f>
        <v>7.9285255500000007</v>
      </c>
      <c r="S26" s="372"/>
      <c r="T26" s="372">
        <f>(SUM(T11:T25))*0.5*0.055</f>
        <v>8.1750344500000001</v>
      </c>
      <c r="U26" s="372"/>
      <c r="V26" s="372">
        <f>(SUM(V11:V25))*0.5*0.055</f>
        <v>12.048623124999999</v>
      </c>
      <c r="W26" s="372"/>
      <c r="X26" s="370">
        <f>(SUM(X11:X25))*0.5*0.055</f>
        <v>8.7040079499999994</v>
      </c>
      <c r="Y26" s="371"/>
      <c r="Z26" s="307"/>
      <c r="AA26" s="307"/>
      <c r="AB26" s="100"/>
      <c r="AC26" s="100"/>
      <c r="AD26" s="100"/>
      <c r="BB26" s="101"/>
      <c r="BC26" s="101"/>
      <c r="BD26" s="101"/>
      <c r="BE26" s="101"/>
    </row>
    <row r="27" spans="1:57" x14ac:dyDescent="0.2">
      <c r="A27" s="105" t="s">
        <v>171</v>
      </c>
      <c r="B27" s="392">
        <f>B7*0.0395</f>
        <v>47.4</v>
      </c>
      <c r="C27" s="370"/>
      <c r="D27" s="372"/>
      <c r="E27" s="372"/>
      <c r="F27" s="372"/>
      <c r="G27" s="372"/>
      <c r="H27" s="372"/>
      <c r="I27" s="372"/>
      <c r="J27" s="370"/>
      <c r="K27" s="370"/>
      <c r="L27" s="392">
        <f>0.0395*L7</f>
        <v>29.625</v>
      </c>
      <c r="M27" s="370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0"/>
      <c r="Y27" s="371"/>
      <c r="Z27" s="307"/>
      <c r="AA27" s="307"/>
      <c r="AB27" s="100"/>
      <c r="AC27" s="100"/>
      <c r="AD27" s="100"/>
      <c r="BB27" s="101"/>
      <c r="BC27" s="101"/>
      <c r="BD27" s="101"/>
      <c r="BE27" s="101"/>
    </row>
    <row r="28" spans="1:57" x14ac:dyDescent="0.2">
      <c r="A28" s="105" t="s">
        <v>15</v>
      </c>
      <c r="B28" s="392"/>
      <c r="C28" s="370"/>
      <c r="D28" s="372">
        <f>D7/2000*0.33*20+D7/2000*0.67*30</f>
        <v>62.745000000000005</v>
      </c>
      <c r="E28" s="372"/>
      <c r="F28" s="372">
        <f>F7*1.0975*0.28</f>
        <v>61.46</v>
      </c>
      <c r="G28" s="372"/>
      <c r="H28" s="372"/>
      <c r="I28" s="372"/>
      <c r="J28" s="370">
        <f>J7*1.0975*0.28</f>
        <v>30.73</v>
      </c>
      <c r="K28" s="370"/>
      <c r="L28" s="392"/>
      <c r="M28" s="370"/>
      <c r="N28" s="372">
        <f>N7/2000*0.33*20+N7/2000*0.67*30</f>
        <v>45.39</v>
      </c>
      <c r="O28" s="372"/>
      <c r="P28" s="372">
        <f>P7*1.0975*0.28</f>
        <v>26.1205</v>
      </c>
      <c r="Q28" s="372"/>
      <c r="R28" s="372"/>
      <c r="S28" s="372"/>
      <c r="T28" s="372">
        <f>T7*1.0975*0.28</f>
        <v>19.974499999999999</v>
      </c>
      <c r="U28" s="372"/>
      <c r="V28" s="372">
        <f>V7*1.03*0.095</f>
        <v>7.3387500000000001</v>
      </c>
      <c r="W28" s="372"/>
      <c r="X28" s="370">
        <f>X7*1.03*0.095</f>
        <v>5.3817500000000003</v>
      </c>
      <c r="Y28" s="371"/>
      <c r="Z28" s="307"/>
      <c r="AA28" s="307"/>
      <c r="AB28" s="100"/>
      <c r="AC28" s="100"/>
      <c r="AD28" s="100"/>
      <c r="BB28" s="101"/>
      <c r="BC28" s="101"/>
      <c r="BD28" s="101"/>
      <c r="BE28" s="101"/>
    </row>
    <row r="29" spans="1:57" x14ac:dyDescent="0.2">
      <c r="A29" s="105" t="s">
        <v>18</v>
      </c>
      <c r="B29" s="353"/>
      <c r="C29" s="354"/>
      <c r="D29" s="343">
        <f>D7/2000*3+D7/2000*355*0.01</f>
        <v>15.3925</v>
      </c>
      <c r="E29" s="343"/>
      <c r="F29" s="343"/>
      <c r="G29" s="343"/>
      <c r="H29" s="343"/>
      <c r="I29" s="343"/>
      <c r="J29" s="354"/>
      <c r="K29" s="354"/>
      <c r="L29" s="353"/>
      <c r="M29" s="354"/>
      <c r="N29" s="343">
        <f>N7/2000*3+N7/2000*355*0.01</f>
        <v>11.135</v>
      </c>
      <c r="O29" s="343"/>
      <c r="P29" s="343"/>
      <c r="Q29" s="343"/>
      <c r="R29" s="343"/>
      <c r="S29" s="343"/>
      <c r="T29" s="343"/>
      <c r="U29" s="343"/>
      <c r="V29" s="343"/>
      <c r="W29" s="343"/>
      <c r="X29" s="354"/>
      <c r="Y29" s="363"/>
      <c r="Z29" s="307"/>
      <c r="AA29" s="307"/>
      <c r="AB29" s="100"/>
      <c r="AC29" s="100"/>
      <c r="AD29" s="100"/>
      <c r="BB29" s="101"/>
      <c r="BC29" s="101"/>
      <c r="BD29" s="101"/>
      <c r="BE29" s="101"/>
    </row>
    <row r="30" spans="1:57" ht="15" thickBot="1" x14ac:dyDescent="0.25">
      <c r="A30" s="125" t="s">
        <v>157</v>
      </c>
      <c r="B30" s="366">
        <f t="shared" ref="B30:X30" si="0">SUM(B11:B29)</f>
        <v>725.2801598181818</v>
      </c>
      <c r="C30" s="365"/>
      <c r="D30" s="346">
        <f t="shared" si="0"/>
        <v>732.9447550000001</v>
      </c>
      <c r="E30" s="346"/>
      <c r="F30" s="346">
        <f t="shared" si="0"/>
        <v>903.74901500000021</v>
      </c>
      <c r="G30" s="346"/>
      <c r="H30" s="346">
        <f t="shared" si="0"/>
        <v>355.90750500000001</v>
      </c>
      <c r="I30" s="346"/>
      <c r="J30" s="365">
        <f t="shared" si="0"/>
        <v>488.62304500000005</v>
      </c>
      <c r="K30" s="365"/>
      <c r="L30" s="366">
        <f>SUM(L11:L29)</f>
        <v>594.04293988636368</v>
      </c>
      <c r="M30" s="365"/>
      <c r="N30" s="346">
        <f t="shared" si="0"/>
        <v>643.98784999999998</v>
      </c>
      <c r="O30" s="346"/>
      <c r="P30" s="346">
        <f t="shared" si="0"/>
        <v>441.00910457499992</v>
      </c>
      <c r="Q30" s="346"/>
      <c r="R30" s="346">
        <f t="shared" si="0"/>
        <v>296.23854555000003</v>
      </c>
      <c r="S30" s="346"/>
      <c r="T30" s="346">
        <f t="shared" si="0"/>
        <v>325.42351444999997</v>
      </c>
      <c r="U30" s="346"/>
      <c r="V30" s="346">
        <f>SUM(V11:V29)</f>
        <v>457.51912312499996</v>
      </c>
      <c r="W30" s="346"/>
      <c r="X30" s="365">
        <f t="shared" si="0"/>
        <v>330.59513794999998</v>
      </c>
      <c r="Y30" s="368"/>
      <c r="Z30" s="307"/>
      <c r="AA30" s="307"/>
      <c r="AB30" s="100"/>
      <c r="AC30" s="100"/>
      <c r="AD30" s="100"/>
      <c r="BB30" s="101"/>
      <c r="BC30" s="101"/>
      <c r="BD30" s="101"/>
      <c r="BE30" s="101"/>
    </row>
    <row r="31" spans="1:57" s="165" customFormat="1" x14ac:dyDescent="0.2">
      <c r="A31" s="163" t="s">
        <v>163</v>
      </c>
      <c r="B31" s="393">
        <f t="shared" ref="B31:X31" si="1">B9-B30</f>
        <v>354.7198401818182</v>
      </c>
      <c r="C31" s="374"/>
      <c r="D31" s="373">
        <f t="shared" si="1"/>
        <v>301.0552449999999</v>
      </c>
      <c r="E31" s="373"/>
      <c r="F31" s="373">
        <f t="shared" si="1"/>
        <v>296.25098499999979</v>
      </c>
      <c r="G31" s="373"/>
      <c r="H31" s="373">
        <f t="shared" si="1"/>
        <v>334.09249499999999</v>
      </c>
      <c r="I31" s="373"/>
      <c r="J31" s="374">
        <f t="shared" si="1"/>
        <v>91.376954999999953</v>
      </c>
      <c r="K31" s="374"/>
      <c r="L31" s="393">
        <f t="shared" si="1"/>
        <v>80.957060113636317</v>
      </c>
      <c r="M31" s="374"/>
      <c r="N31" s="373">
        <f t="shared" si="1"/>
        <v>104.01215000000002</v>
      </c>
      <c r="O31" s="373"/>
      <c r="P31" s="373">
        <f t="shared" si="1"/>
        <v>68.990895425000076</v>
      </c>
      <c r="Q31" s="373"/>
      <c r="R31" s="373">
        <f t="shared" si="1"/>
        <v>48.761454449999974</v>
      </c>
      <c r="S31" s="373"/>
      <c r="T31" s="373">
        <f t="shared" si="1"/>
        <v>51.576485550000029</v>
      </c>
      <c r="U31" s="373"/>
      <c r="V31" s="373">
        <f>V9-V30</f>
        <v>67.480876875000035</v>
      </c>
      <c r="W31" s="373"/>
      <c r="X31" s="374">
        <f t="shared" si="1"/>
        <v>54.40486205000002</v>
      </c>
      <c r="Y31" s="375"/>
      <c r="Z31" s="310"/>
      <c r="AA31" s="310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</row>
    <row r="32" spans="1:57" x14ac:dyDescent="0.2">
      <c r="A32" s="261" t="s">
        <v>170</v>
      </c>
      <c r="B32" s="262">
        <f>B30/B7</f>
        <v>0.60440013318181818</v>
      </c>
      <c r="C32" s="263" t="s">
        <v>159</v>
      </c>
      <c r="D32" s="264">
        <f>D30/D7*2000</f>
        <v>311.89138510638304</v>
      </c>
      <c r="E32" s="265" t="s">
        <v>160</v>
      </c>
      <c r="F32" s="266">
        <f>F30/F7</f>
        <v>4.5187450750000009</v>
      </c>
      <c r="G32" s="265" t="s">
        <v>162</v>
      </c>
      <c r="H32" s="266">
        <f>H30/H7</f>
        <v>5.9317917500000004</v>
      </c>
      <c r="I32" s="265" t="s">
        <v>162</v>
      </c>
      <c r="J32" s="267">
        <f>J30/J7</f>
        <v>4.8862304500000002</v>
      </c>
      <c r="K32" s="263" t="s">
        <v>162</v>
      </c>
      <c r="L32" s="262">
        <f>L30/L7</f>
        <v>0.7920572531818183</v>
      </c>
      <c r="M32" s="263" t="s">
        <v>159</v>
      </c>
      <c r="N32" s="264">
        <f>N30/N7*2000</f>
        <v>378.81638235294116</v>
      </c>
      <c r="O32" s="265" t="s">
        <v>160</v>
      </c>
      <c r="P32" s="266">
        <f>P30/P7</f>
        <v>5.188342406764705</v>
      </c>
      <c r="Q32" s="265" t="s">
        <v>162</v>
      </c>
      <c r="R32" s="266">
        <f>R30/R7</f>
        <v>9.874618185000001</v>
      </c>
      <c r="S32" s="265" t="s">
        <v>162</v>
      </c>
      <c r="T32" s="266">
        <f>T30/T7</f>
        <v>5.0065156069230765</v>
      </c>
      <c r="U32" s="265" t="s">
        <v>162</v>
      </c>
      <c r="V32" s="266">
        <f>V30/V7</f>
        <v>6.1002549749999995</v>
      </c>
      <c r="W32" s="265" t="s">
        <v>162</v>
      </c>
      <c r="X32" s="267">
        <f>X30/X7</f>
        <v>6.0108206900000001</v>
      </c>
      <c r="Y32" s="268" t="s">
        <v>162</v>
      </c>
      <c r="Z32" s="307"/>
      <c r="AA32" s="307"/>
      <c r="AB32" s="100"/>
      <c r="AC32" s="100"/>
      <c r="AD32" s="100"/>
      <c r="BB32" s="101"/>
      <c r="BC32" s="101"/>
      <c r="BD32" s="101"/>
      <c r="BE32" s="101"/>
    </row>
    <row r="33" spans="1:57" x14ac:dyDescent="0.2">
      <c r="A33" s="127" t="s">
        <v>189</v>
      </c>
      <c r="B33" s="323">
        <f>B30/B8</f>
        <v>805.86684424242424</v>
      </c>
      <c r="C33" s="324" t="s">
        <v>158</v>
      </c>
      <c r="D33" s="325">
        <f>D30/D8*2000</f>
        <v>3331.5670681818187</v>
      </c>
      <c r="E33" s="326" t="s">
        <v>158</v>
      </c>
      <c r="F33" s="325">
        <f>F30/F8</f>
        <v>150.62483583333338</v>
      </c>
      <c r="G33" s="326" t="s">
        <v>161</v>
      </c>
      <c r="H33" s="325">
        <f>H30/H8</f>
        <v>30.948478695652174</v>
      </c>
      <c r="I33" s="326" t="s">
        <v>161</v>
      </c>
      <c r="J33" s="327">
        <f>J30/J8</f>
        <v>84.245352586206906</v>
      </c>
      <c r="K33" s="324" t="s">
        <v>161</v>
      </c>
      <c r="L33" s="323">
        <f>L30/L8</f>
        <v>660.04771098484855</v>
      </c>
      <c r="M33" s="324" t="s">
        <v>158</v>
      </c>
      <c r="N33" s="325">
        <f>N30/N8*2000</f>
        <v>2927.2174999999997</v>
      </c>
      <c r="O33" s="326" t="s">
        <v>158</v>
      </c>
      <c r="P33" s="325">
        <f>P30/P8</f>
        <v>73.501517429166654</v>
      </c>
      <c r="Q33" s="326" t="s">
        <v>161</v>
      </c>
      <c r="R33" s="325">
        <f>R30/R8</f>
        <v>25.75987352608696</v>
      </c>
      <c r="S33" s="326" t="s">
        <v>161</v>
      </c>
      <c r="T33" s="325">
        <f>T30/T8</f>
        <v>56.107502491379307</v>
      </c>
      <c r="U33" s="326" t="s">
        <v>161</v>
      </c>
      <c r="V33" s="325">
        <f>V30/V8</f>
        <v>65.359874732142856</v>
      </c>
      <c r="W33" s="326" t="s">
        <v>161</v>
      </c>
      <c r="X33" s="325">
        <f>X30/X8</f>
        <v>47.227876849999994</v>
      </c>
      <c r="Y33" s="321" t="s">
        <v>161</v>
      </c>
      <c r="Z33" s="307"/>
      <c r="AA33" s="307"/>
      <c r="AB33" s="100"/>
      <c r="AC33" s="100"/>
      <c r="AD33" s="100"/>
      <c r="BB33" s="101"/>
      <c r="BC33" s="101"/>
      <c r="BD33" s="101"/>
      <c r="BE33" s="101"/>
    </row>
    <row r="34" spans="1:57" x14ac:dyDescent="0.2">
      <c r="A34" s="108" t="s">
        <v>164</v>
      </c>
      <c r="B34" s="392"/>
      <c r="C34" s="370"/>
      <c r="D34" s="372"/>
      <c r="E34" s="372"/>
      <c r="F34" s="372"/>
      <c r="G34" s="372"/>
      <c r="H34" s="372"/>
      <c r="I34" s="372"/>
      <c r="J34" s="370"/>
      <c r="K34" s="370"/>
      <c r="L34" s="392"/>
      <c r="M34" s="370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0"/>
      <c r="Y34" s="371"/>
      <c r="Z34" s="307"/>
      <c r="AA34" s="307"/>
      <c r="AB34" s="100"/>
      <c r="AC34" s="100"/>
      <c r="AD34" s="100"/>
      <c r="BB34" s="101"/>
      <c r="BC34" s="101"/>
      <c r="BD34" s="101"/>
      <c r="BE34" s="101"/>
    </row>
    <row r="35" spans="1:57" x14ac:dyDescent="0.2">
      <c r="A35" s="105" t="s">
        <v>19</v>
      </c>
      <c r="B35" s="351">
        <f>47.1+138.49</f>
        <v>185.59</v>
      </c>
      <c r="C35" s="352"/>
      <c r="D35" s="342">
        <f>67.87+102.04</f>
        <v>169.91000000000003</v>
      </c>
      <c r="E35" s="342"/>
      <c r="F35" s="342">
        <f>39.4+47.88</f>
        <v>87.28</v>
      </c>
      <c r="G35" s="342"/>
      <c r="H35" s="342">
        <f>35.5+32.78</f>
        <v>68.28</v>
      </c>
      <c r="I35" s="342"/>
      <c r="J35" s="339">
        <f>40.71+25.6</f>
        <v>66.31</v>
      </c>
      <c r="K35" s="340"/>
      <c r="L35" s="351">
        <f>47.1+138.49</f>
        <v>185.59</v>
      </c>
      <c r="M35" s="352"/>
      <c r="N35" s="342">
        <f>67.87+102.04</f>
        <v>169.91000000000003</v>
      </c>
      <c r="O35" s="342"/>
      <c r="P35" s="342">
        <f>39.4+47.88</f>
        <v>87.28</v>
      </c>
      <c r="Q35" s="342"/>
      <c r="R35" s="342">
        <f>35.5+32.78</f>
        <v>68.28</v>
      </c>
      <c r="S35" s="342"/>
      <c r="T35" s="339">
        <f>40.71+25.6</f>
        <v>66.31</v>
      </c>
      <c r="U35" s="340"/>
      <c r="V35" s="342">
        <f>46.5+30.17</f>
        <v>76.67</v>
      </c>
      <c r="W35" s="342"/>
      <c r="X35" s="352">
        <f>23.9+30.17</f>
        <v>54.07</v>
      </c>
      <c r="Y35" s="359"/>
      <c r="Z35" s="307"/>
      <c r="AA35" s="307"/>
      <c r="AB35" s="100"/>
      <c r="AC35" s="100"/>
      <c r="AD35" s="100"/>
      <c r="BB35" s="101"/>
      <c r="BC35" s="101"/>
      <c r="BD35" s="101"/>
      <c r="BE35" s="101"/>
    </row>
    <row r="36" spans="1:57" x14ac:dyDescent="0.2">
      <c r="A36" s="105" t="s">
        <v>12</v>
      </c>
      <c r="B36" s="351">
        <v>135</v>
      </c>
      <c r="C36" s="352"/>
      <c r="D36" s="342">
        <v>135</v>
      </c>
      <c r="E36" s="342"/>
      <c r="F36" s="342">
        <v>135</v>
      </c>
      <c r="G36" s="342"/>
      <c r="H36" s="342">
        <v>135</v>
      </c>
      <c r="I36" s="342"/>
      <c r="J36" s="352">
        <v>135</v>
      </c>
      <c r="K36" s="352"/>
      <c r="L36" s="351"/>
      <c r="M36" s="35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52"/>
      <c r="Y36" s="359"/>
      <c r="Z36" s="307"/>
      <c r="AA36" s="307"/>
      <c r="AB36" s="100"/>
      <c r="AC36" s="100"/>
      <c r="AD36" s="100"/>
      <c r="BB36" s="101"/>
      <c r="BC36" s="101"/>
      <c r="BD36" s="101"/>
      <c r="BE36" s="101"/>
    </row>
    <row r="37" spans="1:57" x14ac:dyDescent="0.2">
      <c r="A37" s="105" t="s">
        <v>20</v>
      </c>
      <c r="B37" s="351"/>
      <c r="C37" s="352"/>
      <c r="D37" s="342"/>
      <c r="E37" s="342"/>
      <c r="F37" s="342"/>
      <c r="G37" s="342"/>
      <c r="H37" s="342"/>
      <c r="I37" s="342"/>
      <c r="J37" s="352"/>
      <c r="K37" s="352"/>
      <c r="L37" s="351"/>
      <c r="M37" s="35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52"/>
      <c r="Y37" s="359"/>
      <c r="Z37" s="307"/>
      <c r="AA37" s="307"/>
      <c r="AB37" s="100"/>
      <c r="AC37" s="100"/>
      <c r="AD37" s="100"/>
      <c r="BB37" s="101"/>
      <c r="BC37" s="101"/>
      <c r="BD37" s="101"/>
      <c r="BE37" s="101"/>
    </row>
    <row r="38" spans="1:57" x14ac:dyDescent="0.2">
      <c r="A38" s="105" t="s">
        <v>21</v>
      </c>
      <c r="B38" s="353">
        <f>0.05*B30</f>
        <v>36.264007990909093</v>
      </c>
      <c r="C38" s="354"/>
      <c r="D38" s="343">
        <f>0.05*D30</f>
        <v>36.647237750000009</v>
      </c>
      <c r="E38" s="343"/>
      <c r="F38" s="343">
        <f>0.05*F30</f>
        <v>45.187450750000011</v>
      </c>
      <c r="G38" s="343"/>
      <c r="H38" s="343">
        <f>0.05*H30</f>
        <v>17.795375250000003</v>
      </c>
      <c r="I38" s="343"/>
      <c r="J38" s="354">
        <f>0.05*J30</f>
        <v>24.431152250000004</v>
      </c>
      <c r="K38" s="354"/>
      <c r="L38" s="353">
        <f>0.05*L30</f>
        <v>29.702146994318184</v>
      </c>
      <c r="M38" s="354"/>
      <c r="N38" s="343">
        <f>0.05*N30</f>
        <v>32.199392500000002</v>
      </c>
      <c r="O38" s="343"/>
      <c r="P38" s="343">
        <f>0.05*P30</f>
        <v>22.050455228749996</v>
      </c>
      <c r="Q38" s="343"/>
      <c r="R38" s="343">
        <f>0.05*R30</f>
        <v>14.811927277500002</v>
      </c>
      <c r="S38" s="343"/>
      <c r="T38" s="343">
        <f>0.05*T30</f>
        <v>16.271175722500001</v>
      </c>
      <c r="U38" s="343"/>
      <c r="V38" s="343">
        <f>0.05*V30</f>
        <v>22.875956156249998</v>
      </c>
      <c r="W38" s="343"/>
      <c r="X38" s="354">
        <f>0.05*X30</f>
        <v>16.5297568975</v>
      </c>
      <c r="Y38" s="363"/>
      <c r="Z38" s="307"/>
      <c r="AA38" s="307"/>
      <c r="AB38" s="100"/>
      <c r="AC38" s="100"/>
      <c r="AD38" s="100"/>
      <c r="BB38" s="101"/>
      <c r="BC38" s="101"/>
      <c r="BD38" s="101"/>
      <c r="BE38" s="101"/>
    </row>
    <row r="39" spans="1:57" x14ac:dyDescent="0.2">
      <c r="A39" s="111" t="s">
        <v>165</v>
      </c>
      <c r="B39" s="355">
        <f>SUM(B35:B38)</f>
        <v>356.85400799090911</v>
      </c>
      <c r="C39" s="356"/>
      <c r="D39" s="344">
        <f>SUM(D35:D38)</f>
        <v>341.55723775000001</v>
      </c>
      <c r="E39" s="344"/>
      <c r="F39" s="344">
        <f>SUM(F35:F38)</f>
        <v>267.46745075000001</v>
      </c>
      <c r="G39" s="344"/>
      <c r="H39" s="344">
        <f>SUM(H35:H38)</f>
        <v>221.07537525000001</v>
      </c>
      <c r="I39" s="344"/>
      <c r="J39" s="356">
        <f>SUM(J35:J38)</f>
        <v>225.74115225</v>
      </c>
      <c r="K39" s="356"/>
      <c r="L39" s="355">
        <f>SUM(L35:L38)</f>
        <v>215.29214699431819</v>
      </c>
      <c r="M39" s="356"/>
      <c r="N39" s="344">
        <f>SUM(N35:N38)</f>
        <v>202.10939250000001</v>
      </c>
      <c r="O39" s="344"/>
      <c r="P39" s="344">
        <f>SUM(P35:P38)</f>
        <v>109.33045522875</v>
      </c>
      <c r="Q39" s="344"/>
      <c r="R39" s="344">
        <f>SUM(R35:R38)</f>
        <v>83.091927277500005</v>
      </c>
      <c r="S39" s="344"/>
      <c r="T39" s="344">
        <f>SUM(T35:T38)</f>
        <v>82.581175722500006</v>
      </c>
      <c r="U39" s="344"/>
      <c r="V39" s="344">
        <f>SUM(V35:V38)</f>
        <v>99.54595615625</v>
      </c>
      <c r="W39" s="344"/>
      <c r="X39" s="356">
        <f>SUM(X35:X38)</f>
        <v>70.599756897500001</v>
      </c>
      <c r="Y39" s="362"/>
      <c r="Z39" s="307"/>
      <c r="AA39" s="307"/>
      <c r="AB39" s="100"/>
      <c r="AC39" s="100"/>
      <c r="AD39" s="100"/>
      <c r="BB39" s="101"/>
      <c r="BC39" s="101"/>
      <c r="BD39" s="101"/>
      <c r="BE39" s="101"/>
    </row>
    <row r="40" spans="1:57" x14ac:dyDescent="0.2">
      <c r="A40" s="105"/>
      <c r="B40" s="135"/>
      <c r="C40" s="136"/>
      <c r="D40" s="345"/>
      <c r="E40" s="345"/>
      <c r="F40" s="345"/>
      <c r="G40" s="345"/>
      <c r="H40" s="345"/>
      <c r="I40" s="345"/>
      <c r="J40" s="360"/>
      <c r="K40" s="360"/>
      <c r="L40" s="364"/>
      <c r="M40" s="360"/>
      <c r="N40" s="345"/>
      <c r="O40" s="345"/>
      <c r="P40" s="345"/>
      <c r="Q40" s="345"/>
      <c r="R40" s="345"/>
      <c r="S40" s="345"/>
      <c r="T40" s="345"/>
      <c r="U40" s="345"/>
      <c r="V40" s="303"/>
      <c r="W40" s="304"/>
      <c r="X40" s="360"/>
      <c r="Y40" s="361"/>
      <c r="Z40" s="307"/>
      <c r="AA40" s="307"/>
      <c r="AB40" s="100"/>
      <c r="AC40" s="100"/>
      <c r="AD40" s="100"/>
      <c r="BB40" s="101"/>
      <c r="BC40" s="101"/>
      <c r="BD40" s="101"/>
      <c r="BE40" s="101"/>
    </row>
    <row r="41" spans="1:57" ht="15" thickBot="1" x14ac:dyDescent="0.25">
      <c r="A41" s="125" t="s">
        <v>166</v>
      </c>
      <c r="B41" s="366">
        <f>B39+B30</f>
        <v>1082.134167809091</v>
      </c>
      <c r="C41" s="365"/>
      <c r="D41" s="346">
        <f>D39+D30</f>
        <v>1074.5019927500002</v>
      </c>
      <c r="E41" s="346"/>
      <c r="F41" s="346">
        <f>F39+F30</f>
        <v>1171.2164657500002</v>
      </c>
      <c r="G41" s="346"/>
      <c r="H41" s="346">
        <f>H39+H30</f>
        <v>576.98288024999999</v>
      </c>
      <c r="I41" s="346"/>
      <c r="J41" s="365">
        <f>J39+J30</f>
        <v>714.36419725000007</v>
      </c>
      <c r="K41" s="365"/>
      <c r="L41" s="366">
        <f>L39+L30</f>
        <v>809.33508688068184</v>
      </c>
      <c r="M41" s="365"/>
      <c r="N41" s="346">
        <f>N39+N30</f>
        <v>846.09724249999999</v>
      </c>
      <c r="O41" s="346"/>
      <c r="P41" s="346">
        <f>P39+P30</f>
        <v>550.33955980374992</v>
      </c>
      <c r="Q41" s="346"/>
      <c r="R41" s="346">
        <f>R39+R30</f>
        <v>379.33047282750005</v>
      </c>
      <c r="S41" s="346"/>
      <c r="T41" s="346">
        <f>T39+T30</f>
        <v>408.00469017249998</v>
      </c>
      <c r="U41" s="346"/>
      <c r="V41" s="346">
        <f>V39+V30</f>
        <v>557.06507928124995</v>
      </c>
      <c r="W41" s="346"/>
      <c r="X41" s="365">
        <f>X39+X30</f>
        <v>401.1948948475</v>
      </c>
      <c r="Y41" s="368"/>
      <c r="Z41" s="307"/>
      <c r="AA41" s="307"/>
      <c r="AB41" s="100"/>
      <c r="AC41" s="100"/>
      <c r="AD41" s="100"/>
      <c r="BB41" s="101"/>
      <c r="BC41" s="101"/>
      <c r="BD41" s="101"/>
      <c r="BE41" s="101"/>
    </row>
    <row r="42" spans="1:57" s="167" customFormat="1" ht="15" thickBot="1" x14ac:dyDescent="0.25">
      <c r="A42" s="140" t="s">
        <v>167</v>
      </c>
      <c r="B42" s="357">
        <f>B9-B41</f>
        <v>-2.1341678090909681</v>
      </c>
      <c r="C42" s="358"/>
      <c r="D42" s="350">
        <f>D9-D41</f>
        <v>-40.501992750000227</v>
      </c>
      <c r="E42" s="350"/>
      <c r="F42" s="350">
        <f>F9-F41</f>
        <v>28.783534249999775</v>
      </c>
      <c r="G42" s="350"/>
      <c r="H42" s="350">
        <f>H9-H41</f>
        <v>113.01711975000001</v>
      </c>
      <c r="I42" s="350"/>
      <c r="J42" s="358">
        <f>J9-J41</f>
        <v>-134.36419725000007</v>
      </c>
      <c r="K42" s="358"/>
      <c r="L42" s="357">
        <f>L9-L41</f>
        <v>-134.33508688068184</v>
      </c>
      <c r="M42" s="358"/>
      <c r="N42" s="350">
        <f>N9-N41</f>
        <v>-98.097242499999993</v>
      </c>
      <c r="O42" s="350"/>
      <c r="P42" s="350">
        <f>P9-P41</f>
        <v>-40.339559803749921</v>
      </c>
      <c r="Q42" s="350"/>
      <c r="R42" s="350">
        <f>R9-R41</f>
        <v>-34.330472827500046</v>
      </c>
      <c r="S42" s="350"/>
      <c r="T42" s="350">
        <f>T9-T41</f>
        <v>-31.004690172499977</v>
      </c>
      <c r="U42" s="350"/>
      <c r="V42" s="350">
        <f>V9-V41</f>
        <v>-32.06507928124995</v>
      </c>
      <c r="W42" s="350"/>
      <c r="X42" s="358">
        <f>X9-X41</f>
        <v>-16.194894847499995</v>
      </c>
      <c r="Y42" s="369"/>
      <c r="Z42" s="311"/>
      <c r="AA42" s="311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</row>
    <row r="43" spans="1:57" ht="15" thickTop="1" x14ac:dyDescent="0.2">
      <c r="A43" s="105"/>
      <c r="B43" s="141"/>
      <c r="C43" s="142"/>
      <c r="D43" s="347"/>
      <c r="E43" s="347"/>
      <c r="F43" s="337"/>
      <c r="G43" s="338"/>
      <c r="H43" s="337"/>
      <c r="I43" s="338"/>
      <c r="J43" s="142"/>
      <c r="K43" s="142"/>
      <c r="L43" s="348"/>
      <c r="M43" s="349"/>
      <c r="N43" s="347"/>
      <c r="O43" s="347"/>
      <c r="P43" s="347"/>
      <c r="Q43" s="347"/>
      <c r="R43" s="347"/>
      <c r="S43" s="347"/>
      <c r="T43" s="347"/>
      <c r="U43" s="347"/>
      <c r="V43" s="337"/>
      <c r="W43" s="338"/>
      <c r="X43" s="349"/>
      <c r="Y43" s="367"/>
      <c r="Z43" s="307"/>
      <c r="AA43" s="307"/>
      <c r="AB43" s="100"/>
      <c r="AC43" s="100"/>
      <c r="AD43" s="100"/>
      <c r="BB43" s="101"/>
      <c r="BC43" s="101"/>
      <c r="BD43" s="101"/>
      <c r="BE43" s="101"/>
    </row>
    <row r="44" spans="1:57" x14ac:dyDescent="0.2">
      <c r="A44" s="127" t="s">
        <v>34</v>
      </c>
      <c r="B44" s="168">
        <f>B41/B7</f>
        <v>0.90177847317424242</v>
      </c>
      <c r="C44" s="146" t="s">
        <v>159</v>
      </c>
      <c r="D44" s="242">
        <f>D41/D7*2000</f>
        <v>457.23489053191503</v>
      </c>
      <c r="E44" s="244" t="s">
        <v>160</v>
      </c>
      <c r="F44" s="243">
        <f>F41/F7</f>
        <v>5.8560823287500012</v>
      </c>
      <c r="G44" s="244" t="s">
        <v>162</v>
      </c>
      <c r="H44" s="243">
        <f>H41/H7</f>
        <v>9.6163813375</v>
      </c>
      <c r="I44" s="244" t="s">
        <v>162</v>
      </c>
      <c r="J44" s="243">
        <f>J41/J7</f>
        <v>7.1436419725000011</v>
      </c>
      <c r="K44" s="129" t="s">
        <v>162</v>
      </c>
      <c r="L44" s="145">
        <f>L41/L7</f>
        <v>1.0791134491742425</v>
      </c>
      <c r="M44" s="146" t="s">
        <v>159</v>
      </c>
      <c r="N44" s="239">
        <f>N41/N7*2000</f>
        <v>497.7042602941176</v>
      </c>
      <c r="O44" s="238" t="s">
        <v>160</v>
      </c>
      <c r="P44" s="240">
        <f>P41/P7</f>
        <v>6.4745830565147049</v>
      </c>
      <c r="Q44" s="238" t="s">
        <v>162</v>
      </c>
      <c r="R44" s="240">
        <f>R41/R7</f>
        <v>12.644349094250002</v>
      </c>
      <c r="S44" s="238" t="s">
        <v>162</v>
      </c>
      <c r="T44" s="240">
        <f>T41/T7</f>
        <v>6.2769952334230767</v>
      </c>
      <c r="U44" s="238" t="s">
        <v>162</v>
      </c>
      <c r="V44" s="240">
        <f>V41/V7</f>
        <v>7.4275343904166657</v>
      </c>
      <c r="W44" s="238" t="s">
        <v>162</v>
      </c>
      <c r="X44" s="147">
        <f>X41/X7</f>
        <v>7.2944526335909092</v>
      </c>
      <c r="Y44" s="132" t="s">
        <v>162</v>
      </c>
      <c r="Z44" s="307"/>
      <c r="AA44" s="307"/>
      <c r="AB44" s="100"/>
      <c r="AC44" s="100"/>
      <c r="AD44" s="100"/>
      <c r="BA44" s="101"/>
      <c r="BB44" s="101"/>
      <c r="BC44" s="101"/>
      <c r="BD44" s="101"/>
      <c r="BE44" s="101"/>
    </row>
    <row r="45" spans="1:57" x14ac:dyDescent="0.2">
      <c r="A45" s="148" t="s">
        <v>168</v>
      </c>
      <c r="B45" s="149">
        <f>B41/B8</f>
        <v>1202.3712975656565</v>
      </c>
      <c r="C45" s="150" t="s">
        <v>158</v>
      </c>
      <c r="D45" s="245">
        <f>D41/D8*2000</f>
        <v>4884.0999670454548</v>
      </c>
      <c r="E45" s="241" t="s">
        <v>158</v>
      </c>
      <c r="F45" s="246">
        <f>F41/F8</f>
        <v>195.2027442916667</v>
      </c>
      <c r="G45" s="238" t="s">
        <v>161</v>
      </c>
      <c r="H45" s="246">
        <f>H41/H8</f>
        <v>50.172424369565213</v>
      </c>
      <c r="I45" s="238" t="s">
        <v>161</v>
      </c>
      <c r="J45" s="246">
        <f>J41/J8</f>
        <v>123.16624090517243</v>
      </c>
      <c r="K45" s="305" t="s">
        <v>161</v>
      </c>
      <c r="L45" s="312">
        <f>L41/L8</f>
        <v>899.26120764520203</v>
      </c>
      <c r="M45" s="150" t="s">
        <v>158</v>
      </c>
      <c r="N45" s="245">
        <f>N41/N8*2000</f>
        <v>3845.896556818182</v>
      </c>
      <c r="O45" s="241" t="s">
        <v>158</v>
      </c>
      <c r="P45" s="246">
        <f>P41/P8</f>
        <v>91.723259967291654</v>
      </c>
      <c r="Q45" s="238" t="s">
        <v>161</v>
      </c>
      <c r="R45" s="246">
        <f>R41/R8</f>
        <v>32.985258506739136</v>
      </c>
      <c r="S45" s="238" t="s">
        <v>161</v>
      </c>
      <c r="T45" s="246">
        <f>T41/T8</f>
        <v>70.34563623663793</v>
      </c>
      <c r="U45" s="238" t="s">
        <v>161</v>
      </c>
      <c r="V45" s="246">
        <f>V41/V8</f>
        <v>79.580725611607136</v>
      </c>
      <c r="W45" s="238" t="s">
        <v>161</v>
      </c>
      <c r="X45" s="151">
        <f>X41/X8</f>
        <v>57.313556406785715</v>
      </c>
      <c r="Y45" s="132" t="s">
        <v>161</v>
      </c>
      <c r="Z45" s="313"/>
      <c r="AA45" s="313"/>
      <c r="AB45" s="100"/>
      <c r="AC45" s="100"/>
      <c r="AD45" s="100"/>
      <c r="BA45" s="101"/>
      <c r="BB45" s="101"/>
      <c r="BC45" s="101"/>
      <c r="BD45" s="101"/>
      <c r="BE45" s="101"/>
    </row>
    <row r="46" spans="1:57" x14ac:dyDescent="0.2">
      <c r="A46" s="153" t="s">
        <v>175</v>
      </c>
      <c r="B46" s="100"/>
      <c r="C46" s="237" t="s">
        <v>169</v>
      </c>
      <c r="D46" s="169">
        <v>1.1000000000000001</v>
      </c>
      <c r="E46" s="170" t="s">
        <v>65</v>
      </c>
      <c r="F46" s="169">
        <v>0.7</v>
      </c>
      <c r="G46" s="170" t="s">
        <v>66</v>
      </c>
      <c r="H46" s="234">
        <v>0.72</v>
      </c>
      <c r="I46" s="100"/>
      <c r="J46" s="100"/>
      <c r="K46" s="236"/>
      <c r="L46" s="236"/>
      <c r="M46" s="236"/>
      <c r="N46" s="100"/>
      <c r="O46" s="100"/>
      <c r="P46" s="100"/>
      <c r="Q46" s="236"/>
      <c r="R46" s="171"/>
      <c r="S46" s="171"/>
      <c r="T46" s="153"/>
      <c r="U46" s="153"/>
      <c r="V46" s="153"/>
      <c r="W46" s="153"/>
      <c r="X46" s="153"/>
      <c r="Y46" s="153"/>
      <c r="Z46" s="153"/>
      <c r="AA46" s="153"/>
      <c r="AB46" s="172"/>
      <c r="AC46" s="100"/>
      <c r="AD46" s="100"/>
      <c r="BE46" s="101"/>
    </row>
    <row r="47" spans="1:57" x14ac:dyDescent="0.2">
      <c r="A47" s="97" t="s">
        <v>176</v>
      </c>
      <c r="B47" s="247">
        <v>3</v>
      </c>
      <c r="C47" s="341" t="s">
        <v>67</v>
      </c>
      <c r="D47" s="341"/>
      <c r="E47" s="341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173"/>
      <c r="AC47" s="100"/>
      <c r="AD47" s="100"/>
      <c r="BE47" s="101"/>
    </row>
    <row r="48" spans="1:57" x14ac:dyDescent="0.2">
      <c r="A48" s="341" t="s">
        <v>191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174"/>
      <c r="AD48" s="100"/>
    </row>
    <row r="49" spans="1:1" s="100" customFormat="1" x14ac:dyDescent="0.2">
      <c r="A49" s="95"/>
    </row>
    <row r="50" spans="1:1" s="100" customFormat="1" x14ac:dyDescent="0.2">
      <c r="A50" s="105"/>
    </row>
    <row r="51" spans="1:1" s="100" customFormat="1" x14ac:dyDescent="0.2">
      <c r="A51" s="105"/>
    </row>
    <row r="52" spans="1:1" s="100" customFormat="1" x14ac:dyDescent="0.2">
      <c r="A52" s="105"/>
    </row>
    <row r="53" spans="1:1" s="100" customFormat="1" x14ac:dyDescent="0.2">
      <c r="A53" s="105"/>
    </row>
    <row r="54" spans="1:1" s="100" customFormat="1" x14ac:dyDescent="0.2">
      <c r="A54" s="95"/>
    </row>
    <row r="55" spans="1:1" s="100" customFormat="1" x14ac:dyDescent="0.2">
      <c r="A55" s="95"/>
    </row>
    <row r="56" spans="1:1" s="100" customFormat="1" x14ac:dyDescent="0.2">
      <c r="A56" s="95"/>
    </row>
    <row r="57" spans="1:1" s="100" customFormat="1" x14ac:dyDescent="0.2">
      <c r="A57" s="95"/>
    </row>
    <row r="58" spans="1:1" s="100" customFormat="1" x14ac:dyDescent="0.2">
      <c r="A58" s="95"/>
    </row>
    <row r="59" spans="1:1" s="100" customFormat="1" x14ac:dyDescent="0.2">
      <c r="A59" s="95"/>
    </row>
    <row r="60" spans="1:1" s="100" customFormat="1" x14ac:dyDescent="0.2">
      <c r="A60" s="95"/>
    </row>
    <row r="61" spans="1:1" s="100" customFormat="1" x14ac:dyDescent="0.2">
      <c r="A61" s="95"/>
    </row>
    <row r="62" spans="1:1" s="100" customFormat="1" x14ac:dyDescent="0.2">
      <c r="A62" s="95"/>
    </row>
    <row r="63" spans="1:1" s="100" customFormat="1" x14ac:dyDescent="0.2">
      <c r="A63" s="95"/>
    </row>
    <row r="64" spans="1:1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  <row r="219" spans="1:1" s="100" customFormat="1" x14ac:dyDescent="0.2">
      <c r="A219" s="95"/>
    </row>
    <row r="220" spans="1:1" s="100" customFormat="1" x14ac:dyDescent="0.2">
      <c r="A220" s="95"/>
    </row>
    <row r="221" spans="1:1" s="100" customFormat="1" x14ac:dyDescent="0.2">
      <c r="A221" s="95"/>
    </row>
    <row r="222" spans="1:1" s="100" customFormat="1" x14ac:dyDescent="0.2">
      <c r="A222" s="95"/>
    </row>
    <row r="223" spans="1:1" s="100" customFormat="1" x14ac:dyDescent="0.2">
      <c r="A223" s="95"/>
    </row>
    <row r="224" spans="1:1" s="100" customFormat="1" x14ac:dyDescent="0.2">
      <c r="A224" s="95"/>
    </row>
    <row r="225" spans="1:1" s="100" customFormat="1" x14ac:dyDescent="0.2">
      <c r="A225" s="95"/>
    </row>
    <row r="226" spans="1:1" s="100" customFormat="1" x14ac:dyDescent="0.2">
      <c r="A226" s="95"/>
    </row>
    <row r="227" spans="1:1" s="100" customFormat="1" x14ac:dyDescent="0.2">
      <c r="A227" s="95"/>
    </row>
    <row r="228" spans="1:1" s="100" customFormat="1" x14ac:dyDescent="0.2">
      <c r="A228" s="95"/>
    </row>
    <row r="229" spans="1:1" s="100" customFormat="1" x14ac:dyDescent="0.2">
      <c r="A229" s="95"/>
    </row>
    <row r="230" spans="1:1" s="100" customFormat="1" x14ac:dyDescent="0.2">
      <c r="A230" s="95"/>
    </row>
    <row r="231" spans="1:1" s="100" customFormat="1" x14ac:dyDescent="0.2">
      <c r="A231" s="95"/>
    </row>
    <row r="232" spans="1:1" s="100" customFormat="1" x14ac:dyDescent="0.2">
      <c r="A232" s="95"/>
    </row>
    <row r="233" spans="1:1" s="100" customFormat="1" x14ac:dyDescent="0.2">
      <c r="A233" s="95"/>
    </row>
    <row r="234" spans="1:1" s="100" customFormat="1" x14ac:dyDescent="0.2">
      <c r="A234" s="95"/>
    </row>
    <row r="235" spans="1:1" s="100" customFormat="1" x14ac:dyDescent="0.2">
      <c r="A235" s="95"/>
    </row>
    <row r="236" spans="1:1" s="100" customFormat="1" x14ac:dyDescent="0.2">
      <c r="A236" s="95"/>
    </row>
    <row r="237" spans="1:1" s="100" customFormat="1" x14ac:dyDescent="0.2">
      <c r="A237" s="95"/>
    </row>
    <row r="238" spans="1:1" s="100" customFormat="1" x14ac:dyDescent="0.2">
      <c r="A238" s="95"/>
    </row>
    <row r="239" spans="1:1" s="100" customFormat="1" x14ac:dyDescent="0.2">
      <c r="A239" s="95"/>
    </row>
    <row r="240" spans="1:1" s="100" customFormat="1" x14ac:dyDescent="0.2">
      <c r="A240" s="95"/>
    </row>
    <row r="241" spans="1:1" s="100" customFormat="1" x14ac:dyDescent="0.2">
      <c r="A241" s="95"/>
    </row>
    <row r="242" spans="1:1" s="100" customFormat="1" x14ac:dyDescent="0.2">
      <c r="A242" s="95"/>
    </row>
    <row r="243" spans="1:1" s="100" customFormat="1" x14ac:dyDescent="0.2">
      <c r="A243" s="95"/>
    </row>
    <row r="244" spans="1:1" s="100" customFormat="1" x14ac:dyDescent="0.2">
      <c r="A244" s="95"/>
    </row>
    <row r="245" spans="1:1" s="100" customFormat="1" x14ac:dyDescent="0.2">
      <c r="A245" s="95"/>
    </row>
    <row r="246" spans="1:1" s="100" customFormat="1" x14ac:dyDescent="0.2">
      <c r="A246" s="95"/>
    </row>
    <row r="247" spans="1:1" s="100" customFormat="1" x14ac:dyDescent="0.2">
      <c r="A247" s="95"/>
    </row>
    <row r="248" spans="1:1" s="100" customFormat="1" x14ac:dyDescent="0.2">
      <c r="A248" s="95"/>
    </row>
    <row r="249" spans="1:1" s="100" customFormat="1" x14ac:dyDescent="0.2">
      <c r="A249" s="95"/>
    </row>
    <row r="250" spans="1:1" s="100" customFormat="1" x14ac:dyDescent="0.2">
      <c r="A250" s="95"/>
    </row>
    <row r="251" spans="1:1" s="100" customFormat="1" x14ac:dyDescent="0.2">
      <c r="A251" s="95"/>
    </row>
    <row r="252" spans="1:1" s="100" customFormat="1" x14ac:dyDescent="0.2">
      <c r="A252" s="95"/>
    </row>
    <row r="253" spans="1:1" s="100" customFormat="1" x14ac:dyDescent="0.2">
      <c r="A253" s="95"/>
    </row>
    <row r="254" spans="1:1" s="100" customFormat="1" x14ac:dyDescent="0.2">
      <c r="A254" s="95"/>
    </row>
    <row r="255" spans="1:1" s="100" customFormat="1" x14ac:dyDescent="0.2">
      <c r="A255" s="95"/>
    </row>
    <row r="256" spans="1:1" s="100" customFormat="1" x14ac:dyDescent="0.2">
      <c r="A256" s="95"/>
    </row>
    <row r="257" spans="1:1" s="100" customFormat="1" x14ac:dyDescent="0.2">
      <c r="A257" s="95"/>
    </row>
    <row r="258" spans="1:1" s="100" customFormat="1" x14ac:dyDescent="0.2">
      <c r="A258" s="95"/>
    </row>
    <row r="259" spans="1:1" s="100" customFormat="1" x14ac:dyDescent="0.2">
      <c r="A259" s="95"/>
    </row>
    <row r="260" spans="1:1" s="100" customFormat="1" x14ac:dyDescent="0.2">
      <c r="A260" s="95"/>
    </row>
    <row r="261" spans="1:1" s="100" customFormat="1" x14ac:dyDescent="0.2">
      <c r="A261" s="95"/>
    </row>
    <row r="262" spans="1:1" s="100" customFormat="1" x14ac:dyDescent="0.2">
      <c r="A262" s="95"/>
    </row>
    <row r="263" spans="1:1" s="100" customFormat="1" x14ac:dyDescent="0.2">
      <c r="A263" s="95"/>
    </row>
    <row r="264" spans="1:1" s="100" customFormat="1" x14ac:dyDescent="0.2">
      <c r="A264" s="95"/>
    </row>
    <row r="265" spans="1:1" s="100" customFormat="1" x14ac:dyDescent="0.2">
      <c r="A265" s="95"/>
    </row>
    <row r="266" spans="1:1" s="100" customFormat="1" x14ac:dyDescent="0.2">
      <c r="A266" s="95"/>
    </row>
    <row r="267" spans="1:1" s="100" customFormat="1" x14ac:dyDescent="0.2">
      <c r="A267" s="95"/>
    </row>
    <row r="268" spans="1:1" s="100" customFormat="1" x14ac:dyDescent="0.2">
      <c r="A268" s="95"/>
    </row>
    <row r="269" spans="1:1" s="100" customFormat="1" x14ac:dyDescent="0.2">
      <c r="A269" s="95"/>
    </row>
    <row r="270" spans="1:1" s="100" customFormat="1" x14ac:dyDescent="0.2">
      <c r="A270" s="95"/>
    </row>
    <row r="271" spans="1:1" s="100" customFormat="1" x14ac:dyDescent="0.2">
      <c r="A271" s="95"/>
    </row>
    <row r="272" spans="1:1" s="100" customFormat="1" x14ac:dyDescent="0.2">
      <c r="A272" s="95"/>
    </row>
    <row r="273" spans="1:1" s="100" customFormat="1" x14ac:dyDescent="0.2">
      <c r="A273" s="95"/>
    </row>
    <row r="274" spans="1:1" s="100" customFormat="1" x14ac:dyDescent="0.2">
      <c r="A274" s="95"/>
    </row>
    <row r="275" spans="1:1" s="100" customFormat="1" x14ac:dyDescent="0.2">
      <c r="A275" s="95"/>
    </row>
    <row r="276" spans="1:1" s="100" customFormat="1" x14ac:dyDescent="0.2">
      <c r="A276" s="95"/>
    </row>
    <row r="277" spans="1:1" s="100" customFormat="1" x14ac:dyDescent="0.2">
      <c r="A277" s="95"/>
    </row>
    <row r="278" spans="1:1" s="100" customFormat="1" x14ac:dyDescent="0.2">
      <c r="A278" s="95"/>
    </row>
    <row r="279" spans="1:1" s="100" customFormat="1" x14ac:dyDescent="0.2">
      <c r="A279" s="95"/>
    </row>
    <row r="280" spans="1:1" s="100" customFormat="1" x14ac:dyDescent="0.2">
      <c r="A280" s="95"/>
    </row>
    <row r="281" spans="1:1" s="100" customFormat="1" x14ac:dyDescent="0.2">
      <c r="A281" s="95"/>
    </row>
    <row r="282" spans="1:1" s="100" customFormat="1" x14ac:dyDescent="0.2">
      <c r="A282" s="95"/>
    </row>
    <row r="283" spans="1:1" s="100" customFormat="1" x14ac:dyDescent="0.2">
      <c r="A283" s="95"/>
    </row>
    <row r="284" spans="1:1" s="100" customFormat="1" x14ac:dyDescent="0.2">
      <c r="A284" s="95"/>
    </row>
    <row r="285" spans="1:1" s="100" customFormat="1" x14ac:dyDescent="0.2">
      <c r="A285" s="95"/>
    </row>
    <row r="286" spans="1:1" s="100" customFormat="1" x14ac:dyDescent="0.2">
      <c r="A286" s="95"/>
    </row>
    <row r="287" spans="1:1" s="100" customFormat="1" x14ac:dyDescent="0.2">
      <c r="A287" s="95"/>
    </row>
    <row r="288" spans="1:1" s="100" customFormat="1" x14ac:dyDescent="0.2">
      <c r="A288" s="95"/>
    </row>
    <row r="289" spans="1:1" s="100" customFormat="1" x14ac:dyDescent="0.2">
      <c r="A289" s="95"/>
    </row>
    <row r="290" spans="1:1" s="100" customFormat="1" x14ac:dyDescent="0.2">
      <c r="A290" s="95"/>
    </row>
    <row r="291" spans="1:1" s="100" customFormat="1" x14ac:dyDescent="0.2">
      <c r="A291" s="95"/>
    </row>
    <row r="292" spans="1:1" s="100" customFormat="1" x14ac:dyDescent="0.2">
      <c r="A292" s="95"/>
    </row>
    <row r="293" spans="1:1" s="100" customFormat="1" x14ac:dyDescent="0.2">
      <c r="A293" s="95"/>
    </row>
    <row r="294" spans="1:1" s="100" customFormat="1" x14ac:dyDescent="0.2">
      <c r="A294" s="95"/>
    </row>
    <row r="295" spans="1:1" s="100" customFormat="1" x14ac:dyDescent="0.2">
      <c r="A295" s="95"/>
    </row>
    <row r="296" spans="1:1" s="100" customFormat="1" x14ac:dyDescent="0.2">
      <c r="A296" s="95"/>
    </row>
    <row r="297" spans="1:1" s="100" customFormat="1" x14ac:dyDescent="0.2">
      <c r="A297" s="95"/>
    </row>
    <row r="298" spans="1:1" s="100" customFormat="1" x14ac:dyDescent="0.2">
      <c r="A298" s="95"/>
    </row>
    <row r="299" spans="1:1" s="100" customFormat="1" x14ac:dyDescent="0.2">
      <c r="A299" s="95"/>
    </row>
    <row r="300" spans="1:1" s="100" customFormat="1" x14ac:dyDescent="0.2">
      <c r="A300" s="95"/>
    </row>
    <row r="301" spans="1:1" s="100" customFormat="1" x14ac:dyDescent="0.2">
      <c r="A301" s="95"/>
    </row>
    <row r="302" spans="1:1" s="100" customFormat="1" x14ac:dyDescent="0.2">
      <c r="A302" s="95"/>
    </row>
    <row r="303" spans="1:1" s="100" customFormat="1" x14ac:dyDescent="0.2">
      <c r="A303" s="95"/>
    </row>
    <row r="304" spans="1:1" s="100" customFormat="1" x14ac:dyDescent="0.2">
      <c r="A304" s="95"/>
    </row>
    <row r="305" spans="1:1" s="100" customFormat="1" x14ac:dyDescent="0.2">
      <c r="A305" s="95"/>
    </row>
    <row r="306" spans="1:1" s="100" customFormat="1" x14ac:dyDescent="0.2">
      <c r="A306" s="95"/>
    </row>
    <row r="307" spans="1:1" s="100" customFormat="1" x14ac:dyDescent="0.2">
      <c r="A307" s="95"/>
    </row>
    <row r="308" spans="1:1" s="100" customFormat="1" x14ac:dyDescent="0.2">
      <c r="A308" s="95"/>
    </row>
    <row r="309" spans="1:1" s="100" customFormat="1" x14ac:dyDescent="0.2">
      <c r="A309" s="95"/>
    </row>
    <row r="310" spans="1:1" s="100" customFormat="1" x14ac:dyDescent="0.2">
      <c r="A310" s="95"/>
    </row>
    <row r="311" spans="1:1" s="100" customFormat="1" x14ac:dyDescent="0.2">
      <c r="A311" s="95"/>
    </row>
    <row r="312" spans="1:1" s="100" customFormat="1" x14ac:dyDescent="0.2">
      <c r="A312" s="95"/>
    </row>
    <row r="313" spans="1:1" s="100" customFormat="1" x14ac:dyDescent="0.2">
      <c r="A313" s="95"/>
    </row>
    <row r="314" spans="1:1" s="100" customFormat="1" x14ac:dyDescent="0.2">
      <c r="A314" s="95"/>
    </row>
    <row r="315" spans="1:1" s="100" customFormat="1" x14ac:dyDescent="0.2">
      <c r="A315" s="95"/>
    </row>
    <row r="316" spans="1:1" s="100" customFormat="1" x14ac:dyDescent="0.2">
      <c r="A316" s="95"/>
    </row>
    <row r="317" spans="1:1" s="100" customFormat="1" x14ac:dyDescent="0.2">
      <c r="A317" s="95"/>
    </row>
    <row r="318" spans="1:1" s="100" customFormat="1" x14ac:dyDescent="0.2">
      <c r="A318" s="95"/>
    </row>
    <row r="319" spans="1:1" s="100" customFormat="1" x14ac:dyDescent="0.2">
      <c r="A319" s="95"/>
    </row>
    <row r="320" spans="1:1" s="100" customFormat="1" x14ac:dyDescent="0.2">
      <c r="A320" s="95"/>
    </row>
    <row r="321" spans="1:1" s="100" customFormat="1" x14ac:dyDescent="0.2">
      <c r="A321" s="95"/>
    </row>
    <row r="322" spans="1:1" s="100" customFormat="1" x14ac:dyDescent="0.2">
      <c r="A322" s="95"/>
    </row>
    <row r="323" spans="1:1" s="100" customFormat="1" x14ac:dyDescent="0.2">
      <c r="A323" s="95"/>
    </row>
    <row r="324" spans="1:1" s="100" customFormat="1" x14ac:dyDescent="0.2">
      <c r="A324" s="95"/>
    </row>
    <row r="325" spans="1:1" s="100" customFormat="1" x14ac:dyDescent="0.2">
      <c r="A325" s="95"/>
    </row>
    <row r="326" spans="1:1" s="100" customFormat="1" x14ac:dyDescent="0.2">
      <c r="A326" s="95"/>
    </row>
    <row r="327" spans="1:1" s="100" customFormat="1" x14ac:dyDescent="0.2">
      <c r="A327" s="95"/>
    </row>
    <row r="328" spans="1:1" s="100" customFormat="1" x14ac:dyDescent="0.2">
      <c r="A328" s="95"/>
    </row>
    <row r="329" spans="1:1" s="100" customFormat="1" x14ac:dyDescent="0.2">
      <c r="A329" s="95"/>
    </row>
    <row r="330" spans="1:1" s="100" customFormat="1" x14ac:dyDescent="0.2">
      <c r="A330" s="95"/>
    </row>
    <row r="331" spans="1:1" s="100" customFormat="1" x14ac:dyDescent="0.2">
      <c r="A331" s="95"/>
    </row>
    <row r="332" spans="1:1" s="100" customFormat="1" x14ac:dyDescent="0.2">
      <c r="A332" s="95"/>
    </row>
    <row r="333" spans="1:1" s="100" customFormat="1" x14ac:dyDescent="0.2">
      <c r="A333" s="95"/>
    </row>
    <row r="334" spans="1:1" s="100" customFormat="1" x14ac:dyDescent="0.2">
      <c r="A334" s="95"/>
    </row>
    <row r="335" spans="1:1" s="100" customFormat="1" x14ac:dyDescent="0.2">
      <c r="A335" s="95"/>
    </row>
    <row r="336" spans="1:1" s="100" customFormat="1" x14ac:dyDescent="0.2">
      <c r="A336" s="95"/>
    </row>
    <row r="337" spans="1:1" s="100" customFormat="1" x14ac:dyDescent="0.2">
      <c r="A337" s="95"/>
    </row>
    <row r="338" spans="1:1" s="100" customFormat="1" x14ac:dyDescent="0.2">
      <c r="A338" s="95"/>
    </row>
    <row r="339" spans="1:1" s="100" customFormat="1" x14ac:dyDescent="0.2">
      <c r="A339" s="95"/>
    </row>
    <row r="340" spans="1:1" s="100" customFormat="1" x14ac:dyDescent="0.2">
      <c r="A340" s="95"/>
    </row>
    <row r="341" spans="1:1" s="100" customFormat="1" x14ac:dyDescent="0.2">
      <c r="A341" s="95"/>
    </row>
    <row r="342" spans="1:1" s="100" customFormat="1" x14ac:dyDescent="0.2">
      <c r="A342" s="95"/>
    </row>
    <row r="343" spans="1:1" s="100" customFormat="1" x14ac:dyDescent="0.2">
      <c r="A343" s="95"/>
    </row>
    <row r="344" spans="1:1" s="100" customFormat="1" x14ac:dyDescent="0.2">
      <c r="A344" s="95"/>
    </row>
    <row r="345" spans="1:1" s="100" customFormat="1" x14ac:dyDescent="0.2">
      <c r="A345" s="95"/>
    </row>
    <row r="346" spans="1:1" s="100" customFormat="1" x14ac:dyDescent="0.2">
      <c r="A346" s="95"/>
    </row>
    <row r="347" spans="1:1" s="100" customFormat="1" x14ac:dyDescent="0.2">
      <c r="A347" s="95"/>
    </row>
    <row r="348" spans="1:1" s="100" customFormat="1" x14ac:dyDescent="0.2">
      <c r="A348" s="95"/>
    </row>
    <row r="349" spans="1:1" s="100" customFormat="1" x14ac:dyDescent="0.2">
      <c r="A349" s="95"/>
    </row>
    <row r="350" spans="1:1" s="100" customFormat="1" x14ac:dyDescent="0.2">
      <c r="A350" s="95"/>
    </row>
    <row r="351" spans="1:1" s="100" customFormat="1" x14ac:dyDescent="0.2">
      <c r="A351" s="95"/>
    </row>
    <row r="352" spans="1:1" s="100" customFormat="1" x14ac:dyDescent="0.2">
      <c r="A352" s="95"/>
    </row>
    <row r="353" spans="1:1" s="100" customFormat="1" x14ac:dyDescent="0.2">
      <c r="A353" s="95"/>
    </row>
    <row r="354" spans="1:1" s="100" customFormat="1" x14ac:dyDescent="0.2">
      <c r="A354" s="95"/>
    </row>
    <row r="355" spans="1:1" s="100" customFormat="1" x14ac:dyDescent="0.2">
      <c r="A355" s="95"/>
    </row>
    <row r="356" spans="1:1" s="100" customFormat="1" x14ac:dyDescent="0.2">
      <c r="A356" s="95"/>
    </row>
    <row r="357" spans="1:1" s="100" customFormat="1" x14ac:dyDescent="0.2">
      <c r="A357" s="95"/>
    </row>
    <row r="358" spans="1:1" s="100" customFormat="1" x14ac:dyDescent="0.2">
      <c r="A358" s="95"/>
    </row>
    <row r="359" spans="1:1" s="100" customFormat="1" x14ac:dyDescent="0.2">
      <c r="A359" s="95"/>
    </row>
    <row r="360" spans="1:1" s="100" customFormat="1" x14ac:dyDescent="0.2">
      <c r="A360" s="95"/>
    </row>
    <row r="361" spans="1:1" s="100" customFormat="1" x14ac:dyDescent="0.2">
      <c r="A361" s="95"/>
    </row>
    <row r="362" spans="1:1" s="100" customFormat="1" x14ac:dyDescent="0.2">
      <c r="A362" s="95"/>
    </row>
    <row r="363" spans="1:1" s="100" customFormat="1" x14ac:dyDescent="0.2">
      <c r="A363" s="95"/>
    </row>
    <row r="364" spans="1:1" s="100" customFormat="1" x14ac:dyDescent="0.2">
      <c r="A364" s="95"/>
    </row>
    <row r="365" spans="1:1" s="100" customFormat="1" x14ac:dyDescent="0.2">
      <c r="A365" s="95"/>
    </row>
    <row r="366" spans="1:1" s="100" customFormat="1" x14ac:dyDescent="0.2">
      <c r="A366" s="95"/>
    </row>
    <row r="367" spans="1:1" s="100" customFormat="1" x14ac:dyDescent="0.2">
      <c r="A367" s="95"/>
    </row>
    <row r="368" spans="1:1" s="100" customFormat="1" x14ac:dyDescent="0.2">
      <c r="A368" s="95"/>
    </row>
    <row r="369" spans="1:1" s="100" customFormat="1" x14ac:dyDescent="0.2">
      <c r="A369" s="95"/>
    </row>
    <row r="370" spans="1:1" s="100" customFormat="1" x14ac:dyDescent="0.2">
      <c r="A370" s="95"/>
    </row>
    <row r="371" spans="1:1" s="100" customFormat="1" x14ac:dyDescent="0.2">
      <c r="A371" s="95"/>
    </row>
    <row r="372" spans="1:1" s="100" customFormat="1" x14ac:dyDescent="0.2">
      <c r="A372" s="95"/>
    </row>
    <row r="373" spans="1:1" s="100" customFormat="1" x14ac:dyDescent="0.2">
      <c r="A373" s="95"/>
    </row>
    <row r="374" spans="1:1" s="100" customFormat="1" x14ac:dyDescent="0.2">
      <c r="A374" s="95"/>
    </row>
    <row r="375" spans="1:1" s="100" customFormat="1" x14ac:dyDescent="0.2">
      <c r="A375" s="95"/>
    </row>
    <row r="376" spans="1:1" s="100" customFormat="1" x14ac:dyDescent="0.2">
      <c r="A376" s="95"/>
    </row>
    <row r="377" spans="1:1" s="100" customFormat="1" x14ac:dyDescent="0.2">
      <c r="A377" s="95"/>
    </row>
    <row r="378" spans="1:1" s="100" customFormat="1" x14ac:dyDescent="0.2">
      <c r="A378" s="95"/>
    </row>
    <row r="379" spans="1:1" s="100" customFormat="1" x14ac:dyDescent="0.2">
      <c r="A379" s="95"/>
    </row>
    <row r="380" spans="1:1" s="100" customFormat="1" x14ac:dyDescent="0.2">
      <c r="A380" s="95"/>
    </row>
    <row r="381" spans="1:1" s="100" customFormat="1" x14ac:dyDescent="0.2">
      <c r="A381" s="95"/>
    </row>
    <row r="382" spans="1:1" s="100" customFormat="1" x14ac:dyDescent="0.2">
      <c r="A382" s="95"/>
    </row>
    <row r="383" spans="1:1" s="100" customFormat="1" x14ac:dyDescent="0.2">
      <c r="A383" s="95"/>
    </row>
    <row r="384" spans="1:1" s="100" customFormat="1" x14ac:dyDescent="0.2">
      <c r="A384" s="95"/>
    </row>
    <row r="385" spans="1:1" s="100" customFormat="1" x14ac:dyDescent="0.2">
      <c r="A385" s="95"/>
    </row>
    <row r="386" spans="1:1" s="100" customFormat="1" x14ac:dyDescent="0.2">
      <c r="A386" s="95"/>
    </row>
    <row r="387" spans="1:1" s="100" customFormat="1" x14ac:dyDescent="0.2">
      <c r="A387" s="95"/>
    </row>
    <row r="388" spans="1:1" s="100" customFormat="1" x14ac:dyDescent="0.2">
      <c r="A388" s="95"/>
    </row>
    <row r="389" spans="1:1" s="100" customFormat="1" x14ac:dyDescent="0.2">
      <c r="A389" s="95"/>
    </row>
    <row r="390" spans="1:1" s="100" customFormat="1" x14ac:dyDescent="0.2">
      <c r="A390" s="95"/>
    </row>
    <row r="391" spans="1:1" s="100" customFormat="1" x14ac:dyDescent="0.2">
      <c r="A391" s="95"/>
    </row>
    <row r="392" spans="1:1" s="100" customFormat="1" x14ac:dyDescent="0.2">
      <c r="A392" s="95"/>
    </row>
    <row r="393" spans="1:1" s="100" customFormat="1" x14ac:dyDescent="0.2">
      <c r="A393" s="95"/>
    </row>
    <row r="394" spans="1:1" s="100" customFormat="1" x14ac:dyDescent="0.2">
      <c r="A394" s="95"/>
    </row>
    <row r="395" spans="1:1" s="100" customFormat="1" x14ac:dyDescent="0.2">
      <c r="A395" s="95"/>
    </row>
    <row r="396" spans="1:1" s="100" customFormat="1" x14ac:dyDescent="0.2">
      <c r="A396" s="95"/>
    </row>
    <row r="397" spans="1:1" s="100" customFormat="1" x14ac:dyDescent="0.2">
      <c r="A397" s="95"/>
    </row>
    <row r="398" spans="1:1" s="100" customFormat="1" x14ac:dyDescent="0.2">
      <c r="A398" s="95"/>
    </row>
    <row r="399" spans="1:1" s="100" customFormat="1" x14ac:dyDescent="0.2">
      <c r="A399" s="95"/>
    </row>
    <row r="400" spans="1:1" s="100" customFormat="1" x14ac:dyDescent="0.2">
      <c r="A400" s="95"/>
    </row>
    <row r="401" spans="1:1" s="100" customFormat="1" x14ac:dyDescent="0.2">
      <c r="A401" s="95"/>
    </row>
    <row r="402" spans="1:1" s="100" customFormat="1" x14ac:dyDescent="0.2">
      <c r="A402" s="95"/>
    </row>
    <row r="403" spans="1:1" s="100" customFormat="1" x14ac:dyDescent="0.2">
      <c r="A403" s="95"/>
    </row>
    <row r="404" spans="1:1" s="100" customFormat="1" x14ac:dyDescent="0.2">
      <c r="A404" s="95"/>
    </row>
    <row r="405" spans="1:1" s="100" customFormat="1" x14ac:dyDescent="0.2">
      <c r="A405" s="95"/>
    </row>
    <row r="406" spans="1:1" s="100" customFormat="1" x14ac:dyDescent="0.2">
      <c r="A406" s="95"/>
    </row>
    <row r="407" spans="1:1" s="100" customFormat="1" x14ac:dyDescent="0.2">
      <c r="A407" s="95"/>
    </row>
    <row r="408" spans="1:1" s="100" customFormat="1" x14ac:dyDescent="0.2">
      <c r="A408" s="95"/>
    </row>
    <row r="409" spans="1:1" s="100" customFormat="1" x14ac:dyDescent="0.2">
      <c r="A409" s="95"/>
    </row>
    <row r="410" spans="1:1" s="100" customFormat="1" x14ac:dyDescent="0.2">
      <c r="A410" s="95"/>
    </row>
    <row r="411" spans="1:1" s="100" customFormat="1" x14ac:dyDescent="0.2">
      <c r="A411" s="95"/>
    </row>
    <row r="412" spans="1:1" s="100" customFormat="1" x14ac:dyDescent="0.2">
      <c r="A412" s="95"/>
    </row>
    <row r="413" spans="1:1" s="100" customFormat="1" x14ac:dyDescent="0.2">
      <c r="A413" s="95"/>
    </row>
    <row r="414" spans="1:1" s="100" customFormat="1" x14ac:dyDescent="0.2">
      <c r="A414" s="95"/>
    </row>
    <row r="415" spans="1:1" s="100" customFormat="1" x14ac:dyDescent="0.2">
      <c r="A415" s="95"/>
    </row>
    <row r="416" spans="1:1" s="100" customFormat="1" x14ac:dyDescent="0.2">
      <c r="A416" s="95"/>
    </row>
    <row r="417" spans="1:1" s="100" customFormat="1" x14ac:dyDescent="0.2">
      <c r="A417" s="95"/>
    </row>
    <row r="418" spans="1:1" s="100" customFormat="1" x14ac:dyDescent="0.2">
      <c r="A418" s="95"/>
    </row>
    <row r="419" spans="1:1" s="100" customFormat="1" x14ac:dyDescent="0.2">
      <c r="A419" s="95"/>
    </row>
    <row r="420" spans="1:1" s="100" customFormat="1" x14ac:dyDescent="0.2">
      <c r="A420" s="95"/>
    </row>
    <row r="421" spans="1:1" s="100" customFormat="1" x14ac:dyDescent="0.2">
      <c r="A421" s="95"/>
    </row>
    <row r="422" spans="1:1" s="100" customFormat="1" x14ac:dyDescent="0.2">
      <c r="A422" s="95"/>
    </row>
  </sheetData>
  <sheetProtection sheet="1" objects="1" scenarios="1"/>
  <mergeCells count="416">
    <mergeCell ref="L1:Y2"/>
    <mergeCell ref="B4:K4"/>
    <mergeCell ref="L4:Y4"/>
    <mergeCell ref="D41:E41"/>
    <mergeCell ref="D43:E43"/>
    <mergeCell ref="V34:W34"/>
    <mergeCell ref="J34:K34"/>
    <mergeCell ref="F6:G6"/>
    <mergeCell ref="D6:E6"/>
    <mergeCell ref="B6:C6"/>
    <mergeCell ref="D5:E5"/>
    <mergeCell ref="B5:C5"/>
    <mergeCell ref="F5:G5"/>
    <mergeCell ref="V36:W36"/>
    <mergeCell ref="D23:E23"/>
    <mergeCell ref="D24:E24"/>
    <mergeCell ref="D25:E25"/>
    <mergeCell ref="D26:E26"/>
    <mergeCell ref="D34:E34"/>
    <mergeCell ref="D13:E13"/>
    <mergeCell ref="J30:K30"/>
    <mergeCell ref="J28:K28"/>
    <mergeCell ref="H28:I28"/>
    <mergeCell ref="F28:G28"/>
    <mergeCell ref="J36:K36"/>
    <mergeCell ref="A48:AB48"/>
    <mergeCell ref="B25:C25"/>
    <mergeCell ref="B15:C15"/>
    <mergeCell ref="B17:C17"/>
    <mergeCell ref="B18:C18"/>
    <mergeCell ref="B19:C19"/>
    <mergeCell ref="B20:C20"/>
    <mergeCell ref="D37:E37"/>
    <mergeCell ref="D38:E38"/>
    <mergeCell ref="D39:E39"/>
    <mergeCell ref="D30:E30"/>
    <mergeCell ref="D31:E31"/>
    <mergeCell ref="D35:E35"/>
    <mergeCell ref="D27:E27"/>
    <mergeCell ref="D28:E28"/>
    <mergeCell ref="D29:E29"/>
    <mergeCell ref="D20:E20"/>
    <mergeCell ref="D36:E36"/>
    <mergeCell ref="V35:W35"/>
    <mergeCell ref="F35:G35"/>
    <mergeCell ref="F36:G36"/>
    <mergeCell ref="F37:G37"/>
    <mergeCell ref="H36:I36"/>
    <mergeCell ref="H37:I37"/>
    <mergeCell ref="N5:O5"/>
    <mergeCell ref="L5:M5"/>
    <mergeCell ref="R5:S5"/>
    <mergeCell ref="X5:Y5"/>
    <mergeCell ref="H5:I5"/>
    <mergeCell ref="R6:S6"/>
    <mergeCell ref="T5:U5"/>
    <mergeCell ref="T6:U6"/>
    <mergeCell ref="X6:Y6"/>
    <mergeCell ref="P5:Q5"/>
    <mergeCell ref="L6:M6"/>
    <mergeCell ref="N6:O6"/>
    <mergeCell ref="P6:Q6"/>
    <mergeCell ref="V5:W5"/>
    <mergeCell ref="V6:W6"/>
    <mergeCell ref="J5:K5"/>
    <mergeCell ref="J6:K6"/>
    <mergeCell ref="H6:I6"/>
    <mergeCell ref="V37:W37"/>
    <mergeCell ref="L29:M29"/>
    <mergeCell ref="H15:I15"/>
    <mergeCell ref="J15:K15"/>
    <mergeCell ref="J18:K18"/>
    <mergeCell ref="B9:C9"/>
    <mergeCell ref="B11:C11"/>
    <mergeCell ref="B12:C12"/>
    <mergeCell ref="B36:C36"/>
    <mergeCell ref="B37:C37"/>
    <mergeCell ref="B26:C26"/>
    <mergeCell ref="B27:C27"/>
    <mergeCell ref="B28:C28"/>
    <mergeCell ref="B29:C29"/>
    <mergeCell ref="B30:C30"/>
    <mergeCell ref="B23:C23"/>
    <mergeCell ref="B24:C24"/>
    <mergeCell ref="B14:C14"/>
    <mergeCell ref="B34:C34"/>
    <mergeCell ref="B10:C10"/>
    <mergeCell ref="B13:C13"/>
    <mergeCell ref="B31:C31"/>
    <mergeCell ref="B21:C21"/>
    <mergeCell ref="B22:C22"/>
    <mergeCell ref="B35:C35"/>
    <mergeCell ref="D12:E12"/>
    <mergeCell ref="D14:E14"/>
    <mergeCell ref="J37:K37"/>
    <mergeCell ref="D15:E15"/>
    <mergeCell ref="D17:E17"/>
    <mergeCell ref="D18:E18"/>
    <mergeCell ref="D19:E19"/>
    <mergeCell ref="D21:E21"/>
    <mergeCell ref="D22:E22"/>
    <mergeCell ref="H34:I34"/>
    <mergeCell ref="F34:G34"/>
    <mergeCell ref="J35:K35"/>
    <mergeCell ref="H35:I35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J24:K24"/>
    <mergeCell ref="F31:G31"/>
    <mergeCell ref="H31:I31"/>
    <mergeCell ref="J31:K31"/>
    <mergeCell ref="R12:S12"/>
    <mergeCell ref="P12:Q12"/>
    <mergeCell ref="J19:K19"/>
    <mergeCell ref="H19:I19"/>
    <mergeCell ref="F19:G19"/>
    <mergeCell ref="V12:W12"/>
    <mergeCell ref="J12:K12"/>
    <mergeCell ref="H12:I12"/>
    <mergeCell ref="F12:G12"/>
    <mergeCell ref="F13:G13"/>
    <mergeCell ref="H13:I13"/>
    <mergeCell ref="J13:K13"/>
    <mergeCell ref="V13:W13"/>
    <mergeCell ref="V14:W14"/>
    <mergeCell ref="J14:K14"/>
    <mergeCell ref="H14:I14"/>
    <mergeCell ref="F14:G14"/>
    <mergeCell ref="J17:K17"/>
    <mergeCell ref="H17:I17"/>
    <mergeCell ref="F17:G17"/>
    <mergeCell ref="F18:G18"/>
    <mergeCell ref="H18:I18"/>
    <mergeCell ref="F15:G15"/>
    <mergeCell ref="N19:O19"/>
    <mergeCell ref="J29:K29"/>
    <mergeCell ref="J26:K26"/>
    <mergeCell ref="H26:I26"/>
    <mergeCell ref="F26:G26"/>
    <mergeCell ref="F27:G27"/>
    <mergeCell ref="H27:I27"/>
    <mergeCell ref="J27:K27"/>
    <mergeCell ref="R25:S25"/>
    <mergeCell ref="R23:S23"/>
    <mergeCell ref="H30:I30"/>
    <mergeCell ref="H29:I29"/>
    <mergeCell ref="F29:G29"/>
    <mergeCell ref="J21:K21"/>
    <mergeCell ref="J20:K20"/>
    <mergeCell ref="F20:G20"/>
    <mergeCell ref="H20:I20"/>
    <mergeCell ref="F30:G30"/>
    <mergeCell ref="F25:G25"/>
    <mergeCell ref="H25:I25"/>
    <mergeCell ref="J25:K25"/>
    <mergeCell ref="R20:S20"/>
    <mergeCell ref="V31:W31"/>
    <mergeCell ref="V29:W29"/>
    <mergeCell ref="V30:W30"/>
    <mergeCell ref="L31:M31"/>
    <mergeCell ref="R22:S22"/>
    <mergeCell ref="V28:W28"/>
    <mergeCell ref="L28:M28"/>
    <mergeCell ref="L24:M24"/>
    <mergeCell ref="L25:M25"/>
    <mergeCell ref="V24:W24"/>
    <mergeCell ref="N27:O27"/>
    <mergeCell ref="L22:M22"/>
    <mergeCell ref="L23:M23"/>
    <mergeCell ref="R26:S26"/>
    <mergeCell ref="V27:W27"/>
    <mergeCell ref="P27:Q27"/>
    <mergeCell ref="N30:O30"/>
    <mergeCell ref="P30:Q30"/>
    <mergeCell ref="P31:Q31"/>
    <mergeCell ref="N22:O22"/>
    <mergeCell ref="V22:W22"/>
    <mergeCell ref="V23:W23"/>
    <mergeCell ref="P22:Q22"/>
    <mergeCell ref="R24:S24"/>
    <mergeCell ref="L12:M12"/>
    <mergeCell ref="L13:M13"/>
    <mergeCell ref="P20:Q20"/>
    <mergeCell ref="N20:O20"/>
    <mergeCell ref="N21:O21"/>
    <mergeCell ref="L14:M14"/>
    <mergeCell ref="L15:M15"/>
    <mergeCell ref="L17:M17"/>
    <mergeCell ref="L34:M34"/>
    <mergeCell ref="L30:M30"/>
    <mergeCell ref="P26:Q26"/>
    <mergeCell ref="N26:O26"/>
    <mergeCell ref="N28:O28"/>
    <mergeCell ref="P24:Q24"/>
    <mergeCell ref="P25:Q25"/>
    <mergeCell ref="N24:O24"/>
    <mergeCell ref="N25:O25"/>
    <mergeCell ref="P28:Q28"/>
    <mergeCell ref="L36:M36"/>
    <mergeCell ref="L26:M26"/>
    <mergeCell ref="L27:M27"/>
    <mergeCell ref="N23:O23"/>
    <mergeCell ref="P23:Q23"/>
    <mergeCell ref="L21:M21"/>
    <mergeCell ref="N29:O29"/>
    <mergeCell ref="P29:Q29"/>
    <mergeCell ref="P36:Q36"/>
    <mergeCell ref="N36:O36"/>
    <mergeCell ref="N31:O31"/>
    <mergeCell ref="L35:M35"/>
    <mergeCell ref="N35:O35"/>
    <mergeCell ref="P35:Q35"/>
    <mergeCell ref="P34:Q34"/>
    <mergeCell ref="N34:O34"/>
    <mergeCell ref="P21:Q21"/>
    <mergeCell ref="R17:S17"/>
    <mergeCell ref="R14:S14"/>
    <mergeCell ref="R19:S19"/>
    <mergeCell ref="T19:U19"/>
    <mergeCell ref="F9:G9"/>
    <mergeCell ref="H9:I9"/>
    <mergeCell ref="J9:K9"/>
    <mergeCell ref="R18:S18"/>
    <mergeCell ref="R21:S21"/>
    <mergeCell ref="T21:U21"/>
    <mergeCell ref="L18:M18"/>
    <mergeCell ref="L19:M19"/>
    <mergeCell ref="P19:Q19"/>
    <mergeCell ref="L20:M20"/>
    <mergeCell ref="P18:Q18"/>
    <mergeCell ref="N18:O18"/>
    <mergeCell ref="P11:Q11"/>
    <mergeCell ref="N13:O13"/>
    <mergeCell ref="P13:Q13"/>
    <mergeCell ref="P14:Q14"/>
    <mergeCell ref="N14:O14"/>
    <mergeCell ref="N15:O15"/>
    <mergeCell ref="P15:Q15"/>
    <mergeCell ref="N12:O12"/>
    <mergeCell ref="V9:W9"/>
    <mergeCell ref="H11:I11"/>
    <mergeCell ref="D9:E9"/>
    <mergeCell ref="D11:E11"/>
    <mergeCell ref="J10:K10"/>
    <mergeCell ref="H10:I10"/>
    <mergeCell ref="F10:G10"/>
    <mergeCell ref="D10:E10"/>
    <mergeCell ref="F11:G11"/>
    <mergeCell ref="R9:S9"/>
    <mergeCell ref="T9:U9"/>
    <mergeCell ref="P9:Q9"/>
    <mergeCell ref="N9:O9"/>
    <mergeCell ref="L9:M9"/>
    <mergeCell ref="P10:Q10"/>
    <mergeCell ref="J11:K11"/>
    <mergeCell ref="V11:W11"/>
    <mergeCell ref="L11:M11"/>
    <mergeCell ref="R11:S11"/>
    <mergeCell ref="T11:U11"/>
    <mergeCell ref="N11:O11"/>
    <mergeCell ref="X10:Y10"/>
    <mergeCell ref="T10:U10"/>
    <mergeCell ref="R10:S10"/>
    <mergeCell ref="L10:M10"/>
    <mergeCell ref="N10:O10"/>
    <mergeCell ref="X11:Y11"/>
    <mergeCell ref="X9:Y9"/>
    <mergeCell ref="X23:Y23"/>
    <mergeCell ref="X24:Y24"/>
    <mergeCell ref="T24:U24"/>
    <mergeCell ref="P17:Q17"/>
    <mergeCell ref="N17:O17"/>
    <mergeCell ref="R13:S13"/>
    <mergeCell ref="X13:Y13"/>
    <mergeCell ref="X21:Y21"/>
    <mergeCell ref="X22:Y22"/>
    <mergeCell ref="X15:Y15"/>
    <mergeCell ref="X17:Y17"/>
    <mergeCell ref="X20:Y20"/>
    <mergeCell ref="V19:W19"/>
    <mergeCell ref="V16:W16"/>
    <mergeCell ref="R16:S16"/>
    <mergeCell ref="R15:S15"/>
    <mergeCell ref="T15:U15"/>
    <mergeCell ref="X26:Y26"/>
    <mergeCell ref="T26:U26"/>
    <mergeCell ref="T23:U23"/>
    <mergeCell ref="X12:Y12"/>
    <mergeCell ref="T18:U18"/>
    <mergeCell ref="X18:Y18"/>
    <mergeCell ref="X19:Y19"/>
    <mergeCell ref="X14:Y14"/>
    <mergeCell ref="T13:U13"/>
    <mergeCell ref="T12:U12"/>
    <mergeCell ref="T14:U14"/>
    <mergeCell ref="V25:W25"/>
    <mergeCell ref="X25:Y25"/>
    <mergeCell ref="T25:U25"/>
    <mergeCell ref="V26:W26"/>
    <mergeCell ref="V15:W15"/>
    <mergeCell ref="T22:U22"/>
    <mergeCell ref="V17:W17"/>
    <mergeCell ref="V18:W18"/>
    <mergeCell ref="V20:W20"/>
    <mergeCell ref="V21:W21"/>
    <mergeCell ref="T16:U16"/>
    <mergeCell ref="T17:U17"/>
    <mergeCell ref="T20:U20"/>
    <mergeCell ref="X36:Y36"/>
    <mergeCell ref="T36:U36"/>
    <mergeCell ref="R36:S36"/>
    <mergeCell ref="X35:Y35"/>
    <mergeCell ref="X34:Y34"/>
    <mergeCell ref="T34:U34"/>
    <mergeCell ref="R34:S34"/>
    <mergeCell ref="X27:Y27"/>
    <mergeCell ref="T27:U27"/>
    <mergeCell ref="T28:U28"/>
    <mergeCell ref="T29:U29"/>
    <mergeCell ref="R27:S27"/>
    <mergeCell ref="R28:S28"/>
    <mergeCell ref="R29:S29"/>
    <mergeCell ref="R35:S35"/>
    <mergeCell ref="R30:S30"/>
    <mergeCell ref="R31:S31"/>
    <mergeCell ref="T30:U30"/>
    <mergeCell ref="T35:U35"/>
    <mergeCell ref="X30:Y30"/>
    <mergeCell ref="X31:Y31"/>
    <mergeCell ref="X29:Y29"/>
    <mergeCell ref="X28:Y28"/>
    <mergeCell ref="T31:U31"/>
    <mergeCell ref="D42:E42"/>
    <mergeCell ref="L41:M41"/>
    <mergeCell ref="J42:K42"/>
    <mergeCell ref="F38:G38"/>
    <mergeCell ref="F39:G39"/>
    <mergeCell ref="H38:I38"/>
    <mergeCell ref="H39:I39"/>
    <mergeCell ref="D40:E40"/>
    <mergeCell ref="X43:Y43"/>
    <mergeCell ref="T43:U43"/>
    <mergeCell ref="N42:O42"/>
    <mergeCell ref="P41:Q41"/>
    <mergeCell ref="P42:Q42"/>
    <mergeCell ref="R41:S41"/>
    <mergeCell ref="R42:S42"/>
    <mergeCell ref="R43:S43"/>
    <mergeCell ref="P43:Q43"/>
    <mergeCell ref="T41:U41"/>
    <mergeCell ref="T42:U42"/>
    <mergeCell ref="X41:Y41"/>
    <mergeCell ref="X42:Y42"/>
    <mergeCell ref="V43:W43"/>
    <mergeCell ref="V42:W42"/>
    <mergeCell ref="V41:W41"/>
    <mergeCell ref="J40:K40"/>
    <mergeCell ref="F40:G40"/>
    <mergeCell ref="F41:G41"/>
    <mergeCell ref="H41:I41"/>
    <mergeCell ref="L40:M40"/>
    <mergeCell ref="J39:K39"/>
    <mergeCell ref="J41:K41"/>
    <mergeCell ref="B38:C38"/>
    <mergeCell ref="B39:C39"/>
    <mergeCell ref="B41:C41"/>
    <mergeCell ref="X37:Y37"/>
    <mergeCell ref="P37:Q37"/>
    <mergeCell ref="P38:Q38"/>
    <mergeCell ref="P39:Q39"/>
    <mergeCell ref="P40:Q40"/>
    <mergeCell ref="R40:S40"/>
    <mergeCell ref="R39:S39"/>
    <mergeCell ref="R38:S38"/>
    <mergeCell ref="R37:S37"/>
    <mergeCell ref="T37:U37"/>
    <mergeCell ref="T38:U38"/>
    <mergeCell ref="T39:U39"/>
    <mergeCell ref="T40:U40"/>
    <mergeCell ref="X40:Y40"/>
    <mergeCell ref="X39:Y39"/>
    <mergeCell ref="X38:Y38"/>
    <mergeCell ref="V38:W38"/>
    <mergeCell ref="V39:W39"/>
    <mergeCell ref="H43:I43"/>
    <mergeCell ref="F43:G43"/>
    <mergeCell ref="D16:E16"/>
    <mergeCell ref="F16:G16"/>
    <mergeCell ref="H16:I16"/>
    <mergeCell ref="C47:E47"/>
    <mergeCell ref="N16:O16"/>
    <mergeCell ref="P16:Q16"/>
    <mergeCell ref="N37:O37"/>
    <mergeCell ref="N38:O38"/>
    <mergeCell ref="N39:O39"/>
    <mergeCell ref="N40:O40"/>
    <mergeCell ref="N41:O41"/>
    <mergeCell ref="N43:O43"/>
    <mergeCell ref="L43:M43"/>
    <mergeCell ref="H42:I42"/>
    <mergeCell ref="F42:G42"/>
    <mergeCell ref="L37:M37"/>
    <mergeCell ref="L38:M38"/>
    <mergeCell ref="L39:M39"/>
    <mergeCell ref="L42:M42"/>
    <mergeCell ref="J38:K38"/>
    <mergeCell ref="H40:I40"/>
    <mergeCell ref="B42:C42"/>
  </mergeCells>
  <phoneticPr fontId="2" type="noConversion"/>
  <conditionalFormatting sqref="B42 B31 D31 D42 F31 F42 H31 J31 V31 L31 L42 J42 H42 N31 N42 P31 R31 T31 X31 P42 R42 T42 X42">
    <cfRule type="cellIs" dxfId="8" priority="4" stopIfTrue="1" operator="lessThan">
      <formula>0</formula>
    </cfRule>
  </conditionalFormatting>
  <conditionalFormatting sqref="V42:W42">
    <cfRule type="cellIs" dxfId="7" priority="1" operator="lessThan">
      <formula>0</formula>
    </cfRule>
    <cfRule type="cellIs" dxfId="6" priority="2" operator="lessThan">
      <formula>0</formula>
    </cfRule>
    <cfRule type="colorScale" priority="3">
      <colorScale>
        <cfvo type="formula" val="&quot;&lt;0&quot;"/>
        <cfvo type="formula" val="&quot;&gt;0&quot;"/>
        <color rgb="FFFF0000"/>
        <color theme="1"/>
      </colorScale>
    </cfRule>
  </conditionalFormatting>
  <printOptions horizontalCentered="1" verticalCentered="1"/>
  <pageMargins left="0.5" right="0.5" top="0.5" bottom="0.5" header="0.25" footer="0.25"/>
  <pageSetup scale="79" orientation="landscape"/>
  <headerFooter>
    <oddFooter>&amp;L&amp;G</oddFooter>
  </headerFooter>
  <ignoredErrors>
    <ignoredError sqref="D9 N9 D44:D45 N44:N45" formula="1"/>
    <ignoredError sqref="N32 D32" formula="1" unlockedFormula="1"/>
    <ignoredError sqref="L8 D34 X12 D12 N34 H17:H18 X17:X18 X21 D27 F17:F18 D30:D31 N30:N31 P21 X8 F12 H12 J12 L21 N21 P8 P17:P18 P12 R8 R17:R18 R12 T8 T21 T17:T18 T12 Y35 C35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4"/>
  <sheetViews>
    <sheetView workbookViewId="0">
      <selection activeCell="C15" sqref="C15"/>
    </sheetView>
  </sheetViews>
  <sheetFormatPr baseColWidth="10" defaultColWidth="8.83203125" defaultRowHeight="13" x14ac:dyDescent="0.15"/>
  <cols>
    <col min="1" max="1" width="11.6640625" bestFit="1" customWidth="1"/>
    <col min="2" max="4" width="7.6640625" style="3" bestFit="1" customWidth="1"/>
    <col min="5" max="5" width="8.6640625" style="3" bestFit="1" customWidth="1"/>
    <col min="6" max="6" width="2.5" style="2" customWidth="1"/>
    <col min="7" max="9" width="7.6640625" bestFit="1" customWidth="1"/>
    <col min="10" max="10" width="8.33203125" bestFit="1" customWidth="1"/>
    <col min="11" max="11" width="1.6640625" style="2" customWidth="1"/>
    <col min="12" max="14" width="7.6640625" bestFit="1" customWidth="1"/>
    <col min="15" max="15" width="8.33203125" bestFit="1" customWidth="1"/>
    <col min="16" max="16" width="1.83203125" style="2" customWidth="1"/>
    <col min="17" max="19" width="7.6640625" bestFit="1" customWidth="1"/>
    <col min="20" max="20" width="8.33203125" bestFit="1" customWidth="1"/>
  </cols>
  <sheetData>
    <row r="1" spans="1:20" x14ac:dyDescent="0.15">
      <c r="A1" s="411" t="s">
        <v>85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</row>
    <row r="2" spans="1:20" x14ac:dyDescent="0.15">
      <c r="B2" s="3" t="s">
        <v>2</v>
      </c>
      <c r="C2" s="3" t="s">
        <v>68</v>
      </c>
      <c r="D2" s="3" t="s">
        <v>4</v>
      </c>
      <c r="E2" s="3" t="s">
        <v>69</v>
      </c>
    </row>
    <row r="3" spans="1:20" x14ac:dyDescent="0.15">
      <c r="A3" s="1" t="s">
        <v>70</v>
      </c>
      <c r="B3" s="4">
        <f>Conventional!$B$30</f>
        <v>725.2801598181818</v>
      </c>
      <c r="C3" s="4">
        <f>Conventional!$D$30</f>
        <v>732.9447550000001</v>
      </c>
      <c r="D3" s="4">
        <f>Conventional!$F$30</f>
        <v>903.74901500000021</v>
      </c>
      <c r="E3" s="4">
        <f>Conventional!$H$30</f>
        <v>355.90750500000001</v>
      </c>
    </row>
    <row r="4" spans="1:20" x14ac:dyDescent="0.15">
      <c r="A4" s="1" t="s">
        <v>71</v>
      </c>
      <c r="B4" s="5">
        <f>Conventional!$B$7</f>
        <v>1200</v>
      </c>
      <c r="C4" s="5">
        <f>Conventional!$D$7</f>
        <v>4700</v>
      </c>
      <c r="D4" s="5">
        <f>Conventional!$F$7</f>
        <v>200</v>
      </c>
      <c r="E4" s="5">
        <f>Conventional!$H$7</f>
        <v>60</v>
      </c>
    </row>
    <row r="5" spans="1:20" s="6" customFormat="1" x14ac:dyDescent="0.15">
      <c r="B5" s="412" t="s">
        <v>74</v>
      </c>
      <c r="C5" s="412"/>
      <c r="D5" s="412"/>
      <c r="E5" s="412"/>
      <c r="F5" s="29"/>
      <c r="G5" s="413" t="s">
        <v>75</v>
      </c>
      <c r="H5" s="413"/>
      <c r="I5" s="413"/>
      <c r="J5" s="413"/>
      <c r="K5" s="29"/>
      <c r="L5" s="414" t="s">
        <v>76</v>
      </c>
      <c r="M5" s="414"/>
      <c r="N5" s="414"/>
      <c r="O5" s="414"/>
      <c r="P5" s="29"/>
      <c r="Q5" s="415" t="s">
        <v>77</v>
      </c>
      <c r="R5" s="415"/>
      <c r="S5" s="415"/>
      <c r="T5" s="415"/>
    </row>
    <row r="6" spans="1:20" s="8" customFormat="1" ht="28" x14ac:dyDescent="0.15">
      <c r="A6" s="7"/>
      <c r="B6" s="25" t="s">
        <v>50</v>
      </c>
      <c r="C6" s="35" t="s">
        <v>78</v>
      </c>
      <c r="D6" s="35" t="s">
        <v>47</v>
      </c>
      <c r="E6" s="35" t="s">
        <v>79</v>
      </c>
      <c r="F6" s="31"/>
      <c r="G6" s="34" t="s">
        <v>50</v>
      </c>
      <c r="H6" s="26" t="s">
        <v>78</v>
      </c>
      <c r="I6" s="34" t="s">
        <v>47</v>
      </c>
      <c r="J6" s="34" t="s">
        <v>79</v>
      </c>
      <c r="K6" s="31"/>
      <c r="L6" s="33" t="s">
        <v>50</v>
      </c>
      <c r="M6" s="33" t="s">
        <v>78</v>
      </c>
      <c r="N6" s="27" t="s">
        <v>47</v>
      </c>
      <c r="O6" s="33" t="s">
        <v>79</v>
      </c>
      <c r="P6" s="31"/>
      <c r="Q6" s="32" t="s">
        <v>50</v>
      </c>
      <c r="R6" s="32" t="s">
        <v>78</v>
      </c>
      <c r="S6" s="28" t="s">
        <v>47</v>
      </c>
      <c r="T6" s="32" t="s">
        <v>79</v>
      </c>
    </row>
    <row r="7" spans="1:20" x14ac:dyDescent="0.15">
      <c r="B7" s="18">
        <f t="shared" ref="B7:B12" si="0">B8-0.025</f>
        <v>0.72499999999999987</v>
      </c>
      <c r="C7" s="19">
        <f t="shared" ref="C7:C21" si="1">(((B7*$B$4)-$B$3+$C$3)/$C$4)*2000</f>
        <v>373.47429582205029</v>
      </c>
      <c r="D7" s="18">
        <f t="shared" ref="D7:D21" si="2">(((B7*$B$4)-$B$3+$D$3)/$D$4)</f>
        <v>5.2423442759090912</v>
      </c>
      <c r="E7" s="18">
        <f>(((B7*$B$4)-$B$3+$E$3)/$E$4)</f>
        <v>8.3437890863636355</v>
      </c>
      <c r="G7" s="20">
        <f>(((H7*$C$4/2000)-$C$3+$B$3)/$B$4)</f>
        <v>0.71819617068181807</v>
      </c>
      <c r="H7" s="21">
        <f t="shared" ref="H7:H12" si="3">H8-10</f>
        <v>370</v>
      </c>
      <c r="I7" s="20">
        <f>(((H7*$C$4/2000)-$C$3+$D$3)/$D$4)</f>
        <v>5.2015213000000005</v>
      </c>
      <c r="J7" s="20">
        <f>(((H7*$C$4/2000)-$C$3+$E$3)/$E$4)</f>
        <v>8.2077124999999977</v>
      </c>
      <c r="L7" s="13">
        <f>(((N7*$D$4)-$D$3+$B$3)/$B$4)</f>
        <v>0.67627595401515095</v>
      </c>
      <c r="M7" s="14">
        <f>(((N7*$D$4)-$D$3+$C$3)/$C$4)*2000</f>
        <v>348.59393191489335</v>
      </c>
      <c r="N7" s="13">
        <f t="shared" ref="N7:N12" si="4">N8-0.15</f>
        <v>4.9499999999999975</v>
      </c>
      <c r="O7" s="13">
        <f>(((N7*$D$4)-$D$3+$E$3)/$E$4)</f>
        <v>7.3693081666666558</v>
      </c>
      <c r="Q7" s="9">
        <f>(((T7*$E$4)-$E$3+$B$3)/$B$4)</f>
        <v>0.76031054568181822</v>
      </c>
      <c r="R7" s="10">
        <f>(((T7*$E$4)-$E$3+$C$3)/$C$4)*2000</f>
        <v>391.50521276595754</v>
      </c>
      <c r="S7" s="9">
        <f>(((T7*$E$4)-$E$3+$D$3)/$D$4)</f>
        <v>5.4542075500000013</v>
      </c>
      <c r="T7" s="9">
        <f t="shared" ref="T7:T12" si="5">T8-0.35</f>
        <v>9.0500000000000025</v>
      </c>
    </row>
    <row r="8" spans="1:20" x14ac:dyDescent="0.15">
      <c r="B8" s="18">
        <f t="shared" si="0"/>
        <v>0.74999999999999989</v>
      </c>
      <c r="C8" s="19">
        <f t="shared" si="1"/>
        <v>386.24025326885879</v>
      </c>
      <c r="D8" s="18">
        <f t="shared" si="2"/>
        <v>5.3923442759090916</v>
      </c>
      <c r="E8" s="18">
        <f>(((B8*$B$4)-$B$3+$E$3)/$E$4)</f>
        <v>8.8437890863636355</v>
      </c>
      <c r="G8" s="20">
        <f t="shared" ref="G8:G21" si="6">(((H8*$C$4/2000)-$C$3+$B$3)/$B$4)</f>
        <v>0.73777950401515147</v>
      </c>
      <c r="H8" s="21">
        <f t="shared" si="3"/>
        <v>380</v>
      </c>
      <c r="I8" s="20">
        <f t="shared" ref="I8:I21" si="7">(((H8*$C$4/2000)-$C$3+$D$3)/$D$4)</f>
        <v>5.3190213000000002</v>
      </c>
      <c r="J8" s="20">
        <f t="shared" ref="J8:J21" si="8">(((H8*$C$4/2000)-$C$3+$E$3)/$E$4)</f>
        <v>8.5993791666666652</v>
      </c>
      <c r="L8" s="13">
        <f t="shared" ref="L8:L21" si="9">(((N8*$D$4)-$D$3+$B$3)/$B$4)</f>
        <v>0.70127595401515097</v>
      </c>
      <c r="M8" s="14">
        <f t="shared" ref="M8:M21" si="10">(((N8*$D$4)-$D$3+$C$3)/$C$4)*2000</f>
        <v>361.3598893617019</v>
      </c>
      <c r="N8" s="13">
        <f t="shared" si="4"/>
        <v>5.0999999999999979</v>
      </c>
      <c r="O8" s="13">
        <f t="shared" ref="O8:O21" si="11">(((N8*$D$4)-$D$3+$E$3)/$E$4)</f>
        <v>7.8693081666666558</v>
      </c>
      <c r="Q8" s="9">
        <f t="shared" ref="Q8:Q21" si="12">(((T8*$E$4)-$E$3+$B$3)/$B$4)</f>
        <v>0.77781054568181829</v>
      </c>
      <c r="R8" s="10">
        <f t="shared" ref="R8:R21" si="13">(((T8*$E$4)-$E$3+$C$3)/$C$4)*2000</f>
        <v>400.44138297872348</v>
      </c>
      <c r="S8" s="9">
        <f t="shared" ref="S8:S21" si="14">(((T8*$E$4)-$E$3+$D$3)/$D$4)</f>
        <v>5.5592075500000009</v>
      </c>
      <c r="T8" s="9">
        <f t="shared" si="5"/>
        <v>9.4000000000000021</v>
      </c>
    </row>
    <row r="9" spans="1:20" x14ac:dyDescent="0.15">
      <c r="B9" s="18">
        <f t="shared" si="0"/>
        <v>0.77499999999999991</v>
      </c>
      <c r="C9" s="19">
        <f t="shared" si="1"/>
        <v>399.00621071566735</v>
      </c>
      <c r="D9" s="18">
        <f t="shared" si="2"/>
        <v>5.5423442759090911</v>
      </c>
      <c r="E9" s="18">
        <f t="shared" ref="E9:E21" si="15">(((B9*$B$4)-$B$3+$E$3)/$E$4)</f>
        <v>9.3437890863636355</v>
      </c>
      <c r="G9" s="20">
        <f t="shared" si="6"/>
        <v>0.75736283734848475</v>
      </c>
      <c r="H9" s="21">
        <f t="shared" si="3"/>
        <v>390</v>
      </c>
      <c r="I9" s="20">
        <f t="shared" si="7"/>
        <v>5.4365213000000008</v>
      </c>
      <c r="J9" s="20">
        <f t="shared" si="8"/>
        <v>8.9910458333333327</v>
      </c>
      <c r="L9" s="13">
        <f t="shared" si="9"/>
        <v>0.72627595401515099</v>
      </c>
      <c r="M9" s="14">
        <f t="shared" si="10"/>
        <v>374.1258468085104</v>
      </c>
      <c r="N9" s="13">
        <f t="shared" si="4"/>
        <v>5.2499999999999982</v>
      </c>
      <c r="O9" s="13">
        <f t="shared" si="11"/>
        <v>8.3693081666666558</v>
      </c>
      <c r="Q9" s="9">
        <f t="shared" si="12"/>
        <v>0.79531054568181825</v>
      </c>
      <c r="R9" s="10">
        <f t="shared" si="13"/>
        <v>409.37755319148943</v>
      </c>
      <c r="S9" s="9">
        <f t="shared" si="14"/>
        <v>5.6642075500000013</v>
      </c>
      <c r="T9" s="9">
        <f t="shared" si="5"/>
        <v>9.7500000000000018</v>
      </c>
    </row>
    <row r="10" spans="1:20" x14ac:dyDescent="0.15">
      <c r="B10" s="18">
        <f t="shared" si="0"/>
        <v>0.79999999999999993</v>
      </c>
      <c r="C10" s="19">
        <f t="shared" si="1"/>
        <v>411.77216816247579</v>
      </c>
      <c r="D10" s="18">
        <f t="shared" si="2"/>
        <v>5.6923442759090914</v>
      </c>
      <c r="E10" s="18">
        <f t="shared" si="15"/>
        <v>9.8437890863636355</v>
      </c>
      <c r="G10" s="20">
        <f t="shared" si="6"/>
        <v>0.77694617068181804</v>
      </c>
      <c r="H10" s="21">
        <f t="shared" si="3"/>
        <v>400</v>
      </c>
      <c r="I10" s="20">
        <f t="shared" si="7"/>
        <v>5.5540213000000005</v>
      </c>
      <c r="J10" s="20">
        <f t="shared" si="8"/>
        <v>9.3827124999999985</v>
      </c>
      <c r="L10" s="13">
        <f t="shared" si="9"/>
        <v>0.75127595401515113</v>
      </c>
      <c r="M10" s="14">
        <f t="shared" si="10"/>
        <v>386.89180425531902</v>
      </c>
      <c r="N10" s="13">
        <f t="shared" si="4"/>
        <v>5.3999999999999986</v>
      </c>
      <c r="O10" s="13">
        <f t="shared" si="11"/>
        <v>8.8693081666666593</v>
      </c>
      <c r="Q10" s="9">
        <f t="shared" si="12"/>
        <v>0.81281054568181821</v>
      </c>
      <c r="R10" s="10">
        <f t="shared" si="13"/>
        <v>418.31372340425537</v>
      </c>
      <c r="S10" s="9">
        <f t="shared" si="14"/>
        <v>5.7692075500000009</v>
      </c>
      <c r="T10" s="9">
        <f t="shared" si="5"/>
        <v>10.100000000000001</v>
      </c>
    </row>
    <row r="11" spans="1:20" x14ac:dyDescent="0.15">
      <c r="B11" s="18">
        <f t="shared" si="0"/>
        <v>0.82499999999999996</v>
      </c>
      <c r="C11" s="19">
        <f t="shared" si="1"/>
        <v>424.53812560928441</v>
      </c>
      <c r="D11" s="18">
        <f t="shared" si="2"/>
        <v>5.8423442759090927</v>
      </c>
      <c r="E11" s="18">
        <f t="shared" si="15"/>
        <v>10.343789086363637</v>
      </c>
      <c r="G11" s="20">
        <f t="shared" si="6"/>
        <v>0.79652950401515143</v>
      </c>
      <c r="H11" s="21">
        <f t="shared" si="3"/>
        <v>410</v>
      </c>
      <c r="I11" s="20">
        <f t="shared" si="7"/>
        <v>5.6715213000000002</v>
      </c>
      <c r="J11" s="20">
        <f t="shared" si="8"/>
        <v>9.774379166666666</v>
      </c>
      <c r="L11" s="13">
        <f t="shared" si="9"/>
        <v>0.77627595401515115</v>
      </c>
      <c r="M11" s="14">
        <f t="shared" si="10"/>
        <v>399.65776170212752</v>
      </c>
      <c r="N11" s="13">
        <f t="shared" si="4"/>
        <v>5.5499999999999989</v>
      </c>
      <c r="O11" s="13">
        <f t="shared" si="11"/>
        <v>9.3693081666666593</v>
      </c>
      <c r="Q11" s="9">
        <f t="shared" si="12"/>
        <v>0.83031054568181828</v>
      </c>
      <c r="R11" s="10">
        <f t="shared" si="13"/>
        <v>427.24989361702137</v>
      </c>
      <c r="S11" s="9">
        <f t="shared" si="14"/>
        <v>5.8742075500000013</v>
      </c>
      <c r="T11" s="9">
        <f t="shared" si="5"/>
        <v>10.450000000000001</v>
      </c>
    </row>
    <row r="12" spans="1:20" x14ac:dyDescent="0.15">
      <c r="B12" s="18">
        <f t="shared" si="0"/>
        <v>0.85</v>
      </c>
      <c r="C12" s="19">
        <f t="shared" si="1"/>
        <v>437.30408305609285</v>
      </c>
      <c r="D12" s="18">
        <f t="shared" si="2"/>
        <v>5.992344275909093</v>
      </c>
      <c r="E12" s="18">
        <f t="shared" si="15"/>
        <v>10.843789086363637</v>
      </c>
      <c r="G12" s="20">
        <f t="shared" si="6"/>
        <v>0.81611283734848472</v>
      </c>
      <c r="H12" s="21">
        <f t="shared" si="3"/>
        <v>420</v>
      </c>
      <c r="I12" s="20">
        <f t="shared" si="7"/>
        <v>5.7890213000000008</v>
      </c>
      <c r="J12" s="20">
        <f t="shared" si="8"/>
        <v>10.166045833333332</v>
      </c>
      <c r="L12" s="13">
        <f t="shared" si="9"/>
        <v>0.80127595401515117</v>
      </c>
      <c r="M12" s="14">
        <f t="shared" si="10"/>
        <v>412.42371914893607</v>
      </c>
      <c r="N12" s="13">
        <f t="shared" si="4"/>
        <v>5.6999999999999993</v>
      </c>
      <c r="O12" s="13">
        <f t="shared" si="11"/>
        <v>9.8693081666666593</v>
      </c>
      <c r="Q12" s="9">
        <f t="shared" si="12"/>
        <v>0.84781054568181813</v>
      </c>
      <c r="R12" s="10">
        <f t="shared" si="13"/>
        <v>436.18606382978726</v>
      </c>
      <c r="S12" s="9">
        <f t="shared" si="14"/>
        <v>5.9792075500000008</v>
      </c>
      <c r="T12" s="9">
        <f t="shared" si="5"/>
        <v>10.8</v>
      </c>
    </row>
    <row r="13" spans="1:20" ht="14" thickBot="1" x14ac:dyDescent="0.2">
      <c r="B13" s="18">
        <f>B14-0.025</f>
        <v>0.875</v>
      </c>
      <c r="C13" s="19">
        <f t="shared" si="1"/>
        <v>450.07004050290135</v>
      </c>
      <c r="D13" s="18">
        <f t="shared" si="2"/>
        <v>6.1423442759090925</v>
      </c>
      <c r="E13" s="18">
        <f t="shared" si="15"/>
        <v>11.343789086363637</v>
      </c>
      <c r="G13" s="20">
        <f t="shared" si="6"/>
        <v>0.83569617068181812</v>
      </c>
      <c r="H13" s="21">
        <f>H14-10</f>
        <v>430</v>
      </c>
      <c r="I13" s="20">
        <f t="shared" si="7"/>
        <v>5.9065213000000005</v>
      </c>
      <c r="J13" s="20">
        <f t="shared" si="8"/>
        <v>10.557712499999999</v>
      </c>
      <c r="L13" s="13">
        <f t="shared" si="9"/>
        <v>0.8262759540151513</v>
      </c>
      <c r="M13" s="14">
        <f t="shared" si="10"/>
        <v>425.18967659574463</v>
      </c>
      <c r="N13" s="13">
        <f>N14-0.15</f>
        <v>5.85</v>
      </c>
      <c r="O13" s="13">
        <f t="shared" si="11"/>
        <v>10.369308166666663</v>
      </c>
      <c r="Q13" s="9">
        <f t="shared" si="12"/>
        <v>0.86531054568181809</v>
      </c>
      <c r="R13" s="10">
        <f t="shared" si="13"/>
        <v>445.12223404255326</v>
      </c>
      <c r="S13" s="9">
        <f t="shared" si="14"/>
        <v>6.0842075500000012</v>
      </c>
      <c r="T13" s="9">
        <f>T14-0.35</f>
        <v>11.15</v>
      </c>
    </row>
    <row r="14" spans="1:20" ht="14" thickBot="1" x14ac:dyDescent="0.2">
      <c r="B14" s="24">
        <f>Conventional!$B$8</f>
        <v>0.9</v>
      </c>
      <c r="C14" s="19">
        <f>(((B14*$B$4)-$B$3+$C$3)/$C$4)*2000</f>
        <v>462.83599794970985</v>
      </c>
      <c r="D14" s="18">
        <f t="shared" si="2"/>
        <v>6.2923442759090928</v>
      </c>
      <c r="E14" s="18">
        <f t="shared" si="15"/>
        <v>11.843789086363637</v>
      </c>
      <c r="G14" s="20">
        <f t="shared" si="6"/>
        <v>0.85527950401515151</v>
      </c>
      <c r="H14" s="22">
        <f>Conventional!$D$8</f>
        <v>440</v>
      </c>
      <c r="I14" s="20">
        <f t="shared" si="7"/>
        <v>6.0240213000000002</v>
      </c>
      <c r="J14" s="20">
        <f t="shared" si="8"/>
        <v>10.949379166666665</v>
      </c>
      <c r="L14" s="13">
        <f t="shared" si="9"/>
        <v>0.85127595401515133</v>
      </c>
      <c r="M14" s="14">
        <f t="shared" si="10"/>
        <v>437.95563404255319</v>
      </c>
      <c r="N14" s="15">
        <f>Conventional!$F$8</f>
        <v>6</v>
      </c>
      <c r="O14" s="13">
        <f t="shared" si="11"/>
        <v>10.869308166666663</v>
      </c>
      <c r="Q14" s="9">
        <f t="shared" si="12"/>
        <v>0.88281054568181805</v>
      </c>
      <c r="R14" s="10">
        <f t="shared" si="13"/>
        <v>454.0584042553192</v>
      </c>
      <c r="S14" s="9">
        <f t="shared" si="14"/>
        <v>6.1892075500000008</v>
      </c>
      <c r="T14" s="11">
        <f>Conventional!$H$8</f>
        <v>11.5</v>
      </c>
    </row>
    <row r="15" spans="1:20" x14ac:dyDescent="0.15">
      <c r="B15" s="18">
        <f>B14+0.025</f>
        <v>0.92500000000000004</v>
      </c>
      <c r="C15" s="19">
        <f t="shared" si="1"/>
        <v>475.60195539651841</v>
      </c>
      <c r="D15" s="18">
        <f t="shared" si="2"/>
        <v>6.4423442759090923</v>
      </c>
      <c r="E15" s="18">
        <f t="shared" si="15"/>
        <v>12.343789086363637</v>
      </c>
      <c r="G15" s="20">
        <f t="shared" si="6"/>
        <v>0.8748628373484848</v>
      </c>
      <c r="H15" s="21">
        <f>H14+10</f>
        <v>450</v>
      </c>
      <c r="I15" s="20">
        <f t="shared" si="7"/>
        <v>6.1415213000000008</v>
      </c>
      <c r="J15" s="20">
        <f t="shared" si="8"/>
        <v>11.341045833333332</v>
      </c>
      <c r="L15" s="13">
        <f t="shared" si="9"/>
        <v>0.87627595401515124</v>
      </c>
      <c r="M15" s="14">
        <f t="shared" si="10"/>
        <v>450.72159148936163</v>
      </c>
      <c r="N15" s="13">
        <f>N14+0.15</f>
        <v>6.15</v>
      </c>
      <c r="O15" s="13">
        <f t="shared" si="11"/>
        <v>11.369308166666663</v>
      </c>
      <c r="Q15" s="9">
        <f t="shared" si="12"/>
        <v>0.90031054568181801</v>
      </c>
      <c r="R15" s="10">
        <f t="shared" si="13"/>
        <v>462.99457446808509</v>
      </c>
      <c r="S15" s="9">
        <f t="shared" si="14"/>
        <v>6.2942075500000012</v>
      </c>
      <c r="T15" s="9">
        <f>T14+0.35</f>
        <v>11.85</v>
      </c>
    </row>
    <row r="16" spans="1:20" x14ac:dyDescent="0.15">
      <c r="B16" s="18">
        <f t="shared" ref="B16:B21" si="16">B15+0.025</f>
        <v>0.95000000000000007</v>
      </c>
      <c r="C16" s="19">
        <f t="shared" si="1"/>
        <v>488.36791284332685</v>
      </c>
      <c r="D16" s="18">
        <f t="shared" si="2"/>
        <v>6.5923442759090927</v>
      </c>
      <c r="E16" s="18">
        <f t="shared" si="15"/>
        <v>12.843789086363637</v>
      </c>
      <c r="G16" s="20">
        <f t="shared" si="6"/>
        <v>0.8944461706818182</v>
      </c>
      <c r="H16" s="21">
        <f t="shared" ref="H16:H21" si="17">H15+10</f>
        <v>460</v>
      </c>
      <c r="I16" s="20">
        <f t="shared" si="7"/>
        <v>6.2590213000000006</v>
      </c>
      <c r="J16" s="20">
        <f t="shared" si="8"/>
        <v>11.732712499999998</v>
      </c>
      <c r="L16" s="13">
        <f t="shared" si="9"/>
        <v>0.90127595401515159</v>
      </c>
      <c r="M16" s="14">
        <f t="shared" si="10"/>
        <v>463.4875489361703</v>
      </c>
      <c r="N16" s="13">
        <f t="shared" ref="N16:N21" si="18">N15+0.15</f>
        <v>6.3000000000000007</v>
      </c>
      <c r="O16" s="13">
        <f t="shared" si="11"/>
        <v>11.869308166666666</v>
      </c>
      <c r="Q16" s="9">
        <f t="shared" si="12"/>
        <v>0.91781054568181808</v>
      </c>
      <c r="R16" s="10">
        <f t="shared" si="13"/>
        <v>471.93074468085109</v>
      </c>
      <c r="S16" s="9">
        <f t="shared" si="14"/>
        <v>6.3992075500000007</v>
      </c>
      <c r="T16" s="9">
        <f t="shared" ref="T16:T21" si="19">T15+0.35</f>
        <v>12.2</v>
      </c>
    </row>
    <row r="17" spans="1:20" x14ac:dyDescent="0.15">
      <c r="B17" s="18">
        <f t="shared" si="16"/>
        <v>0.97500000000000009</v>
      </c>
      <c r="C17" s="19">
        <f t="shared" si="1"/>
        <v>501.13387029013546</v>
      </c>
      <c r="D17" s="18">
        <f t="shared" si="2"/>
        <v>6.742344275909093</v>
      </c>
      <c r="E17" s="18">
        <f t="shared" si="15"/>
        <v>13.343789086363637</v>
      </c>
      <c r="G17" s="20">
        <f t="shared" si="6"/>
        <v>0.91402950401515148</v>
      </c>
      <c r="H17" s="21">
        <f t="shared" si="17"/>
        <v>470</v>
      </c>
      <c r="I17" s="20">
        <f t="shared" si="7"/>
        <v>6.3765213000000003</v>
      </c>
      <c r="J17" s="20">
        <f t="shared" si="8"/>
        <v>12.124379166666666</v>
      </c>
      <c r="L17" s="13">
        <f t="shared" si="9"/>
        <v>0.92627595401515161</v>
      </c>
      <c r="M17" s="14">
        <f t="shared" si="10"/>
        <v>476.25350638297874</v>
      </c>
      <c r="N17" s="13">
        <f t="shared" si="18"/>
        <v>6.4500000000000011</v>
      </c>
      <c r="O17" s="13">
        <f t="shared" si="11"/>
        <v>12.369308166666666</v>
      </c>
      <c r="Q17" s="9">
        <f t="shared" si="12"/>
        <v>0.93531054568181804</v>
      </c>
      <c r="R17" s="10">
        <f t="shared" si="13"/>
        <v>480.86691489361692</v>
      </c>
      <c r="S17" s="9">
        <f t="shared" si="14"/>
        <v>6.5042075500000012</v>
      </c>
      <c r="T17" s="9">
        <f t="shared" si="19"/>
        <v>12.549999999999999</v>
      </c>
    </row>
    <row r="18" spans="1:20" x14ac:dyDescent="0.15">
      <c r="B18" s="18">
        <f t="shared" si="16"/>
        <v>1</v>
      </c>
      <c r="C18" s="19">
        <f t="shared" si="1"/>
        <v>513.89982773694385</v>
      </c>
      <c r="D18" s="18">
        <f t="shared" si="2"/>
        <v>6.8923442759090925</v>
      </c>
      <c r="E18" s="18">
        <f t="shared" si="15"/>
        <v>13.843789086363637</v>
      </c>
      <c r="G18" s="20">
        <f t="shared" si="6"/>
        <v>0.93361283734848488</v>
      </c>
      <c r="H18" s="21">
        <f t="shared" si="17"/>
        <v>480</v>
      </c>
      <c r="I18" s="20">
        <f t="shared" si="7"/>
        <v>6.4940213000000009</v>
      </c>
      <c r="J18" s="20">
        <f t="shared" si="8"/>
        <v>12.516045833333331</v>
      </c>
      <c r="L18" s="13">
        <f t="shared" si="9"/>
        <v>0.95127595401515164</v>
      </c>
      <c r="M18" s="14">
        <f t="shared" si="10"/>
        <v>489.0194638297873</v>
      </c>
      <c r="N18" s="13">
        <f t="shared" si="18"/>
        <v>6.6000000000000014</v>
      </c>
      <c r="O18" s="13">
        <f t="shared" si="11"/>
        <v>12.869308166666666</v>
      </c>
      <c r="Q18" s="9">
        <f t="shared" si="12"/>
        <v>0.95281054568181811</v>
      </c>
      <c r="R18" s="10">
        <f t="shared" si="13"/>
        <v>489.80308510638292</v>
      </c>
      <c r="S18" s="9">
        <f t="shared" si="14"/>
        <v>6.6092075500000007</v>
      </c>
      <c r="T18" s="9">
        <f t="shared" si="19"/>
        <v>12.899999999999999</v>
      </c>
    </row>
    <row r="19" spans="1:20" x14ac:dyDescent="0.15">
      <c r="B19" s="18">
        <f t="shared" si="16"/>
        <v>1.0249999999999999</v>
      </c>
      <c r="C19" s="19">
        <f t="shared" si="1"/>
        <v>526.6657851837524</v>
      </c>
      <c r="D19" s="18">
        <f t="shared" si="2"/>
        <v>7.0423442759090928</v>
      </c>
      <c r="E19" s="18">
        <f t="shared" si="15"/>
        <v>14.343789086363637</v>
      </c>
      <c r="G19" s="20">
        <f t="shared" si="6"/>
        <v>0.95319617068181817</v>
      </c>
      <c r="H19" s="21">
        <f t="shared" si="17"/>
        <v>490</v>
      </c>
      <c r="I19" s="20">
        <f t="shared" si="7"/>
        <v>6.6115213000000006</v>
      </c>
      <c r="J19" s="20">
        <f t="shared" si="8"/>
        <v>12.907712499999999</v>
      </c>
      <c r="L19" s="13">
        <f t="shared" si="9"/>
        <v>0.97627595401515166</v>
      </c>
      <c r="M19" s="14">
        <f t="shared" si="10"/>
        <v>501.78542127659586</v>
      </c>
      <c r="N19" s="13">
        <f t="shared" si="18"/>
        <v>6.7500000000000018</v>
      </c>
      <c r="O19" s="13">
        <f t="shared" si="11"/>
        <v>13.369308166666672</v>
      </c>
      <c r="Q19" s="9">
        <f t="shared" si="12"/>
        <v>0.97031054568181807</v>
      </c>
      <c r="R19" s="10">
        <f t="shared" si="13"/>
        <v>498.73925531914887</v>
      </c>
      <c r="S19" s="9">
        <f t="shared" si="14"/>
        <v>6.7142075500000011</v>
      </c>
      <c r="T19" s="9">
        <f t="shared" si="19"/>
        <v>13.249999999999998</v>
      </c>
    </row>
    <row r="20" spans="1:20" x14ac:dyDescent="0.15">
      <c r="B20" s="18">
        <f t="shared" si="16"/>
        <v>1.0499999999999998</v>
      </c>
      <c r="C20" s="19">
        <f t="shared" si="1"/>
        <v>539.43174263056096</v>
      </c>
      <c r="D20" s="18">
        <f t="shared" si="2"/>
        <v>7.1923442759090905</v>
      </c>
      <c r="E20" s="18">
        <f t="shared" si="15"/>
        <v>14.843789086363634</v>
      </c>
      <c r="G20" s="20">
        <f t="shared" si="6"/>
        <v>0.97277950401515156</v>
      </c>
      <c r="H20" s="21">
        <f t="shared" si="17"/>
        <v>500</v>
      </c>
      <c r="I20" s="20">
        <f t="shared" si="7"/>
        <v>6.7290213000000003</v>
      </c>
      <c r="J20" s="20">
        <f t="shared" si="8"/>
        <v>13.299379166666665</v>
      </c>
      <c r="L20" s="13">
        <f t="shared" si="9"/>
        <v>1.0012759540151517</v>
      </c>
      <c r="M20" s="14">
        <f t="shared" si="10"/>
        <v>514.55137872340435</v>
      </c>
      <c r="N20" s="13">
        <f t="shared" si="18"/>
        <v>6.9000000000000021</v>
      </c>
      <c r="O20" s="13">
        <f t="shared" si="11"/>
        <v>13.869308166666672</v>
      </c>
      <c r="Q20" s="9">
        <f t="shared" si="12"/>
        <v>0.98781054568181803</v>
      </c>
      <c r="R20" s="10">
        <f t="shared" si="13"/>
        <v>507.67542553191481</v>
      </c>
      <c r="S20" s="9">
        <f t="shared" si="14"/>
        <v>6.8192075500000007</v>
      </c>
      <c r="T20" s="9">
        <f t="shared" si="19"/>
        <v>13.599999999999998</v>
      </c>
    </row>
    <row r="21" spans="1:20" x14ac:dyDescent="0.15">
      <c r="B21" s="18">
        <f t="shared" si="16"/>
        <v>1.0749999999999997</v>
      </c>
      <c r="C21" s="19">
        <f t="shared" si="1"/>
        <v>552.1977000773694</v>
      </c>
      <c r="D21" s="18">
        <f t="shared" si="2"/>
        <v>7.34234427590909</v>
      </c>
      <c r="E21" s="18">
        <f t="shared" si="15"/>
        <v>15.343789086363634</v>
      </c>
      <c r="G21" s="20">
        <f t="shared" si="6"/>
        <v>0.99236283734848485</v>
      </c>
      <c r="H21" s="21">
        <f t="shared" si="17"/>
        <v>510</v>
      </c>
      <c r="I21" s="20">
        <f t="shared" si="7"/>
        <v>6.8465213000000009</v>
      </c>
      <c r="J21" s="20">
        <f t="shared" si="8"/>
        <v>13.691045833333332</v>
      </c>
      <c r="L21" s="13">
        <f t="shared" si="9"/>
        <v>1.0262759540151516</v>
      </c>
      <c r="M21" s="14">
        <f t="shared" si="10"/>
        <v>527.31733617021291</v>
      </c>
      <c r="N21" s="13">
        <f t="shared" si="18"/>
        <v>7.0500000000000025</v>
      </c>
      <c r="O21" s="13">
        <f t="shared" si="11"/>
        <v>14.369308166666672</v>
      </c>
      <c r="Q21" s="9">
        <f t="shared" si="12"/>
        <v>1.0053105456818181</v>
      </c>
      <c r="R21" s="10">
        <f t="shared" si="13"/>
        <v>516.6115957446807</v>
      </c>
      <c r="S21" s="9">
        <f t="shared" si="14"/>
        <v>6.9242075500000011</v>
      </c>
      <c r="T21" s="9">
        <f t="shared" si="19"/>
        <v>13.949999999999998</v>
      </c>
    </row>
    <row r="22" spans="1:20" x14ac:dyDescent="0.15">
      <c r="B22" s="18"/>
      <c r="C22" s="19"/>
      <c r="D22" s="18"/>
      <c r="E22" s="18"/>
      <c r="G22" s="23"/>
      <c r="H22" s="23"/>
      <c r="I22" s="23"/>
      <c r="J22" s="23"/>
      <c r="L22" s="16"/>
      <c r="M22" s="16"/>
      <c r="N22" s="16"/>
      <c r="O22" s="16"/>
      <c r="Q22" s="12"/>
      <c r="R22" s="12"/>
      <c r="S22" s="12"/>
      <c r="T22" s="12"/>
    </row>
    <row r="23" spans="1:20" x14ac:dyDescent="0.15">
      <c r="B23" s="56" t="s">
        <v>2</v>
      </c>
      <c r="C23" s="56" t="s">
        <v>68</v>
      </c>
      <c r="D23" s="56" t="s">
        <v>4</v>
      </c>
      <c r="E23" s="56" t="s">
        <v>69</v>
      </c>
      <c r="G23" s="23"/>
      <c r="H23" s="23"/>
      <c r="I23" s="23"/>
      <c r="J23" s="23"/>
      <c r="L23" s="16"/>
      <c r="M23" s="16"/>
      <c r="N23" s="16"/>
      <c r="O23" s="16"/>
      <c r="Q23" s="12"/>
      <c r="R23" s="12"/>
      <c r="S23" s="12"/>
      <c r="T23" s="12"/>
    </row>
    <row r="24" spans="1:20" x14ac:dyDescent="0.15">
      <c r="A24" s="1" t="s">
        <v>72</v>
      </c>
      <c r="B24" s="57">
        <f>Conventional!$L$30</f>
        <v>594.04293988636368</v>
      </c>
      <c r="C24" s="57">
        <f>Conventional!$N$30</f>
        <v>643.98784999999998</v>
      </c>
      <c r="D24" s="57">
        <f>Conventional!$P$30</f>
        <v>441.00910457499992</v>
      </c>
      <c r="E24" s="57">
        <f>Conventional!$R$30</f>
        <v>296.23854555000003</v>
      </c>
      <c r="G24" s="23"/>
      <c r="H24" s="23"/>
      <c r="I24" s="23"/>
      <c r="J24" s="23"/>
      <c r="L24" s="16"/>
      <c r="M24" s="16"/>
      <c r="N24" s="16"/>
      <c r="O24" s="16"/>
      <c r="Q24" s="12"/>
      <c r="R24" s="12"/>
      <c r="S24" s="12"/>
      <c r="T24" s="12"/>
    </row>
    <row r="25" spans="1:20" x14ac:dyDescent="0.15">
      <c r="A25" s="1" t="s">
        <v>73</v>
      </c>
      <c r="B25" s="58">
        <f>Conventional!$L$7</f>
        <v>750</v>
      </c>
      <c r="C25" s="58">
        <f>Conventional!$N$7</f>
        <v>3400</v>
      </c>
      <c r="D25" s="58">
        <f>Conventional!$P$7</f>
        <v>85</v>
      </c>
      <c r="E25" s="58">
        <f>Conventional!$R$7</f>
        <v>30</v>
      </c>
      <c r="G25" s="23"/>
      <c r="H25" s="23"/>
      <c r="I25" s="23"/>
      <c r="J25" s="23"/>
      <c r="L25" s="16"/>
      <c r="M25" s="16"/>
      <c r="N25" s="16"/>
      <c r="O25" s="16"/>
      <c r="Q25" s="12"/>
      <c r="R25" s="12"/>
      <c r="S25" s="12"/>
      <c r="T25" s="12"/>
    </row>
    <row r="26" spans="1:20" s="6" customFormat="1" x14ac:dyDescent="0.15">
      <c r="B26" s="412" t="s">
        <v>74</v>
      </c>
      <c r="C26" s="412"/>
      <c r="D26" s="412"/>
      <c r="E26" s="412"/>
      <c r="F26" s="29"/>
      <c r="G26" s="413" t="s">
        <v>75</v>
      </c>
      <c r="H26" s="413"/>
      <c r="I26" s="413"/>
      <c r="J26" s="413"/>
      <c r="K26" s="29"/>
      <c r="L26" s="414" t="s">
        <v>76</v>
      </c>
      <c r="M26" s="414"/>
      <c r="N26" s="414"/>
      <c r="O26" s="414"/>
      <c r="P26" s="29"/>
      <c r="Q26" s="415" t="s">
        <v>77</v>
      </c>
      <c r="R26" s="415"/>
      <c r="S26" s="415"/>
      <c r="T26" s="415"/>
    </row>
    <row r="27" spans="1:20" s="8" customFormat="1" ht="42" x14ac:dyDescent="0.15">
      <c r="B27" s="25" t="s">
        <v>83</v>
      </c>
      <c r="C27" s="25" t="s">
        <v>80</v>
      </c>
      <c r="D27" s="25" t="s">
        <v>81</v>
      </c>
      <c r="E27" s="25" t="s">
        <v>82</v>
      </c>
      <c r="F27" s="30"/>
      <c r="G27" s="26" t="s">
        <v>83</v>
      </c>
      <c r="H27" s="26" t="s">
        <v>80</v>
      </c>
      <c r="I27" s="26" t="s">
        <v>81</v>
      </c>
      <c r="J27" s="26" t="s">
        <v>82</v>
      </c>
      <c r="K27" s="30"/>
      <c r="L27" s="27" t="s">
        <v>83</v>
      </c>
      <c r="M27" s="27" t="s">
        <v>80</v>
      </c>
      <c r="N27" s="27" t="s">
        <v>81</v>
      </c>
      <c r="O27" s="27" t="s">
        <v>82</v>
      </c>
      <c r="P27" s="30"/>
      <c r="Q27" s="28" t="s">
        <v>83</v>
      </c>
      <c r="R27" s="28" t="s">
        <v>80</v>
      </c>
      <c r="S27" s="28" t="s">
        <v>81</v>
      </c>
      <c r="T27" s="28" t="s">
        <v>82</v>
      </c>
    </row>
    <row r="28" spans="1:20" x14ac:dyDescent="0.15">
      <c r="B28" s="18">
        <f t="shared" ref="B28:B33" si="20">B29-0.025</f>
        <v>0.72499999999999987</v>
      </c>
      <c r="C28" s="19">
        <f t="shared" ref="C28:C42" si="21">(((B28*$B$25)-$B$24+$C$24)/$C$25)*2000</f>
        <v>349.2323000668448</v>
      </c>
      <c r="D28" s="18">
        <f t="shared" ref="D28:D42" si="22">(((B28*$B$25)-$B$24+$D$24)/$D$25)</f>
        <v>4.5966607610427781</v>
      </c>
      <c r="E28" s="18">
        <f t="shared" ref="E28:E42" si="23">(((B28*$B$25)-$B$24+$E$24)/$E$25)</f>
        <v>8.1981868554545407</v>
      </c>
      <c r="G28" s="20">
        <f>(((H28*$C$25/2000)-$C$24+$B$24)/$B$25)</f>
        <v>0.7720734531818183</v>
      </c>
      <c r="H28" s="21">
        <f t="shared" ref="H28:H33" si="24">H29-10</f>
        <v>370</v>
      </c>
      <c r="I28" s="20">
        <f>(((H28*$C$25/2000)-$C$24+$D$24)/$D$25)</f>
        <v>5.0120147597058819</v>
      </c>
      <c r="J28" s="20">
        <f>(((H28*$C$25/2000)-$C$24+$E$24)/$E$25)</f>
        <v>9.3750231850000016</v>
      </c>
      <c r="L28" s="17">
        <f>(((N28*$D$25)-$D$24+$B$24)/$B$25)</f>
        <v>0.76504511374848472</v>
      </c>
      <c r="M28" s="14">
        <f>(((N28*$D$25)-$D$24+$C$24)/$C$25)*2000</f>
        <v>366.89926201470581</v>
      </c>
      <c r="N28" s="13">
        <f t="shared" ref="N28:N33" si="25">N29-0.15</f>
        <v>4.9499999999999975</v>
      </c>
      <c r="O28" s="13">
        <f>(((N28*$D$25)-$D$24+$E$24)/$E$25)</f>
        <v>9.1993146991666617</v>
      </c>
      <c r="Q28" s="9">
        <f>(((T28*$E$25)-$E$24+$B$24)/$B$25)</f>
        <v>0.75907252578181816</v>
      </c>
      <c r="R28" s="10">
        <f>(((T28*$E$25)-$E$24+$C$24)/$C$25)*2000</f>
        <v>364.26429673529407</v>
      </c>
      <c r="S28" s="9">
        <f>(((T28*$E$25)-$E$24+$D$24)/$D$25)</f>
        <v>4.8973006944117641</v>
      </c>
      <c r="T28" s="9">
        <f t="shared" ref="T28:T33" si="26">T29-0.35</f>
        <v>9.0500000000000025</v>
      </c>
    </row>
    <row r="29" spans="1:20" x14ac:dyDescent="0.15">
      <c r="B29" s="18">
        <f t="shared" si="20"/>
        <v>0.74999999999999989</v>
      </c>
      <c r="C29" s="19">
        <f t="shared" si="21"/>
        <v>360.26171183155071</v>
      </c>
      <c r="D29" s="18">
        <f t="shared" si="22"/>
        <v>4.8172489963368958</v>
      </c>
      <c r="E29" s="18">
        <f t="shared" si="23"/>
        <v>8.8231868554545407</v>
      </c>
      <c r="G29" s="20">
        <f t="shared" ref="G29:G42" si="27">(((H29*$C$25/2000)-$C$24+$B$24)/$B$25)</f>
        <v>0.79474011984848492</v>
      </c>
      <c r="H29" s="21">
        <f t="shared" si="24"/>
        <v>380</v>
      </c>
      <c r="I29" s="20">
        <f t="shared" ref="I29:I42" si="28">(((H29*$C$25/2000)-$C$24+$D$24)/$D$25)</f>
        <v>5.2120147597058821</v>
      </c>
      <c r="J29" s="20">
        <f t="shared" ref="J29:J42" si="29">(((H29*$C$25/2000)-$C$24+$E$24)/$E$25)</f>
        <v>9.9416898516666681</v>
      </c>
      <c r="L29" s="17">
        <f t="shared" ref="L29:L42" si="30">(((N29*$D$25)-$D$24+$B$24)/$B$25)</f>
        <v>0.78204511374848484</v>
      </c>
      <c r="M29" s="14">
        <f t="shared" ref="M29:M42" si="31">(((N29*$D$25)-$D$24+$C$24)/$C$25)*2000</f>
        <v>374.39926201470587</v>
      </c>
      <c r="N29" s="13">
        <f t="shared" si="25"/>
        <v>5.0999999999999979</v>
      </c>
      <c r="O29" s="13">
        <f t="shared" ref="O29:O42" si="32">(((N29*$D$25)-$D$24+$E$24)/$E$25)</f>
        <v>9.6243146991666642</v>
      </c>
      <c r="Q29" s="9">
        <f t="shared" ref="Q29:Q42" si="33">(((T29*$E$25)-$E$24+$B$24)/$B$25)</f>
        <v>0.77307252578181818</v>
      </c>
      <c r="R29" s="10">
        <f t="shared" ref="R29:R42" si="34">(((T29*$E$25)-$E$24+$C$24)/$C$25)*2000</f>
        <v>370.44076732352937</v>
      </c>
      <c r="S29" s="9">
        <f t="shared" ref="S29:S42" si="35">(((T29*$E$25)-$E$24+$D$24)/$D$25)</f>
        <v>5.0208301061764704</v>
      </c>
      <c r="T29" s="9">
        <f t="shared" si="26"/>
        <v>9.4000000000000021</v>
      </c>
    </row>
    <row r="30" spans="1:20" x14ac:dyDescent="0.15">
      <c r="B30" s="18">
        <f t="shared" si="20"/>
        <v>0.77499999999999991</v>
      </c>
      <c r="C30" s="19">
        <f t="shared" si="21"/>
        <v>371.29112359625663</v>
      </c>
      <c r="D30" s="18">
        <f t="shared" si="22"/>
        <v>5.0378372316310136</v>
      </c>
      <c r="E30" s="18">
        <f t="shared" si="23"/>
        <v>9.4481868554545407</v>
      </c>
      <c r="G30" s="20">
        <f t="shared" si="27"/>
        <v>0.81740678651515164</v>
      </c>
      <c r="H30" s="21">
        <f t="shared" si="24"/>
        <v>390</v>
      </c>
      <c r="I30" s="20">
        <f t="shared" si="28"/>
        <v>5.4120147597058814</v>
      </c>
      <c r="J30" s="20">
        <f t="shared" si="29"/>
        <v>10.508356518333335</v>
      </c>
      <c r="L30" s="17">
        <f t="shared" si="30"/>
        <v>0.79904511374848486</v>
      </c>
      <c r="M30" s="14">
        <f t="shared" si="31"/>
        <v>381.89926201470587</v>
      </c>
      <c r="N30" s="13">
        <f t="shared" si="25"/>
        <v>5.2499999999999982</v>
      </c>
      <c r="O30" s="13">
        <f t="shared" si="32"/>
        <v>10.049314699166665</v>
      </c>
      <c r="Q30" s="9">
        <f t="shared" si="33"/>
        <v>0.78707252578181819</v>
      </c>
      <c r="R30" s="10">
        <f t="shared" si="34"/>
        <v>376.61723791176468</v>
      </c>
      <c r="S30" s="9">
        <f t="shared" si="35"/>
        <v>5.1443595179411759</v>
      </c>
      <c r="T30" s="9">
        <f t="shared" si="26"/>
        <v>9.7500000000000018</v>
      </c>
    </row>
    <row r="31" spans="1:20" x14ac:dyDescent="0.15">
      <c r="B31" s="18">
        <f t="shared" si="20"/>
        <v>0.79999999999999993</v>
      </c>
      <c r="C31" s="19">
        <f t="shared" si="21"/>
        <v>382.32053536096254</v>
      </c>
      <c r="D31" s="18">
        <f t="shared" si="22"/>
        <v>5.2584254669251322</v>
      </c>
      <c r="E31" s="18">
        <f t="shared" si="23"/>
        <v>10.073186855454544</v>
      </c>
      <c r="G31" s="20">
        <f t="shared" si="27"/>
        <v>0.84007345318181825</v>
      </c>
      <c r="H31" s="21">
        <f t="shared" si="24"/>
        <v>400</v>
      </c>
      <c r="I31" s="20">
        <f t="shared" si="28"/>
        <v>5.6120147597058816</v>
      </c>
      <c r="J31" s="20">
        <f t="shared" si="29"/>
        <v>11.075023185000001</v>
      </c>
      <c r="L31" s="17">
        <f t="shared" si="30"/>
        <v>0.81604511374848487</v>
      </c>
      <c r="M31" s="14">
        <f t="shared" si="31"/>
        <v>389.39926201470587</v>
      </c>
      <c r="N31" s="13">
        <f t="shared" si="25"/>
        <v>5.3999999999999986</v>
      </c>
      <c r="O31" s="13">
        <f t="shared" si="32"/>
        <v>10.474314699166666</v>
      </c>
      <c r="Q31" s="9">
        <f t="shared" si="33"/>
        <v>0.8010725257818182</v>
      </c>
      <c r="R31" s="10">
        <f t="shared" si="34"/>
        <v>382.79370849999998</v>
      </c>
      <c r="S31" s="9">
        <f t="shared" si="35"/>
        <v>5.2678889297058822</v>
      </c>
      <c r="T31" s="9">
        <f t="shared" si="26"/>
        <v>10.100000000000001</v>
      </c>
    </row>
    <row r="32" spans="1:20" x14ac:dyDescent="0.15">
      <c r="B32" s="18">
        <f t="shared" si="20"/>
        <v>0.82499999999999996</v>
      </c>
      <c r="C32" s="19">
        <f t="shared" si="21"/>
        <v>393.34994712566839</v>
      </c>
      <c r="D32" s="18">
        <f t="shared" si="22"/>
        <v>5.47901370221925</v>
      </c>
      <c r="E32" s="18">
        <f t="shared" si="23"/>
        <v>10.698186855454544</v>
      </c>
      <c r="G32" s="20">
        <f t="shared" si="27"/>
        <v>0.86274011984848498</v>
      </c>
      <c r="H32" s="21">
        <f t="shared" si="24"/>
        <v>410</v>
      </c>
      <c r="I32" s="20">
        <f t="shared" si="28"/>
        <v>5.8120147597058818</v>
      </c>
      <c r="J32" s="20">
        <f t="shared" si="29"/>
        <v>11.641689851666667</v>
      </c>
      <c r="L32" s="17">
        <f t="shared" si="30"/>
        <v>0.83304511374848489</v>
      </c>
      <c r="M32" s="14">
        <f t="shared" si="31"/>
        <v>396.89926201470581</v>
      </c>
      <c r="N32" s="13">
        <f t="shared" si="25"/>
        <v>5.5499999999999989</v>
      </c>
      <c r="O32" s="13">
        <f t="shared" si="32"/>
        <v>10.899314699166666</v>
      </c>
      <c r="Q32" s="9">
        <f t="shared" si="33"/>
        <v>0.81507252578181821</v>
      </c>
      <c r="R32" s="10">
        <f t="shared" si="34"/>
        <v>388.97017908823528</v>
      </c>
      <c r="S32" s="9">
        <f t="shared" si="35"/>
        <v>5.3914183414705876</v>
      </c>
      <c r="T32" s="9">
        <f t="shared" si="26"/>
        <v>10.450000000000001</v>
      </c>
    </row>
    <row r="33" spans="1:20" x14ac:dyDescent="0.15">
      <c r="B33" s="18">
        <f t="shared" si="20"/>
        <v>0.85</v>
      </c>
      <c r="C33" s="19">
        <f t="shared" si="21"/>
        <v>404.37935889037431</v>
      </c>
      <c r="D33" s="18">
        <f t="shared" si="22"/>
        <v>5.6996019375133677</v>
      </c>
      <c r="E33" s="18">
        <f t="shared" si="23"/>
        <v>11.323186855454544</v>
      </c>
      <c r="G33" s="20">
        <f t="shared" si="27"/>
        <v>0.88540678651515159</v>
      </c>
      <c r="H33" s="21">
        <f t="shared" si="24"/>
        <v>420</v>
      </c>
      <c r="I33" s="20">
        <f t="shared" si="28"/>
        <v>6.0120147597058819</v>
      </c>
      <c r="J33" s="20">
        <f t="shared" si="29"/>
        <v>12.208356518333336</v>
      </c>
      <c r="L33" s="17">
        <f t="shared" si="30"/>
        <v>0.8500451137484849</v>
      </c>
      <c r="M33" s="14">
        <f t="shared" si="31"/>
        <v>404.39926201470581</v>
      </c>
      <c r="N33" s="13">
        <f t="shared" si="25"/>
        <v>5.6999999999999993</v>
      </c>
      <c r="O33" s="13">
        <f t="shared" si="32"/>
        <v>11.324314699166669</v>
      </c>
      <c r="Q33" s="9">
        <f t="shared" si="33"/>
        <v>0.82907252578181823</v>
      </c>
      <c r="R33" s="10">
        <f t="shared" si="34"/>
        <v>395.14664967647059</v>
      </c>
      <c r="S33" s="9">
        <f t="shared" si="35"/>
        <v>5.5149477532352931</v>
      </c>
      <c r="T33" s="9">
        <f t="shared" si="26"/>
        <v>10.8</v>
      </c>
    </row>
    <row r="34" spans="1:20" ht="14" thickBot="1" x14ac:dyDescent="0.2">
      <c r="B34" s="18">
        <f>B35-0.025</f>
        <v>0.875</v>
      </c>
      <c r="C34" s="19">
        <f t="shared" si="21"/>
        <v>415.40877065508022</v>
      </c>
      <c r="D34" s="18">
        <f t="shared" si="22"/>
        <v>5.9201901728074855</v>
      </c>
      <c r="E34" s="18">
        <f t="shared" si="23"/>
        <v>11.948186855454544</v>
      </c>
      <c r="G34" s="20">
        <f t="shared" si="27"/>
        <v>0.90807345318181831</v>
      </c>
      <c r="H34" s="21">
        <f>H35-10</f>
        <v>430</v>
      </c>
      <c r="I34" s="20">
        <f t="shared" si="28"/>
        <v>6.2120147597058821</v>
      </c>
      <c r="J34" s="20">
        <f t="shared" si="29"/>
        <v>12.775023185000002</v>
      </c>
      <c r="L34" s="17">
        <f t="shared" si="30"/>
        <v>0.86704511374848481</v>
      </c>
      <c r="M34" s="14">
        <f t="shared" si="31"/>
        <v>411.89926201470581</v>
      </c>
      <c r="N34" s="13">
        <f>N35-0.15</f>
        <v>5.85</v>
      </c>
      <c r="O34" s="13">
        <f t="shared" si="32"/>
        <v>11.749314699166668</v>
      </c>
      <c r="Q34" s="9">
        <f t="shared" si="33"/>
        <v>0.84307252578181824</v>
      </c>
      <c r="R34" s="10">
        <f t="shared" si="34"/>
        <v>401.32312026470584</v>
      </c>
      <c r="S34" s="9">
        <f t="shared" si="35"/>
        <v>5.6384771649999985</v>
      </c>
      <c r="T34" s="9">
        <f>T35-0.35</f>
        <v>11.15</v>
      </c>
    </row>
    <row r="35" spans="1:20" ht="14" thickBot="1" x14ac:dyDescent="0.2">
      <c r="B35" s="24">
        <f>Conventional!$B$8</f>
        <v>0.9</v>
      </c>
      <c r="C35" s="19">
        <f t="shared" si="21"/>
        <v>426.43818241978602</v>
      </c>
      <c r="D35" s="18">
        <f t="shared" si="22"/>
        <v>6.1407784081016032</v>
      </c>
      <c r="E35" s="18">
        <f t="shared" si="23"/>
        <v>12.573186855454544</v>
      </c>
      <c r="G35" s="20">
        <f t="shared" si="27"/>
        <v>0.93074011984848493</v>
      </c>
      <c r="H35" s="22">
        <f>Conventional!$D$8</f>
        <v>440</v>
      </c>
      <c r="I35" s="20">
        <f t="shared" si="28"/>
        <v>6.4120147597058814</v>
      </c>
      <c r="J35" s="20">
        <f t="shared" si="29"/>
        <v>13.341689851666668</v>
      </c>
      <c r="L35" s="17">
        <f t="shared" si="30"/>
        <v>0.88404511374848505</v>
      </c>
      <c r="M35" s="14">
        <f t="shared" si="31"/>
        <v>419.39926201470593</v>
      </c>
      <c r="N35" s="15">
        <f>Conventional!$F$8</f>
        <v>6</v>
      </c>
      <c r="O35" s="13">
        <f t="shared" si="32"/>
        <v>12.17431469916667</v>
      </c>
      <c r="Q35" s="9">
        <f t="shared" si="33"/>
        <v>0.85707252578181825</v>
      </c>
      <c r="R35" s="10">
        <f t="shared" si="34"/>
        <v>407.49959085294114</v>
      </c>
      <c r="S35" s="9">
        <f t="shared" si="35"/>
        <v>5.7620065767647048</v>
      </c>
      <c r="T35" s="11">
        <f>Conventional!$H$8</f>
        <v>11.5</v>
      </c>
    </row>
    <row r="36" spans="1:20" x14ac:dyDescent="0.15">
      <c r="B36" s="18">
        <f>B35+0.025</f>
        <v>0.92500000000000004</v>
      </c>
      <c r="C36" s="19">
        <f t="shared" si="21"/>
        <v>437.46759418449193</v>
      </c>
      <c r="D36" s="18">
        <f t="shared" si="22"/>
        <v>6.3613666433957201</v>
      </c>
      <c r="E36" s="18">
        <f t="shared" si="23"/>
        <v>13.198186855454544</v>
      </c>
      <c r="G36" s="20">
        <f t="shared" si="27"/>
        <v>0.95340678651515165</v>
      </c>
      <c r="H36" s="21">
        <f>H35+10</f>
        <v>450</v>
      </c>
      <c r="I36" s="20">
        <f t="shared" si="28"/>
        <v>6.6120147597058816</v>
      </c>
      <c r="J36" s="20">
        <f t="shared" si="29"/>
        <v>13.908356518333335</v>
      </c>
      <c r="L36" s="17">
        <f t="shared" si="30"/>
        <v>0.90104511374848506</v>
      </c>
      <c r="M36" s="14">
        <f t="shared" si="31"/>
        <v>426.89926201470593</v>
      </c>
      <c r="N36" s="13">
        <f>N35+0.15</f>
        <v>6.15</v>
      </c>
      <c r="O36" s="13">
        <f t="shared" si="32"/>
        <v>12.599314699166671</v>
      </c>
      <c r="Q36" s="9">
        <f t="shared" si="33"/>
        <v>0.87107252578181826</v>
      </c>
      <c r="R36" s="10">
        <f t="shared" si="34"/>
        <v>413.67606144117644</v>
      </c>
      <c r="S36" s="9">
        <f t="shared" si="35"/>
        <v>5.8855359885294103</v>
      </c>
      <c r="T36" s="9">
        <f>T35+0.35</f>
        <v>11.85</v>
      </c>
    </row>
    <row r="37" spans="1:20" x14ac:dyDescent="0.15">
      <c r="B37" s="18">
        <f t="shared" ref="B37:B42" si="36">B36+0.025</f>
        <v>0.95000000000000007</v>
      </c>
      <c r="C37" s="19">
        <f t="shared" si="21"/>
        <v>448.49700594919784</v>
      </c>
      <c r="D37" s="18">
        <f t="shared" si="22"/>
        <v>6.5819548786898379</v>
      </c>
      <c r="E37" s="18">
        <f t="shared" si="23"/>
        <v>13.823186855454544</v>
      </c>
      <c r="G37" s="20">
        <f t="shared" si="27"/>
        <v>0.97607345318181826</v>
      </c>
      <c r="H37" s="21">
        <f t="shared" ref="H37:H42" si="37">H36+10</f>
        <v>460</v>
      </c>
      <c r="I37" s="20">
        <f t="shared" si="28"/>
        <v>6.8120147597058818</v>
      </c>
      <c r="J37" s="20">
        <f t="shared" si="29"/>
        <v>14.475023185000001</v>
      </c>
      <c r="L37" s="17">
        <f t="shared" si="30"/>
        <v>0.91804511374848519</v>
      </c>
      <c r="M37" s="14">
        <f t="shared" si="31"/>
        <v>434.39926201470598</v>
      </c>
      <c r="N37" s="13">
        <f t="shared" ref="N37:N42" si="38">N36+0.15</f>
        <v>6.3000000000000007</v>
      </c>
      <c r="O37" s="13">
        <f t="shared" si="32"/>
        <v>13.024314699166673</v>
      </c>
      <c r="Q37" s="9">
        <f t="shared" si="33"/>
        <v>0.88507252578181816</v>
      </c>
      <c r="R37" s="10">
        <f t="shared" si="34"/>
        <v>419.85253202941175</v>
      </c>
      <c r="S37" s="9">
        <f t="shared" si="35"/>
        <v>6.0090654002941166</v>
      </c>
      <c r="T37" s="9">
        <f t="shared" ref="T37:T42" si="39">T36+0.35</f>
        <v>12.2</v>
      </c>
    </row>
    <row r="38" spans="1:20" x14ac:dyDescent="0.15">
      <c r="B38" s="18">
        <f t="shared" si="36"/>
        <v>0.97500000000000009</v>
      </c>
      <c r="C38" s="19">
        <f t="shared" si="21"/>
        <v>459.52641771390381</v>
      </c>
      <c r="D38" s="18">
        <f t="shared" si="22"/>
        <v>6.8025431139839574</v>
      </c>
      <c r="E38" s="18">
        <f t="shared" si="23"/>
        <v>14.448186855454548</v>
      </c>
      <c r="G38" s="20">
        <f t="shared" si="27"/>
        <v>0.99874011984848499</v>
      </c>
      <c r="H38" s="21">
        <f t="shared" si="37"/>
        <v>470</v>
      </c>
      <c r="I38" s="20">
        <f t="shared" si="28"/>
        <v>7.0120147597058819</v>
      </c>
      <c r="J38" s="20">
        <f t="shared" si="29"/>
        <v>15.041689851666668</v>
      </c>
      <c r="L38" s="17">
        <f t="shared" si="30"/>
        <v>0.9350451137484852</v>
      </c>
      <c r="M38" s="14">
        <f t="shared" si="31"/>
        <v>441.89926201470598</v>
      </c>
      <c r="N38" s="13">
        <f t="shared" si="38"/>
        <v>6.4500000000000011</v>
      </c>
      <c r="O38" s="13">
        <f t="shared" si="32"/>
        <v>13.449314699166674</v>
      </c>
      <c r="Q38" s="9">
        <f t="shared" si="33"/>
        <v>0.89907252578181818</v>
      </c>
      <c r="R38" s="10">
        <f t="shared" si="34"/>
        <v>426.02900261764705</v>
      </c>
      <c r="S38" s="9">
        <f t="shared" si="35"/>
        <v>6.1325948120588212</v>
      </c>
      <c r="T38" s="9">
        <f t="shared" si="39"/>
        <v>12.549999999999999</v>
      </c>
    </row>
    <row r="39" spans="1:20" x14ac:dyDescent="0.15">
      <c r="B39" s="18">
        <f t="shared" si="36"/>
        <v>1</v>
      </c>
      <c r="C39" s="19">
        <f t="shared" si="21"/>
        <v>470.55582947860955</v>
      </c>
      <c r="D39" s="18">
        <f t="shared" si="22"/>
        <v>7.0231313492780734</v>
      </c>
      <c r="E39" s="18">
        <f t="shared" si="23"/>
        <v>15.073186855454544</v>
      </c>
      <c r="G39" s="20">
        <f t="shared" si="27"/>
        <v>1.0214067865151517</v>
      </c>
      <c r="H39" s="21">
        <f t="shared" si="37"/>
        <v>480</v>
      </c>
      <c r="I39" s="20">
        <f t="shared" si="28"/>
        <v>7.2120147597058821</v>
      </c>
      <c r="J39" s="20">
        <f t="shared" si="29"/>
        <v>15.608356518333334</v>
      </c>
      <c r="L39" s="17">
        <f t="shared" si="30"/>
        <v>0.95204511374848522</v>
      </c>
      <c r="M39" s="14">
        <f t="shared" si="31"/>
        <v>449.39926201470598</v>
      </c>
      <c r="N39" s="13">
        <f t="shared" si="38"/>
        <v>6.6000000000000014</v>
      </c>
      <c r="O39" s="13">
        <f t="shared" si="32"/>
        <v>13.874314699166673</v>
      </c>
      <c r="Q39" s="9">
        <f t="shared" si="33"/>
        <v>0.91307252578181819</v>
      </c>
      <c r="R39" s="10">
        <f t="shared" si="34"/>
        <v>432.2054732058823</v>
      </c>
      <c r="S39" s="9">
        <f t="shared" si="35"/>
        <v>6.2561242238235266</v>
      </c>
      <c r="T39" s="9">
        <f t="shared" si="39"/>
        <v>12.899999999999999</v>
      </c>
    </row>
    <row r="40" spans="1:20" x14ac:dyDescent="0.15">
      <c r="B40" s="18">
        <f t="shared" si="36"/>
        <v>1.0249999999999999</v>
      </c>
      <c r="C40" s="19">
        <f t="shared" si="21"/>
        <v>481.58524124331541</v>
      </c>
      <c r="D40" s="18">
        <f t="shared" si="22"/>
        <v>7.2437195845721893</v>
      </c>
      <c r="E40" s="18">
        <f t="shared" si="23"/>
        <v>15.698186855454541</v>
      </c>
      <c r="G40" s="20">
        <f t="shared" si="27"/>
        <v>1.0440734531818183</v>
      </c>
      <c r="H40" s="21">
        <f t="shared" si="37"/>
        <v>490</v>
      </c>
      <c r="I40" s="20">
        <f t="shared" si="28"/>
        <v>7.4120147597058814</v>
      </c>
      <c r="J40" s="20">
        <f t="shared" si="29"/>
        <v>16.175023185000001</v>
      </c>
      <c r="L40" s="17">
        <f t="shared" si="30"/>
        <v>0.96904511374848512</v>
      </c>
      <c r="M40" s="14">
        <f t="shared" si="31"/>
        <v>456.89926201470598</v>
      </c>
      <c r="N40" s="13">
        <f t="shared" si="38"/>
        <v>6.7500000000000018</v>
      </c>
      <c r="O40" s="13">
        <f t="shared" si="32"/>
        <v>14.299314699166674</v>
      </c>
      <c r="Q40" s="9">
        <f t="shared" si="33"/>
        <v>0.9270725257818182</v>
      </c>
      <c r="R40" s="10">
        <f t="shared" si="34"/>
        <v>438.3819437941176</v>
      </c>
      <c r="S40" s="9">
        <f t="shared" si="35"/>
        <v>6.379653635588233</v>
      </c>
      <c r="T40" s="9">
        <f t="shared" si="39"/>
        <v>13.249999999999998</v>
      </c>
    </row>
    <row r="41" spans="1:20" x14ac:dyDescent="0.15">
      <c r="A41" s="2"/>
      <c r="B41" s="37">
        <f t="shared" si="36"/>
        <v>1.0499999999999998</v>
      </c>
      <c r="C41" s="38">
        <f t="shared" si="21"/>
        <v>492.61465300802126</v>
      </c>
      <c r="D41" s="37">
        <f t="shared" si="22"/>
        <v>7.4643078198663071</v>
      </c>
      <c r="E41" s="37">
        <f t="shared" si="23"/>
        <v>16.323186855454541</v>
      </c>
      <c r="G41" s="39">
        <f t="shared" si="27"/>
        <v>1.0667401198484849</v>
      </c>
      <c r="H41" s="40">
        <f t="shared" si="37"/>
        <v>500</v>
      </c>
      <c r="I41" s="39">
        <f t="shared" si="28"/>
        <v>7.6120147597058816</v>
      </c>
      <c r="J41" s="39">
        <f t="shared" si="29"/>
        <v>16.741689851666667</v>
      </c>
      <c r="L41" s="41">
        <f t="shared" si="30"/>
        <v>0.98604511374848536</v>
      </c>
      <c r="M41" s="42">
        <f t="shared" si="31"/>
        <v>464.39926201470604</v>
      </c>
      <c r="N41" s="43">
        <f t="shared" si="38"/>
        <v>6.9000000000000021</v>
      </c>
      <c r="O41" s="43">
        <f t="shared" si="32"/>
        <v>14.724314699166678</v>
      </c>
      <c r="Q41" s="44">
        <f t="shared" si="33"/>
        <v>0.94107252578181821</v>
      </c>
      <c r="R41" s="45">
        <f t="shared" si="34"/>
        <v>444.55841438235296</v>
      </c>
      <c r="S41" s="44">
        <f t="shared" si="35"/>
        <v>6.5031830473529384</v>
      </c>
      <c r="T41" s="44">
        <f t="shared" si="39"/>
        <v>13.599999999999998</v>
      </c>
    </row>
    <row r="42" spans="1:20" x14ac:dyDescent="0.15">
      <c r="A42" s="46"/>
      <c r="B42" s="47">
        <f t="shared" si="36"/>
        <v>1.0749999999999997</v>
      </c>
      <c r="C42" s="48">
        <f t="shared" si="21"/>
        <v>503.64406477272706</v>
      </c>
      <c r="D42" s="47">
        <f t="shared" si="22"/>
        <v>7.684896055160424</v>
      </c>
      <c r="E42" s="47">
        <f t="shared" si="23"/>
        <v>16.948186855454537</v>
      </c>
      <c r="F42" s="46"/>
      <c r="G42" s="49">
        <f t="shared" si="27"/>
        <v>1.0894067865151515</v>
      </c>
      <c r="H42" s="50">
        <f t="shared" si="37"/>
        <v>510</v>
      </c>
      <c r="I42" s="49">
        <f t="shared" si="28"/>
        <v>7.8120147597058818</v>
      </c>
      <c r="J42" s="49">
        <f t="shared" si="29"/>
        <v>17.308356518333333</v>
      </c>
      <c r="K42" s="46"/>
      <c r="L42" s="51">
        <f t="shared" si="30"/>
        <v>1.0030451137484853</v>
      </c>
      <c r="M42" s="52">
        <f t="shared" si="31"/>
        <v>471.89926201470604</v>
      </c>
      <c r="N42" s="53">
        <f t="shared" si="38"/>
        <v>7.0500000000000025</v>
      </c>
      <c r="O42" s="53">
        <f t="shared" si="32"/>
        <v>15.149314699166677</v>
      </c>
      <c r="P42" s="46"/>
      <c r="Q42" s="54">
        <f t="shared" si="33"/>
        <v>0.95507252578181823</v>
      </c>
      <c r="R42" s="55">
        <f t="shared" si="34"/>
        <v>450.73488497058821</v>
      </c>
      <c r="S42" s="54">
        <f t="shared" si="35"/>
        <v>6.6267124591176447</v>
      </c>
      <c r="T42" s="54">
        <f t="shared" si="39"/>
        <v>13.949999999999998</v>
      </c>
    </row>
    <row r="43" spans="1:20" x14ac:dyDescent="0.15">
      <c r="A43" s="411" t="s">
        <v>84</v>
      </c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</row>
    <row r="44" spans="1:20" x14ac:dyDescent="0.15">
      <c r="B44" s="3" t="s">
        <v>2</v>
      </c>
      <c r="C44" s="3" t="s">
        <v>68</v>
      </c>
      <c r="D44" s="3" t="s">
        <v>4</v>
      </c>
      <c r="E44" s="3" t="s">
        <v>69</v>
      </c>
    </row>
    <row r="45" spans="1:20" x14ac:dyDescent="0.15">
      <c r="A45" s="1" t="s">
        <v>70</v>
      </c>
      <c r="B45" s="4">
        <f>'Strip-Till'!B$31</f>
        <v>740.15116731818171</v>
      </c>
      <c r="C45" s="4">
        <f>'Strip-Till'!D$31</f>
        <v>713.81065000000012</v>
      </c>
      <c r="D45" s="4">
        <f>'Strip-Till'!F$31</f>
        <v>913.58013500000004</v>
      </c>
      <c r="E45" s="4">
        <f>'Strip-Till'!H$31</f>
        <v>337.57228125</v>
      </c>
    </row>
    <row r="46" spans="1:20" x14ac:dyDescent="0.15">
      <c r="A46" s="1" t="s">
        <v>71</v>
      </c>
      <c r="B46" s="5">
        <f>'Strip-Till'!B$7</f>
        <v>1200</v>
      </c>
      <c r="C46" s="5">
        <f>'Strip-Till'!D$7</f>
        <v>4700</v>
      </c>
      <c r="D46" s="5">
        <f>'Strip-Till'!F$7</f>
        <v>200</v>
      </c>
      <c r="E46" s="5">
        <f>'Strip-Till'!H$7</f>
        <v>60</v>
      </c>
    </row>
    <row r="47" spans="1:20" x14ac:dyDescent="0.15">
      <c r="A47" s="6"/>
      <c r="B47" s="412" t="s">
        <v>74</v>
      </c>
      <c r="C47" s="412"/>
      <c r="D47" s="412"/>
      <c r="E47" s="412"/>
      <c r="F47" s="29"/>
      <c r="G47" s="413" t="s">
        <v>75</v>
      </c>
      <c r="H47" s="413"/>
      <c r="I47" s="413"/>
      <c r="J47" s="413"/>
      <c r="K47" s="29"/>
      <c r="L47" s="414" t="s">
        <v>76</v>
      </c>
      <c r="M47" s="414"/>
      <c r="N47" s="414"/>
      <c r="O47" s="414"/>
      <c r="P47" s="29"/>
      <c r="Q47" s="415" t="s">
        <v>77</v>
      </c>
      <c r="R47" s="415"/>
      <c r="S47" s="415"/>
      <c r="T47" s="415"/>
    </row>
    <row r="48" spans="1:20" ht="28" x14ac:dyDescent="0.15">
      <c r="A48" s="7"/>
      <c r="B48" s="25" t="s">
        <v>50</v>
      </c>
      <c r="C48" s="35" t="s">
        <v>78</v>
      </c>
      <c r="D48" s="35" t="s">
        <v>47</v>
      </c>
      <c r="E48" s="35" t="s">
        <v>79</v>
      </c>
      <c r="F48" s="31"/>
      <c r="G48" s="34" t="s">
        <v>50</v>
      </c>
      <c r="H48" s="26" t="s">
        <v>78</v>
      </c>
      <c r="I48" s="34" t="s">
        <v>47</v>
      </c>
      <c r="J48" s="34" t="s">
        <v>79</v>
      </c>
      <c r="K48" s="31"/>
      <c r="L48" s="33" t="s">
        <v>50</v>
      </c>
      <c r="M48" s="33" t="s">
        <v>78</v>
      </c>
      <c r="N48" s="27" t="s">
        <v>47</v>
      </c>
      <c r="O48" s="33" t="s">
        <v>79</v>
      </c>
      <c r="P48" s="31"/>
      <c r="Q48" s="32" t="s">
        <v>50</v>
      </c>
      <c r="R48" s="32" t="s">
        <v>78</v>
      </c>
      <c r="S48" s="28" t="s">
        <v>47</v>
      </c>
      <c r="T48" s="32" t="s">
        <v>79</v>
      </c>
    </row>
    <row r="49" spans="2:20" x14ac:dyDescent="0.15">
      <c r="B49" s="18">
        <f t="shared" ref="B49:B54" si="40">B50-0.025</f>
        <v>0.72499999999999987</v>
      </c>
      <c r="C49" s="19">
        <f>(((B49*$B$46)-$B$45+$C$45)/$C$46)*2000</f>
        <v>359.00403518375248</v>
      </c>
      <c r="D49" s="18">
        <f>(((B49*$B$46)-$B$45+$D$45)/$D$46)</f>
        <v>5.2171448384090908</v>
      </c>
      <c r="E49" s="18">
        <f>(((B49*$B$46)-$B$45+$E$45)/$E$46)</f>
        <v>7.7903518988636362</v>
      </c>
      <c r="G49" s="20">
        <f>(((H49*$C$46/2000)-$C$45+$B$45)/$B$46)</f>
        <v>0.74653376443181796</v>
      </c>
      <c r="H49" s="21">
        <f t="shared" ref="H49:H54" si="41">H50-10</f>
        <v>370</v>
      </c>
      <c r="I49" s="20">
        <f>(((H49*$C$46/2000)-$C$45+$D$45)/$D$46)</f>
        <v>5.3463474249999994</v>
      </c>
      <c r="J49" s="20">
        <f>(((H49*$C$46/2000)-$C$45+$E$45)/$E$46)</f>
        <v>8.2210271874999972</v>
      </c>
      <c r="L49" s="17">
        <f>(((N49*$D$46)-$D$45+$B$45)/$B$46)</f>
        <v>0.68047586026515106</v>
      </c>
      <c r="M49" s="14">
        <f>(((N49*$D$46)-$D$45+$C$45)/$C$46)*2000</f>
        <v>336.26830425531898</v>
      </c>
      <c r="N49" s="13">
        <f t="shared" ref="N49:N54" si="42">N50-0.15</f>
        <v>4.9499999999999975</v>
      </c>
      <c r="O49" s="13">
        <f>(((N49*$D$46)-$D$45+$E$45)/$E$46)</f>
        <v>6.8998691041666582</v>
      </c>
      <c r="Q49" s="36">
        <f>(((T49*$E$46)-$E$45+$B$45)/$B$46)</f>
        <v>0.78798240505681827</v>
      </c>
      <c r="R49" s="10">
        <f>(((T49*$E$46)-$E$45+$C$45)/$C$46)*2000</f>
        <v>391.16526329787251</v>
      </c>
      <c r="S49" s="9">
        <f>(((T49*$E$46)-$E$45+$D$45)/$D$46)</f>
        <v>5.5950392687500008</v>
      </c>
      <c r="T49" s="9">
        <f t="shared" ref="T49:T54" si="43">T50-0.35</f>
        <v>9.0500000000000025</v>
      </c>
    </row>
    <row r="50" spans="2:20" x14ac:dyDescent="0.15">
      <c r="B50" s="18">
        <f t="shared" si="40"/>
        <v>0.74999999999999989</v>
      </c>
      <c r="C50" s="19">
        <f t="shared" ref="C50:C63" si="44">(((B50*$B$46)-$B$45+$C$45)/$C$46)*2000</f>
        <v>371.76999263056098</v>
      </c>
      <c r="D50" s="18">
        <f t="shared" ref="D50:D63" si="45">(((B50*$B$46)-$B$45+$D$45)/$D$46)</f>
        <v>5.3671448384090912</v>
      </c>
      <c r="E50" s="18">
        <f t="shared" ref="E50:E63" si="46">(((B50*$B$46)-$B$45+$E$45)/$E$46)</f>
        <v>8.2903518988636371</v>
      </c>
      <c r="G50" s="20">
        <f t="shared" ref="G50:G63" si="47">(((H50*$C$46/2000)-$C$45+$B$45)/$B$46)</f>
        <v>0.76611709776515136</v>
      </c>
      <c r="H50" s="21">
        <f t="shared" si="41"/>
        <v>380</v>
      </c>
      <c r="I50" s="20">
        <f t="shared" ref="I50:I63" si="48">(((H50*$C$46/2000)-$C$45+$D$45)/$D$46)</f>
        <v>5.4638474249999991</v>
      </c>
      <c r="J50" s="20">
        <f t="shared" ref="J50:J63" si="49">(((H50*$C$46/2000)-$C$45+$E$45)/$E$46)</f>
        <v>8.6126938541666664</v>
      </c>
      <c r="L50" s="17">
        <f t="shared" ref="L50:L63" si="50">(((N50*$D$46)-$D$45+$B$45)/$B$46)</f>
        <v>0.70547586026515097</v>
      </c>
      <c r="M50" s="14">
        <f t="shared" ref="M50:M63" si="51">(((N50*$D$46)-$D$45+$C$45)/$C$46)*2000</f>
        <v>349.03426170212748</v>
      </c>
      <c r="N50" s="13">
        <f t="shared" si="42"/>
        <v>5.0999999999999979</v>
      </c>
      <c r="O50" s="13">
        <f t="shared" ref="O50:O63" si="52">(((N50*$D$46)-$D$45+$E$45)/$E$46)</f>
        <v>7.3998691041666582</v>
      </c>
      <c r="Q50" s="36">
        <f t="shared" ref="Q50:Q63" si="53">(((T50*$E$46)-$E$45+$B$45)/$B$46)</f>
        <v>0.80548240505681823</v>
      </c>
      <c r="R50" s="10">
        <f t="shared" ref="R50:R63" si="54">(((T50*$E$46)-$E$45+$C$45)/$C$46)*2000</f>
        <v>400.1014335106384</v>
      </c>
      <c r="S50" s="9">
        <f t="shared" ref="S50:S63" si="55">(((T50*$E$46)-$E$45+$D$45)/$D$46)</f>
        <v>5.7000392687500003</v>
      </c>
      <c r="T50" s="9">
        <f t="shared" si="43"/>
        <v>9.4000000000000021</v>
      </c>
    </row>
    <row r="51" spans="2:20" x14ac:dyDescent="0.15">
      <c r="B51" s="18">
        <f t="shared" si="40"/>
        <v>0.77499999999999991</v>
      </c>
      <c r="C51" s="19">
        <f t="shared" si="44"/>
        <v>384.53595007736953</v>
      </c>
      <c r="D51" s="18">
        <f t="shared" si="45"/>
        <v>5.5171448384090915</v>
      </c>
      <c r="E51" s="18">
        <f t="shared" si="46"/>
        <v>8.7903518988636353</v>
      </c>
      <c r="G51" s="20">
        <f t="shared" si="47"/>
        <v>0.78570043109848464</v>
      </c>
      <c r="H51" s="21">
        <f t="shared" si="41"/>
        <v>390</v>
      </c>
      <c r="I51" s="20">
        <f t="shared" si="48"/>
        <v>5.5813474249999988</v>
      </c>
      <c r="J51" s="20">
        <f t="shared" si="49"/>
        <v>9.0043605208333322</v>
      </c>
      <c r="L51" s="17">
        <f t="shared" si="50"/>
        <v>0.73047586026515099</v>
      </c>
      <c r="M51" s="14">
        <f t="shared" si="51"/>
        <v>361.80021914893598</v>
      </c>
      <c r="N51" s="13">
        <f t="shared" si="42"/>
        <v>5.2499999999999982</v>
      </c>
      <c r="O51" s="13">
        <f t="shared" si="52"/>
        <v>7.8998691041666582</v>
      </c>
      <c r="Q51" s="36">
        <f t="shared" si="53"/>
        <v>0.82298240505681819</v>
      </c>
      <c r="R51" s="10">
        <f t="shared" si="54"/>
        <v>409.03760372340435</v>
      </c>
      <c r="S51" s="9">
        <f t="shared" si="55"/>
        <v>5.8050392687500008</v>
      </c>
      <c r="T51" s="9">
        <f t="shared" si="43"/>
        <v>9.7500000000000018</v>
      </c>
    </row>
    <row r="52" spans="2:20" x14ac:dyDescent="0.15">
      <c r="B52" s="18">
        <f t="shared" si="40"/>
        <v>0.79999999999999993</v>
      </c>
      <c r="C52" s="19">
        <f t="shared" si="44"/>
        <v>397.30190752417798</v>
      </c>
      <c r="D52" s="18">
        <f t="shared" si="45"/>
        <v>5.667144838409091</v>
      </c>
      <c r="E52" s="18">
        <f t="shared" si="46"/>
        <v>9.2903518988636353</v>
      </c>
      <c r="G52" s="20">
        <f t="shared" si="47"/>
        <v>0.80528376443181804</v>
      </c>
      <c r="H52" s="21">
        <f t="shared" si="41"/>
        <v>400</v>
      </c>
      <c r="I52" s="20">
        <f t="shared" si="48"/>
        <v>5.6988474249999994</v>
      </c>
      <c r="J52" s="20">
        <f t="shared" si="49"/>
        <v>9.3960271874999997</v>
      </c>
      <c r="L52" s="17">
        <f t="shared" si="50"/>
        <v>0.75547586026515123</v>
      </c>
      <c r="M52" s="14">
        <f t="shared" si="51"/>
        <v>374.56617659574459</v>
      </c>
      <c r="N52" s="13">
        <f t="shared" si="42"/>
        <v>5.3999999999999986</v>
      </c>
      <c r="O52" s="13">
        <f t="shared" si="52"/>
        <v>8.3998691041666618</v>
      </c>
      <c r="Q52" s="36">
        <f t="shared" si="53"/>
        <v>0.84048240505681826</v>
      </c>
      <c r="R52" s="10">
        <f t="shared" si="54"/>
        <v>417.97377393617035</v>
      </c>
      <c r="S52" s="9">
        <f t="shared" si="55"/>
        <v>5.9100392687500003</v>
      </c>
      <c r="T52" s="9">
        <f t="shared" si="43"/>
        <v>10.100000000000001</v>
      </c>
    </row>
    <row r="53" spans="2:20" x14ac:dyDescent="0.15">
      <c r="B53" s="18">
        <f t="shared" si="40"/>
        <v>0.82499999999999996</v>
      </c>
      <c r="C53" s="19">
        <f t="shared" si="44"/>
        <v>410.06786497098659</v>
      </c>
      <c r="D53" s="18">
        <f t="shared" si="45"/>
        <v>5.8171448384090922</v>
      </c>
      <c r="E53" s="18">
        <f t="shared" si="46"/>
        <v>9.7903518988636389</v>
      </c>
      <c r="G53" s="20">
        <f t="shared" si="47"/>
        <v>0.82486709776515132</v>
      </c>
      <c r="H53" s="21">
        <f t="shared" si="41"/>
        <v>410</v>
      </c>
      <c r="I53" s="20">
        <f t="shared" si="48"/>
        <v>5.8163474249999991</v>
      </c>
      <c r="J53" s="20">
        <f t="shared" si="49"/>
        <v>9.7876938541666654</v>
      </c>
      <c r="L53" s="17">
        <f t="shared" si="50"/>
        <v>0.78047586026515114</v>
      </c>
      <c r="M53" s="14">
        <f t="shared" si="51"/>
        <v>387.33213404255315</v>
      </c>
      <c r="N53" s="13">
        <f t="shared" si="42"/>
        <v>5.5499999999999989</v>
      </c>
      <c r="O53" s="13">
        <f t="shared" si="52"/>
        <v>8.8998691041666618</v>
      </c>
      <c r="Q53" s="36">
        <f t="shared" si="53"/>
        <v>0.85798240505681822</v>
      </c>
      <c r="R53" s="10">
        <f t="shared" si="54"/>
        <v>426.90994414893629</v>
      </c>
      <c r="S53" s="9">
        <f t="shared" si="55"/>
        <v>6.0150392687500007</v>
      </c>
      <c r="T53" s="9">
        <f t="shared" si="43"/>
        <v>10.450000000000001</v>
      </c>
    </row>
    <row r="54" spans="2:20" x14ac:dyDescent="0.15">
      <c r="B54" s="18">
        <f t="shared" si="40"/>
        <v>0.85</v>
      </c>
      <c r="C54" s="19">
        <f t="shared" si="44"/>
        <v>422.83382241779503</v>
      </c>
      <c r="D54" s="18">
        <f t="shared" si="45"/>
        <v>5.9671448384090926</v>
      </c>
      <c r="E54" s="18">
        <f t="shared" si="46"/>
        <v>10.290351898863639</v>
      </c>
      <c r="G54" s="20">
        <f t="shared" si="47"/>
        <v>0.84445043109848461</v>
      </c>
      <c r="H54" s="21">
        <f t="shared" si="41"/>
        <v>420</v>
      </c>
      <c r="I54" s="20">
        <f t="shared" si="48"/>
        <v>5.9338474249999988</v>
      </c>
      <c r="J54" s="20">
        <f t="shared" si="49"/>
        <v>10.179360520833333</v>
      </c>
      <c r="L54" s="17">
        <f t="shared" si="50"/>
        <v>0.80547586026515117</v>
      </c>
      <c r="M54" s="14">
        <f t="shared" si="51"/>
        <v>400.09809148936165</v>
      </c>
      <c r="N54" s="13">
        <f t="shared" si="42"/>
        <v>5.6999999999999993</v>
      </c>
      <c r="O54" s="13">
        <f t="shared" si="52"/>
        <v>9.3998691041666618</v>
      </c>
      <c r="Q54" s="36">
        <f t="shared" si="53"/>
        <v>0.87548240505681807</v>
      </c>
      <c r="R54" s="10">
        <f t="shared" si="54"/>
        <v>435.84611436170218</v>
      </c>
      <c r="S54" s="9">
        <f t="shared" si="55"/>
        <v>6.1200392687500003</v>
      </c>
      <c r="T54" s="9">
        <f t="shared" si="43"/>
        <v>10.8</v>
      </c>
    </row>
    <row r="55" spans="2:20" ht="14" thickBot="1" x14ac:dyDescent="0.2">
      <c r="B55" s="18">
        <f>B56-0.025</f>
        <v>0.875</v>
      </c>
      <c r="C55" s="19">
        <f t="shared" si="44"/>
        <v>435.59977986460359</v>
      </c>
      <c r="D55" s="18">
        <f t="shared" si="45"/>
        <v>6.1171448384090921</v>
      </c>
      <c r="E55" s="18">
        <f t="shared" si="46"/>
        <v>10.790351898863639</v>
      </c>
      <c r="G55" s="20">
        <f t="shared" si="47"/>
        <v>0.86403376443181801</v>
      </c>
      <c r="H55" s="21">
        <f>H56-10</f>
        <v>430</v>
      </c>
      <c r="I55" s="20">
        <f t="shared" si="48"/>
        <v>6.0513474249999994</v>
      </c>
      <c r="J55" s="20">
        <f t="shared" si="49"/>
        <v>10.571027187499999</v>
      </c>
      <c r="L55" s="17">
        <f t="shared" si="50"/>
        <v>0.83047586026515141</v>
      </c>
      <c r="M55" s="14">
        <f t="shared" si="51"/>
        <v>412.86404893617026</v>
      </c>
      <c r="N55" s="13">
        <f>N56-0.15</f>
        <v>5.85</v>
      </c>
      <c r="O55" s="13">
        <f t="shared" si="52"/>
        <v>9.8998691041666653</v>
      </c>
      <c r="Q55" s="36">
        <f t="shared" si="53"/>
        <v>0.89298240505681803</v>
      </c>
      <c r="R55" s="10">
        <f t="shared" si="54"/>
        <v>444.78228457446812</v>
      </c>
      <c r="S55" s="9">
        <f t="shared" si="55"/>
        <v>6.2250392687500007</v>
      </c>
      <c r="T55" s="9">
        <f>T56-0.35</f>
        <v>11.15</v>
      </c>
    </row>
    <row r="56" spans="2:20" ht="14" thickBot="1" x14ac:dyDescent="0.2">
      <c r="B56" s="24">
        <f>Conventional!$B$8</f>
        <v>0.9</v>
      </c>
      <c r="C56" s="19">
        <f t="shared" si="44"/>
        <v>448.36573731141209</v>
      </c>
      <c r="D56" s="18">
        <f t="shared" si="45"/>
        <v>6.2671448384090924</v>
      </c>
      <c r="E56" s="18">
        <f t="shared" si="46"/>
        <v>11.290351898863639</v>
      </c>
      <c r="G56" s="20">
        <f t="shared" si="47"/>
        <v>0.88361709776515129</v>
      </c>
      <c r="H56" s="22">
        <f>Conventional!$D$8</f>
        <v>440</v>
      </c>
      <c r="I56" s="20">
        <f t="shared" si="48"/>
        <v>6.1688474249999992</v>
      </c>
      <c r="J56" s="20">
        <f t="shared" si="49"/>
        <v>10.962693854166666</v>
      </c>
      <c r="L56" s="17">
        <f t="shared" si="50"/>
        <v>0.85547586026515132</v>
      </c>
      <c r="M56" s="14">
        <f t="shared" si="51"/>
        <v>425.63000638297876</v>
      </c>
      <c r="N56" s="15">
        <f>Conventional!$F$8</f>
        <v>6</v>
      </c>
      <c r="O56" s="13">
        <f t="shared" si="52"/>
        <v>10.399869104166665</v>
      </c>
      <c r="Q56" s="36">
        <f t="shared" si="53"/>
        <v>0.91048240505681799</v>
      </c>
      <c r="R56" s="10">
        <f t="shared" si="54"/>
        <v>453.71845478723407</v>
      </c>
      <c r="S56" s="9">
        <f t="shared" si="55"/>
        <v>6.3300392687500002</v>
      </c>
      <c r="T56" s="11">
        <f>Conventional!$H$8</f>
        <v>11.5</v>
      </c>
    </row>
    <row r="57" spans="2:20" x14ac:dyDescent="0.15">
      <c r="B57" s="18">
        <f>B56+0.025</f>
        <v>0.92500000000000004</v>
      </c>
      <c r="C57" s="19">
        <f t="shared" si="44"/>
        <v>461.13169475822059</v>
      </c>
      <c r="D57" s="18">
        <f t="shared" si="45"/>
        <v>6.4171448384090919</v>
      </c>
      <c r="E57" s="18">
        <f t="shared" si="46"/>
        <v>11.790351898863639</v>
      </c>
      <c r="G57" s="20">
        <f t="shared" si="47"/>
        <v>0.90320043109848469</v>
      </c>
      <c r="H57" s="21">
        <f>H56+10</f>
        <v>450</v>
      </c>
      <c r="I57" s="20">
        <f t="shared" si="48"/>
        <v>6.2863474249999989</v>
      </c>
      <c r="J57" s="20">
        <f t="shared" si="49"/>
        <v>11.354360520833332</v>
      </c>
      <c r="L57" s="17">
        <f t="shared" si="50"/>
        <v>0.88047586026515134</v>
      </c>
      <c r="M57" s="14">
        <f t="shared" si="51"/>
        <v>438.39596382978732</v>
      </c>
      <c r="N57" s="13">
        <f>N56+0.15</f>
        <v>6.15</v>
      </c>
      <c r="O57" s="13">
        <f t="shared" si="52"/>
        <v>10.899869104166665</v>
      </c>
      <c r="Q57" s="36">
        <f t="shared" si="53"/>
        <v>0.92798240505681806</v>
      </c>
      <c r="R57" s="10">
        <f t="shared" si="54"/>
        <v>462.65462500000007</v>
      </c>
      <c r="S57" s="9">
        <f t="shared" si="55"/>
        <v>6.4350392687500007</v>
      </c>
      <c r="T57" s="9">
        <f>T56+0.35</f>
        <v>11.85</v>
      </c>
    </row>
    <row r="58" spans="2:20" x14ac:dyDescent="0.15">
      <c r="B58" s="18">
        <f t="shared" ref="B58:B63" si="56">B57+0.025</f>
        <v>0.95000000000000007</v>
      </c>
      <c r="C58" s="19">
        <f t="shared" si="44"/>
        <v>473.89765220502909</v>
      </c>
      <c r="D58" s="18">
        <f t="shared" si="45"/>
        <v>6.5671448384090922</v>
      </c>
      <c r="E58" s="18">
        <f t="shared" si="46"/>
        <v>12.290351898863639</v>
      </c>
      <c r="G58" s="20">
        <f t="shared" si="47"/>
        <v>0.92278376443181798</v>
      </c>
      <c r="H58" s="21">
        <f t="shared" ref="H58:H63" si="57">H57+10</f>
        <v>460</v>
      </c>
      <c r="I58" s="20">
        <f t="shared" si="48"/>
        <v>6.4038474249999986</v>
      </c>
      <c r="J58" s="20">
        <f t="shared" si="49"/>
        <v>11.746027187499999</v>
      </c>
      <c r="L58" s="17">
        <f t="shared" si="50"/>
        <v>0.9054758602651517</v>
      </c>
      <c r="M58" s="14">
        <f t="shared" si="51"/>
        <v>451.16192127659582</v>
      </c>
      <c r="N58" s="13">
        <f t="shared" ref="N58:N63" si="58">N57+0.15</f>
        <v>6.3000000000000007</v>
      </c>
      <c r="O58" s="13">
        <f t="shared" si="52"/>
        <v>11.399869104166669</v>
      </c>
      <c r="Q58" s="36">
        <f t="shared" si="53"/>
        <v>0.94548240505681802</v>
      </c>
      <c r="R58" s="10">
        <f t="shared" si="54"/>
        <v>471.59079521276595</v>
      </c>
      <c r="S58" s="9">
        <f t="shared" si="55"/>
        <v>6.5400392687500002</v>
      </c>
      <c r="T58" s="9">
        <f t="shared" ref="T58:T63" si="59">T57+0.35</f>
        <v>12.2</v>
      </c>
    </row>
    <row r="59" spans="2:20" x14ac:dyDescent="0.15">
      <c r="B59" s="18">
        <f t="shared" si="56"/>
        <v>0.97500000000000009</v>
      </c>
      <c r="C59" s="19">
        <f t="shared" si="44"/>
        <v>486.66360965183765</v>
      </c>
      <c r="D59" s="18">
        <f t="shared" si="45"/>
        <v>6.7171448384090926</v>
      </c>
      <c r="E59" s="18">
        <f t="shared" si="46"/>
        <v>12.790351898863639</v>
      </c>
      <c r="G59" s="20">
        <f t="shared" si="47"/>
        <v>0.94236709776515137</v>
      </c>
      <c r="H59" s="21">
        <f t="shared" si="57"/>
        <v>470</v>
      </c>
      <c r="I59" s="20">
        <f t="shared" si="48"/>
        <v>6.5213474249999992</v>
      </c>
      <c r="J59" s="20">
        <f t="shared" si="49"/>
        <v>12.137693854166665</v>
      </c>
      <c r="L59" s="17">
        <f t="shared" si="50"/>
        <v>0.93047586026515172</v>
      </c>
      <c r="M59" s="14">
        <f t="shared" si="51"/>
        <v>463.92787872340438</v>
      </c>
      <c r="N59" s="13">
        <f t="shared" si="58"/>
        <v>6.4500000000000011</v>
      </c>
      <c r="O59" s="13">
        <f t="shared" si="52"/>
        <v>11.899869104166669</v>
      </c>
      <c r="Q59" s="36">
        <f t="shared" si="53"/>
        <v>0.96298240505681809</v>
      </c>
      <c r="R59" s="10">
        <f t="shared" si="54"/>
        <v>480.5269654255319</v>
      </c>
      <c r="S59" s="9">
        <f t="shared" si="55"/>
        <v>6.6450392687499997</v>
      </c>
      <c r="T59" s="9">
        <f t="shared" si="59"/>
        <v>12.549999999999999</v>
      </c>
    </row>
    <row r="60" spans="2:20" x14ac:dyDescent="0.15">
      <c r="B60" s="18">
        <f t="shared" si="56"/>
        <v>1</v>
      </c>
      <c r="C60" s="19">
        <f t="shared" si="44"/>
        <v>499.42956709864609</v>
      </c>
      <c r="D60" s="18">
        <f t="shared" si="45"/>
        <v>6.8671448384090921</v>
      </c>
      <c r="E60" s="18">
        <f t="shared" si="46"/>
        <v>13.290351898863639</v>
      </c>
      <c r="G60" s="20">
        <f t="shared" si="47"/>
        <v>0.96195043109848466</v>
      </c>
      <c r="H60" s="21">
        <f t="shared" si="57"/>
        <v>480</v>
      </c>
      <c r="I60" s="20">
        <f t="shared" si="48"/>
        <v>6.6388474249999989</v>
      </c>
      <c r="J60" s="20">
        <f t="shared" si="49"/>
        <v>12.529360520833333</v>
      </c>
      <c r="L60" s="17">
        <f t="shared" si="50"/>
        <v>0.95547586026515163</v>
      </c>
      <c r="M60" s="14">
        <f t="shared" si="51"/>
        <v>476.69383617021282</v>
      </c>
      <c r="N60" s="13">
        <f t="shared" si="58"/>
        <v>6.6000000000000014</v>
      </c>
      <c r="O60" s="13">
        <f t="shared" si="52"/>
        <v>12.399869104166669</v>
      </c>
      <c r="Q60" s="36">
        <f t="shared" si="53"/>
        <v>0.98048240505681805</v>
      </c>
      <c r="R60" s="10">
        <f t="shared" si="54"/>
        <v>489.4631356382979</v>
      </c>
      <c r="S60" s="9">
        <f t="shared" si="55"/>
        <v>6.7500392687499993</v>
      </c>
      <c r="T60" s="9">
        <f t="shared" si="59"/>
        <v>12.899999999999999</v>
      </c>
    </row>
    <row r="61" spans="2:20" x14ac:dyDescent="0.15">
      <c r="B61" s="18">
        <f t="shared" si="56"/>
        <v>1.0249999999999999</v>
      </c>
      <c r="C61" s="19">
        <f t="shared" si="44"/>
        <v>512.19552454545465</v>
      </c>
      <c r="D61" s="18">
        <f t="shared" si="45"/>
        <v>7.0171448384090924</v>
      </c>
      <c r="E61" s="18">
        <f t="shared" si="46"/>
        <v>13.790351898863639</v>
      </c>
      <c r="G61" s="20">
        <f t="shared" si="47"/>
        <v>0.98153376443181795</v>
      </c>
      <c r="H61" s="21">
        <f t="shared" si="57"/>
        <v>490</v>
      </c>
      <c r="I61" s="20">
        <f t="shared" si="48"/>
        <v>6.7563474249999986</v>
      </c>
      <c r="J61" s="20">
        <f t="shared" si="49"/>
        <v>12.921027187499998</v>
      </c>
      <c r="L61" s="17">
        <f t="shared" si="50"/>
        <v>0.98047586026515166</v>
      </c>
      <c r="M61" s="14">
        <f t="shared" si="51"/>
        <v>489.4597936170216</v>
      </c>
      <c r="N61" s="13">
        <f t="shared" si="58"/>
        <v>6.7500000000000018</v>
      </c>
      <c r="O61" s="13">
        <f t="shared" si="52"/>
        <v>12.899869104166672</v>
      </c>
      <c r="Q61" s="36">
        <f t="shared" si="53"/>
        <v>0.99798240505681801</v>
      </c>
      <c r="R61" s="10">
        <f t="shared" si="54"/>
        <v>498.39930585106384</v>
      </c>
      <c r="S61" s="9">
        <f t="shared" si="55"/>
        <v>6.8550392687499997</v>
      </c>
      <c r="T61" s="9">
        <f t="shared" si="59"/>
        <v>13.249999999999998</v>
      </c>
    </row>
    <row r="62" spans="2:20" x14ac:dyDescent="0.15">
      <c r="B62" s="18">
        <f t="shared" si="56"/>
        <v>1.0499999999999998</v>
      </c>
      <c r="C62" s="19">
        <f t="shared" si="44"/>
        <v>524.96148199226309</v>
      </c>
      <c r="D62" s="18">
        <f t="shared" si="45"/>
        <v>7.1671448384090901</v>
      </c>
      <c r="E62" s="18">
        <f t="shared" si="46"/>
        <v>14.290351898863635</v>
      </c>
      <c r="G62" s="20">
        <f t="shared" si="47"/>
        <v>1.0011170977651513</v>
      </c>
      <c r="H62" s="21">
        <f t="shared" si="57"/>
        <v>500</v>
      </c>
      <c r="I62" s="20">
        <f t="shared" si="48"/>
        <v>6.8738474249999992</v>
      </c>
      <c r="J62" s="20">
        <f t="shared" si="49"/>
        <v>13.312693854166666</v>
      </c>
      <c r="L62" s="17">
        <f t="shared" si="50"/>
        <v>1.0054758602651517</v>
      </c>
      <c r="M62" s="14">
        <f t="shared" si="51"/>
        <v>502.22575106383005</v>
      </c>
      <c r="N62" s="13">
        <f t="shared" si="58"/>
        <v>6.9000000000000021</v>
      </c>
      <c r="O62" s="13">
        <f t="shared" si="52"/>
        <v>13.399869104166672</v>
      </c>
      <c r="Q62" s="36">
        <f t="shared" si="53"/>
        <v>1.0154824050568181</v>
      </c>
      <c r="R62" s="10">
        <f t="shared" si="54"/>
        <v>507.33547606382979</v>
      </c>
      <c r="S62" s="9">
        <f t="shared" si="55"/>
        <v>6.9600392687499992</v>
      </c>
      <c r="T62" s="9">
        <f t="shared" si="59"/>
        <v>13.599999999999998</v>
      </c>
    </row>
    <row r="63" spans="2:20" x14ac:dyDescent="0.15">
      <c r="B63" s="18">
        <f t="shared" si="56"/>
        <v>1.0749999999999997</v>
      </c>
      <c r="C63" s="19">
        <f t="shared" si="44"/>
        <v>537.72743943907153</v>
      </c>
      <c r="D63" s="18">
        <f t="shared" si="45"/>
        <v>7.3171448384090896</v>
      </c>
      <c r="E63" s="18">
        <f t="shared" si="46"/>
        <v>14.790351898863635</v>
      </c>
      <c r="G63" s="20">
        <f t="shared" si="47"/>
        <v>1.0207004310984846</v>
      </c>
      <c r="H63" s="21">
        <f t="shared" si="57"/>
        <v>510</v>
      </c>
      <c r="I63" s="20">
        <f t="shared" si="48"/>
        <v>6.9913474249999989</v>
      </c>
      <c r="J63" s="20">
        <f t="shared" si="49"/>
        <v>13.704360520833331</v>
      </c>
      <c r="L63" s="17">
        <f t="shared" si="50"/>
        <v>1.0304758602651516</v>
      </c>
      <c r="M63" s="14">
        <f t="shared" si="51"/>
        <v>514.99170851063855</v>
      </c>
      <c r="N63" s="13">
        <f t="shared" si="58"/>
        <v>7.0500000000000025</v>
      </c>
      <c r="O63" s="13">
        <f t="shared" si="52"/>
        <v>13.899869104166672</v>
      </c>
      <c r="Q63" s="36">
        <f t="shared" si="53"/>
        <v>1.0329824050568179</v>
      </c>
      <c r="R63" s="10">
        <f t="shared" si="54"/>
        <v>516.27164627659567</v>
      </c>
      <c r="S63" s="9">
        <f t="shared" si="55"/>
        <v>7.0650392687499997</v>
      </c>
      <c r="T63" s="9">
        <f t="shared" si="59"/>
        <v>13.949999999999998</v>
      </c>
    </row>
    <row r="64" spans="2:20" x14ac:dyDescent="0.15">
      <c r="B64" s="18"/>
      <c r="C64" s="19"/>
      <c r="D64" s="18"/>
      <c r="E64" s="18"/>
      <c r="G64" s="23"/>
      <c r="H64" s="23"/>
      <c r="I64" s="23"/>
      <c r="J64" s="23"/>
      <c r="L64" s="16"/>
      <c r="M64" s="16"/>
      <c r="N64" s="16"/>
      <c r="O64" s="16"/>
      <c r="Q64" s="12"/>
      <c r="R64" s="12"/>
      <c r="S64" s="12"/>
      <c r="T64" s="12"/>
    </row>
    <row r="65" spans="1:20" x14ac:dyDescent="0.15">
      <c r="B65" s="56" t="s">
        <v>2</v>
      </c>
      <c r="C65" s="56" t="s">
        <v>68</v>
      </c>
      <c r="D65" s="56" t="s">
        <v>4</v>
      </c>
      <c r="E65" s="56" t="s">
        <v>69</v>
      </c>
      <c r="G65" s="23"/>
      <c r="H65" s="23"/>
      <c r="I65" s="23"/>
      <c r="J65" s="23"/>
      <c r="L65" s="16"/>
      <c r="M65" s="16"/>
      <c r="N65" s="16"/>
      <c r="O65" s="16"/>
      <c r="Q65" s="12"/>
      <c r="R65" s="12"/>
      <c r="S65" s="12"/>
      <c r="T65" s="12"/>
    </row>
    <row r="66" spans="1:20" x14ac:dyDescent="0.15">
      <c r="A66" s="1" t="s">
        <v>72</v>
      </c>
      <c r="B66" s="57">
        <f>'Strip-Till'!L$31</f>
        <v>631.99878988636362</v>
      </c>
      <c r="C66" s="57">
        <f>'Strip-Till'!N$31</f>
        <v>627.97939999999994</v>
      </c>
      <c r="D66" s="57">
        <f>'Strip-Till'!P$31</f>
        <v>448.75645457499996</v>
      </c>
      <c r="E66" s="57">
        <f>'Strip-Till'!R$31</f>
        <v>287.60497679999997</v>
      </c>
      <c r="G66" s="23"/>
      <c r="H66" s="23"/>
      <c r="I66" s="23"/>
      <c r="J66" s="23"/>
      <c r="L66" s="16"/>
      <c r="M66" s="16"/>
      <c r="N66" s="16"/>
      <c r="O66" s="16"/>
      <c r="Q66" s="12"/>
      <c r="R66" s="12"/>
      <c r="S66" s="12"/>
      <c r="T66" s="12"/>
    </row>
    <row r="67" spans="1:20" x14ac:dyDescent="0.15">
      <c r="A67" s="1" t="s">
        <v>73</v>
      </c>
      <c r="B67" s="58">
        <f>'Strip-Till'!L$7</f>
        <v>750</v>
      </c>
      <c r="C67" s="58">
        <f>'Strip-Till'!N$7</f>
        <v>3400</v>
      </c>
      <c r="D67" s="58">
        <f>'Strip-Till'!P$7</f>
        <v>85</v>
      </c>
      <c r="E67" s="58">
        <f>'Strip-Till'!R$7</f>
        <v>30</v>
      </c>
      <c r="G67" s="23"/>
      <c r="H67" s="23"/>
      <c r="I67" s="23"/>
      <c r="J67" s="23"/>
      <c r="L67" s="16"/>
      <c r="M67" s="16"/>
      <c r="N67" s="16"/>
      <c r="O67" s="16"/>
      <c r="Q67" s="12"/>
      <c r="R67" s="12"/>
      <c r="S67" s="12"/>
      <c r="T67" s="12"/>
    </row>
    <row r="68" spans="1:20" x14ac:dyDescent="0.15">
      <c r="A68" s="6"/>
      <c r="B68" s="412" t="s">
        <v>74</v>
      </c>
      <c r="C68" s="412"/>
      <c r="D68" s="412"/>
      <c r="E68" s="412"/>
      <c r="F68" s="29"/>
      <c r="G68" s="413" t="s">
        <v>75</v>
      </c>
      <c r="H68" s="413"/>
      <c r="I68" s="413"/>
      <c r="J68" s="413"/>
      <c r="K68" s="29"/>
      <c r="L68" s="414" t="s">
        <v>76</v>
      </c>
      <c r="M68" s="414"/>
      <c r="N68" s="414"/>
      <c r="O68" s="414"/>
      <c r="P68" s="29"/>
      <c r="Q68" s="415" t="s">
        <v>77</v>
      </c>
      <c r="R68" s="415"/>
      <c r="S68" s="415"/>
      <c r="T68" s="415"/>
    </row>
    <row r="69" spans="1:20" ht="42" x14ac:dyDescent="0.15">
      <c r="A69" s="8"/>
      <c r="B69" s="25" t="s">
        <v>83</v>
      </c>
      <c r="C69" s="25" t="s">
        <v>80</v>
      </c>
      <c r="D69" s="25" t="s">
        <v>81</v>
      </c>
      <c r="E69" s="25" t="s">
        <v>82</v>
      </c>
      <c r="F69" s="30"/>
      <c r="G69" s="26" t="s">
        <v>83</v>
      </c>
      <c r="H69" s="26" t="s">
        <v>80</v>
      </c>
      <c r="I69" s="26" t="s">
        <v>81</v>
      </c>
      <c r="J69" s="26" t="s">
        <v>82</v>
      </c>
      <c r="K69" s="30"/>
      <c r="L69" s="27" t="s">
        <v>83</v>
      </c>
      <c r="M69" s="27" t="s">
        <v>80</v>
      </c>
      <c r="N69" s="27" t="s">
        <v>81</v>
      </c>
      <c r="O69" s="27" t="s">
        <v>82</v>
      </c>
      <c r="P69" s="30"/>
      <c r="Q69" s="28" t="s">
        <v>83</v>
      </c>
      <c r="R69" s="28" t="s">
        <v>80</v>
      </c>
      <c r="S69" s="28" t="s">
        <v>81</v>
      </c>
      <c r="T69" s="28" t="s">
        <v>82</v>
      </c>
    </row>
    <row r="70" spans="1:20" x14ac:dyDescent="0.15">
      <c r="B70" s="18">
        <f t="shared" ref="B70:B75" si="60">B71-0.025</f>
        <v>0.72499999999999987</v>
      </c>
      <c r="C70" s="19">
        <f>(((B70*$B$67)-$B$66+$C$66)/$C$67)*2000</f>
        <v>317.48859418449189</v>
      </c>
      <c r="D70" s="18">
        <f>(((B70*$B$67)-$B$66+$D$66)/$D$67)</f>
        <v>4.2412666433957202</v>
      </c>
      <c r="E70" s="18">
        <f>(((B70*$B$67)-$B$66+$E$66)/$E$67)</f>
        <v>6.6452062304545416</v>
      </c>
      <c r="G70" s="20">
        <f>(((H70*$C$67/2000)-$C$66+$B$66)/$B$67)</f>
        <v>0.84402585318181822</v>
      </c>
      <c r="H70" s="21">
        <f t="shared" ref="H70:H75" si="61">H71-10</f>
        <v>370</v>
      </c>
      <c r="I70" s="20">
        <f>(((H70*$C$67/2000)-$C$66+$D$66)/$D$67)</f>
        <v>5.2914947597058823</v>
      </c>
      <c r="J70" s="20">
        <f>(((H70*$C$67/2000)-$C$66+$E$66)/$E$67)</f>
        <v>9.6208525600000012</v>
      </c>
      <c r="L70" s="17">
        <f>(((N70*$D$67)-$D$66+$B$66)/$B$67)</f>
        <v>0.80532311374848453</v>
      </c>
      <c r="M70" s="14">
        <f>(((N70*$D$67)-$D$66+$C$66)/$C$67)*2000</f>
        <v>352.92526201470577</v>
      </c>
      <c r="N70" s="13">
        <f t="shared" ref="N70:N75" si="62">N71-0.15</f>
        <v>4.9499999999999975</v>
      </c>
      <c r="O70" s="13">
        <f>(((N70*$D$67)-$D$66+$E$66)/$E$67)</f>
        <v>8.6532840741666597</v>
      </c>
      <c r="Q70" s="9">
        <f>(((T70*$E$67)-$E$66+$B$66)/$B$67)</f>
        <v>0.82119175078181827</v>
      </c>
      <c r="R70" s="10">
        <f>(((T70*$E$67)-$E$66+$C$66)/$C$67)*2000</f>
        <v>359.92613129411768</v>
      </c>
      <c r="S70" s="9">
        <f>(((T70*$E$67)-$E$66+$D$66)/$D$67)</f>
        <v>5.0900173855882356</v>
      </c>
      <c r="T70" s="9">
        <f t="shared" ref="T70:T75" si="63">T71-0.35</f>
        <v>9.0500000000000025</v>
      </c>
    </row>
    <row r="71" spans="1:20" x14ac:dyDescent="0.15">
      <c r="B71" s="18">
        <f t="shared" si="60"/>
        <v>0.74999999999999989</v>
      </c>
      <c r="C71" s="19">
        <f t="shared" ref="C71:C84" si="64">(((B71*$B$67)-$B$66+$C$66)/$C$67)*2000</f>
        <v>328.5180059491978</v>
      </c>
      <c r="D71" s="18">
        <f t="shared" ref="D71:D84" si="65">(((B71*$B$67)-$B$66+$D$66)/$D$67)</f>
        <v>4.461854878689838</v>
      </c>
      <c r="E71" s="18">
        <f t="shared" ref="E71:E84" si="66">(((B71*$B$67)-$B$66+$E$66)/$E$67)</f>
        <v>7.2702062304545416</v>
      </c>
      <c r="G71" s="20">
        <f t="shared" ref="G71:G84" si="67">(((H71*$C$67/2000)-$C$66+$B$66)/$B$67)</f>
        <v>0.86669251984848494</v>
      </c>
      <c r="H71" s="21">
        <f t="shared" si="61"/>
        <v>380</v>
      </c>
      <c r="I71" s="20">
        <f t="shared" ref="I71:I84" si="68">(((H71*$C$67/2000)-$C$66+$D$66)/$D$67)</f>
        <v>5.4914947597058825</v>
      </c>
      <c r="J71" s="20">
        <f t="shared" ref="J71:J84" si="69">(((H71*$C$67/2000)-$C$66+$E$66)/$E$67)</f>
        <v>10.187519226666668</v>
      </c>
      <c r="L71" s="17">
        <f t="shared" ref="L71:L84" si="70">(((N71*$D$67)-$D$66+$B$66)/$B$67)</f>
        <v>0.82232311374848466</v>
      </c>
      <c r="M71" s="14">
        <f t="shared" ref="M71:M84" si="71">(((N71*$D$67)-$D$66+$C$66)/$C$67)*2000</f>
        <v>360.42526201470577</v>
      </c>
      <c r="N71" s="13">
        <f t="shared" si="62"/>
        <v>5.0999999999999979</v>
      </c>
      <c r="O71" s="13">
        <f t="shared" ref="O71:O84" si="72">(((N71*$D$67)-$D$66+$E$66)/$E$67)</f>
        <v>9.0782840741666622</v>
      </c>
      <c r="Q71" s="9">
        <f t="shared" ref="Q71:Q84" si="73">(((T71*$E$67)-$E$66+$B$66)/$B$67)</f>
        <v>0.83519175078181829</v>
      </c>
      <c r="R71" s="10">
        <f t="shared" ref="R71:R84" si="74">(((T71*$E$67)-$E$66+$C$66)/$C$67)*2000</f>
        <v>366.10260188235293</v>
      </c>
      <c r="S71" s="9">
        <f t="shared" ref="S71:S84" si="75">(((T71*$E$67)-$E$66+$D$66)/$D$67)</f>
        <v>5.2135467973529419</v>
      </c>
      <c r="T71" s="9">
        <f t="shared" si="63"/>
        <v>9.4000000000000021</v>
      </c>
    </row>
    <row r="72" spans="1:20" x14ac:dyDescent="0.15">
      <c r="B72" s="18">
        <f t="shared" si="60"/>
        <v>0.77499999999999991</v>
      </c>
      <c r="C72" s="19">
        <f t="shared" si="64"/>
        <v>339.54741771390366</v>
      </c>
      <c r="D72" s="18">
        <f t="shared" si="65"/>
        <v>4.6824431139839557</v>
      </c>
      <c r="E72" s="18">
        <f t="shared" si="66"/>
        <v>7.8952062304545416</v>
      </c>
      <c r="G72" s="20">
        <f t="shared" si="67"/>
        <v>0.88935918651515156</v>
      </c>
      <c r="H72" s="21">
        <f t="shared" si="61"/>
        <v>390</v>
      </c>
      <c r="I72" s="20">
        <f t="shared" si="68"/>
        <v>5.6914947597058827</v>
      </c>
      <c r="J72" s="20">
        <f t="shared" si="69"/>
        <v>10.754185893333334</v>
      </c>
      <c r="L72" s="17">
        <f t="shared" si="70"/>
        <v>0.83932311374848467</v>
      </c>
      <c r="M72" s="14">
        <f t="shared" si="71"/>
        <v>367.92526201470577</v>
      </c>
      <c r="N72" s="13">
        <f t="shared" si="62"/>
        <v>5.2499999999999982</v>
      </c>
      <c r="O72" s="13">
        <f t="shared" si="72"/>
        <v>9.5032840741666611</v>
      </c>
      <c r="Q72" s="9">
        <f t="shared" si="73"/>
        <v>0.8491917507818183</v>
      </c>
      <c r="R72" s="10">
        <f t="shared" si="74"/>
        <v>372.27907247058823</v>
      </c>
      <c r="S72" s="9">
        <f t="shared" si="75"/>
        <v>5.3370762091176474</v>
      </c>
      <c r="T72" s="9">
        <f t="shared" si="63"/>
        <v>9.7500000000000018</v>
      </c>
    </row>
    <row r="73" spans="1:20" x14ac:dyDescent="0.15">
      <c r="B73" s="18">
        <f t="shared" si="60"/>
        <v>0.79999999999999993</v>
      </c>
      <c r="C73" s="19">
        <f t="shared" si="64"/>
        <v>350.57682947860957</v>
      </c>
      <c r="D73" s="18">
        <f t="shared" si="65"/>
        <v>4.9030313492780744</v>
      </c>
      <c r="E73" s="18">
        <f t="shared" si="66"/>
        <v>8.5202062304545443</v>
      </c>
      <c r="G73" s="20">
        <f t="shared" si="67"/>
        <v>0.91202585318181828</v>
      </c>
      <c r="H73" s="21">
        <f t="shared" si="61"/>
        <v>400</v>
      </c>
      <c r="I73" s="20">
        <f t="shared" si="68"/>
        <v>5.8914947597058829</v>
      </c>
      <c r="J73" s="20">
        <f t="shared" si="69"/>
        <v>11.320852560000001</v>
      </c>
      <c r="L73" s="17">
        <f t="shared" si="70"/>
        <v>0.8563231137484848</v>
      </c>
      <c r="M73" s="14">
        <f t="shared" si="71"/>
        <v>375.42526201470577</v>
      </c>
      <c r="N73" s="13">
        <f t="shared" si="62"/>
        <v>5.3999999999999986</v>
      </c>
      <c r="O73" s="13">
        <f t="shared" si="72"/>
        <v>9.9282840741666636</v>
      </c>
      <c r="Q73" s="9">
        <f t="shared" si="73"/>
        <v>0.86319175078181831</v>
      </c>
      <c r="R73" s="10">
        <f t="shared" si="74"/>
        <v>378.45554305882354</v>
      </c>
      <c r="S73" s="9">
        <f t="shared" si="75"/>
        <v>5.4606056208823537</v>
      </c>
      <c r="T73" s="9">
        <f t="shared" si="63"/>
        <v>10.100000000000001</v>
      </c>
    </row>
    <row r="74" spans="1:20" x14ac:dyDescent="0.15">
      <c r="B74" s="18">
        <f t="shared" si="60"/>
        <v>0.82499999999999996</v>
      </c>
      <c r="C74" s="19">
        <f t="shared" si="64"/>
        <v>361.60624124331548</v>
      </c>
      <c r="D74" s="18">
        <f t="shared" si="65"/>
        <v>5.1236195845721921</v>
      </c>
      <c r="E74" s="18">
        <f t="shared" si="66"/>
        <v>9.1452062304545443</v>
      </c>
      <c r="G74" s="20">
        <f t="shared" si="67"/>
        <v>0.93469251984848489</v>
      </c>
      <c r="H74" s="21">
        <f t="shared" si="61"/>
        <v>410</v>
      </c>
      <c r="I74" s="20">
        <f t="shared" si="68"/>
        <v>6.0914947597058822</v>
      </c>
      <c r="J74" s="20">
        <f t="shared" si="69"/>
        <v>11.887519226666667</v>
      </c>
      <c r="L74" s="17">
        <f t="shared" si="70"/>
        <v>0.87332311374848481</v>
      </c>
      <c r="M74" s="14">
        <f t="shared" si="71"/>
        <v>382.92526201470577</v>
      </c>
      <c r="N74" s="13">
        <f t="shared" si="62"/>
        <v>5.5499999999999989</v>
      </c>
      <c r="O74" s="13">
        <f t="shared" si="72"/>
        <v>10.353284074166663</v>
      </c>
      <c r="Q74" s="9">
        <f t="shared" si="73"/>
        <v>0.87719175078181832</v>
      </c>
      <c r="R74" s="10">
        <f t="shared" si="74"/>
        <v>384.63201364705884</v>
      </c>
      <c r="S74" s="9">
        <f t="shared" si="75"/>
        <v>5.5841350326470591</v>
      </c>
      <c r="T74" s="9">
        <f t="shared" si="63"/>
        <v>10.450000000000001</v>
      </c>
    </row>
    <row r="75" spans="1:20" x14ac:dyDescent="0.15">
      <c r="B75" s="18">
        <f t="shared" si="60"/>
        <v>0.85</v>
      </c>
      <c r="C75" s="19">
        <f t="shared" si="64"/>
        <v>372.63565300802139</v>
      </c>
      <c r="D75" s="18">
        <f t="shared" si="65"/>
        <v>5.3442078198663099</v>
      </c>
      <c r="E75" s="18">
        <f t="shared" si="66"/>
        <v>9.7702062304545443</v>
      </c>
      <c r="G75" s="20">
        <f t="shared" si="67"/>
        <v>0.95735918651515162</v>
      </c>
      <c r="H75" s="21">
        <f t="shared" si="61"/>
        <v>420</v>
      </c>
      <c r="I75" s="20">
        <f t="shared" si="68"/>
        <v>6.2914947597058823</v>
      </c>
      <c r="J75" s="20">
        <f t="shared" si="69"/>
        <v>12.454185893333335</v>
      </c>
      <c r="L75" s="17">
        <f t="shared" si="70"/>
        <v>0.89032311374848483</v>
      </c>
      <c r="M75" s="14">
        <f t="shared" si="71"/>
        <v>390.42526201470582</v>
      </c>
      <c r="N75" s="13">
        <f t="shared" si="62"/>
        <v>5.6999999999999993</v>
      </c>
      <c r="O75" s="13">
        <f t="shared" si="72"/>
        <v>10.778284074166665</v>
      </c>
      <c r="Q75" s="9">
        <f t="shared" si="73"/>
        <v>0.89119175078181823</v>
      </c>
      <c r="R75" s="10">
        <f t="shared" si="74"/>
        <v>390.80848423529409</v>
      </c>
      <c r="S75" s="9">
        <f t="shared" si="75"/>
        <v>5.7076644444117646</v>
      </c>
      <c r="T75" s="9">
        <f t="shared" si="63"/>
        <v>10.8</v>
      </c>
    </row>
    <row r="76" spans="1:20" ht="14" thickBot="1" x14ac:dyDescent="0.2">
      <c r="B76" s="18">
        <f>B77-0.025</f>
        <v>0.875</v>
      </c>
      <c r="C76" s="19">
        <f t="shared" si="64"/>
        <v>383.66506477272725</v>
      </c>
      <c r="D76" s="18">
        <f t="shared" si="65"/>
        <v>5.5647960551604276</v>
      </c>
      <c r="E76" s="18">
        <f t="shared" si="66"/>
        <v>10.395206230454544</v>
      </c>
      <c r="G76" s="20">
        <f t="shared" si="67"/>
        <v>0.98002585318181823</v>
      </c>
      <c r="H76" s="21">
        <f>H77-10</f>
        <v>430</v>
      </c>
      <c r="I76" s="20">
        <f t="shared" si="68"/>
        <v>6.4914947597058816</v>
      </c>
      <c r="J76" s="20">
        <f t="shared" si="69"/>
        <v>13.020852560000002</v>
      </c>
      <c r="L76" s="17">
        <f t="shared" si="70"/>
        <v>0.90732311374848484</v>
      </c>
      <c r="M76" s="14">
        <f t="shared" si="71"/>
        <v>397.92526201470582</v>
      </c>
      <c r="N76" s="13">
        <f>N77-0.15</f>
        <v>5.85</v>
      </c>
      <c r="O76" s="13">
        <f t="shared" si="72"/>
        <v>11.203284074166666</v>
      </c>
      <c r="Q76" s="9">
        <f t="shared" si="73"/>
        <v>0.90519175078181824</v>
      </c>
      <c r="R76" s="10">
        <f t="shared" si="74"/>
        <v>396.98495482352934</v>
      </c>
      <c r="S76" s="9">
        <f t="shared" si="75"/>
        <v>5.8311938561764709</v>
      </c>
      <c r="T76" s="9">
        <f>T77-0.35</f>
        <v>11.15</v>
      </c>
    </row>
    <row r="77" spans="1:20" ht="14" thickBot="1" x14ac:dyDescent="0.2">
      <c r="B77" s="24">
        <f>Conventional!$B$8</f>
        <v>0.9</v>
      </c>
      <c r="C77" s="19">
        <f t="shared" si="64"/>
        <v>394.6944765374331</v>
      </c>
      <c r="D77" s="18">
        <f t="shared" si="65"/>
        <v>5.7853842904545454</v>
      </c>
      <c r="E77" s="18">
        <f t="shared" si="66"/>
        <v>11.020206230454544</v>
      </c>
      <c r="G77" s="20">
        <f t="shared" si="67"/>
        <v>1.0026925198484848</v>
      </c>
      <c r="H77" s="22">
        <f>Conventional!$D$8</f>
        <v>440</v>
      </c>
      <c r="I77" s="20">
        <f t="shared" si="68"/>
        <v>6.6914947597058818</v>
      </c>
      <c r="J77" s="20">
        <f t="shared" si="69"/>
        <v>13.587519226666668</v>
      </c>
      <c r="L77" s="17">
        <f t="shared" si="70"/>
        <v>0.92432311374848486</v>
      </c>
      <c r="M77" s="14">
        <f t="shared" si="71"/>
        <v>405.42526201470594</v>
      </c>
      <c r="N77" s="15">
        <f>Conventional!$F$8</f>
        <v>6</v>
      </c>
      <c r="O77" s="13">
        <f t="shared" si="72"/>
        <v>11.628284074166666</v>
      </c>
      <c r="Q77" s="9">
        <f t="shared" si="73"/>
        <v>0.91919175078181825</v>
      </c>
      <c r="R77" s="10">
        <f t="shared" si="74"/>
        <v>403.16142541176464</v>
      </c>
      <c r="S77" s="9">
        <f t="shared" si="75"/>
        <v>5.9547232679411763</v>
      </c>
      <c r="T77" s="11">
        <f>Conventional!$H$8</f>
        <v>11.5</v>
      </c>
    </row>
    <row r="78" spans="1:20" x14ac:dyDescent="0.15">
      <c r="B78" s="18">
        <f>B77+0.025</f>
        <v>0.92500000000000004</v>
      </c>
      <c r="C78" s="19">
        <f t="shared" si="64"/>
        <v>405.72388830213902</v>
      </c>
      <c r="D78" s="18">
        <f t="shared" si="65"/>
        <v>6.0059725257486631</v>
      </c>
      <c r="E78" s="18">
        <f t="shared" si="66"/>
        <v>11.645206230454544</v>
      </c>
      <c r="G78" s="20">
        <f t="shared" si="67"/>
        <v>1.0253591865151517</v>
      </c>
      <c r="H78" s="21">
        <f>H77+10</f>
        <v>450</v>
      </c>
      <c r="I78" s="20">
        <f t="shared" si="68"/>
        <v>6.891494759705882</v>
      </c>
      <c r="J78" s="20">
        <f t="shared" si="69"/>
        <v>14.154185893333334</v>
      </c>
      <c r="L78" s="17">
        <f t="shared" si="70"/>
        <v>0.94132311374848476</v>
      </c>
      <c r="M78" s="14">
        <f t="shared" si="71"/>
        <v>412.92526201470594</v>
      </c>
      <c r="N78" s="13">
        <f>N77+0.15</f>
        <v>6.15</v>
      </c>
      <c r="O78" s="13">
        <f t="shared" si="72"/>
        <v>12.053284074166667</v>
      </c>
      <c r="Q78" s="9">
        <f t="shared" si="73"/>
        <v>0.93319175078181826</v>
      </c>
      <c r="R78" s="10">
        <f t="shared" si="74"/>
        <v>409.33789599999994</v>
      </c>
      <c r="S78" s="9">
        <f t="shared" si="75"/>
        <v>6.0782526797058818</v>
      </c>
      <c r="T78" s="9">
        <f>T77+0.35</f>
        <v>11.85</v>
      </c>
    </row>
    <row r="79" spans="1:20" x14ac:dyDescent="0.15">
      <c r="B79" s="18">
        <f t="shared" ref="B79:B84" si="76">B78+0.025</f>
        <v>0.95000000000000007</v>
      </c>
      <c r="C79" s="19">
        <f t="shared" si="64"/>
        <v>416.75330006684493</v>
      </c>
      <c r="D79" s="18">
        <f t="shared" si="65"/>
        <v>6.2265607610427809</v>
      </c>
      <c r="E79" s="18">
        <f t="shared" si="66"/>
        <v>12.270206230454544</v>
      </c>
      <c r="G79" s="20">
        <f t="shared" si="67"/>
        <v>1.0480258531818183</v>
      </c>
      <c r="H79" s="21">
        <f t="shared" ref="H79:H84" si="77">H78+10</f>
        <v>460</v>
      </c>
      <c r="I79" s="20">
        <f t="shared" si="68"/>
        <v>7.0914947597058822</v>
      </c>
      <c r="J79" s="20">
        <f t="shared" si="69"/>
        <v>14.720852560000001</v>
      </c>
      <c r="L79" s="17">
        <f t="shared" si="70"/>
        <v>0.95832311374848511</v>
      </c>
      <c r="M79" s="14">
        <f t="shared" si="71"/>
        <v>420.42526201470594</v>
      </c>
      <c r="N79" s="13">
        <f t="shared" ref="N79:N84" si="78">N78+0.15</f>
        <v>6.3000000000000007</v>
      </c>
      <c r="O79" s="13">
        <f t="shared" si="72"/>
        <v>12.478284074166671</v>
      </c>
      <c r="Q79" s="9">
        <f t="shared" si="73"/>
        <v>0.94719175078181828</v>
      </c>
      <c r="R79" s="10">
        <f t="shared" si="74"/>
        <v>415.51436658823525</v>
      </c>
      <c r="S79" s="9">
        <f t="shared" si="75"/>
        <v>6.2017820914705881</v>
      </c>
      <c r="T79" s="9">
        <f t="shared" ref="T79:T84" si="79">T78+0.35</f>
        <v>12.2</v>
      </c>
    </row>
    <row r="80" spans="1:20" x14ac:dyDescent="0.15">
      <c r="B80" s="18">
        <f t="shared" si="76"/>
        <v>0.97500000000000009</v>
      </c>
      <c r="C80" s="19">
        <f t="shared" si="64"/>
        <v>427.78271183155084</v>
      </c>
      <c r="D80" s="18">
        <f t="shared" si="65"/>
        <v>6.4471489963368986</v>
      </c>
      <c r="E80" s="18">
        <f t="shared" si="66"/>
        <v>12.89520623045455</v>
      </c>
      <c r="G80" s="20">
        <f t="shared" si="67"/>
        <v>1.0706925198484849</v>
      </c>
      <c r="H80" s="21">
        <f t="shared" si="77"/>
        <v>470</v>
      </c>
      <c r="I80" s="20">
        <f t="shared" si="68"/>
        <v>7.2914947597058823</v>
      </c>
      <c r="J80" s="20">
        <f t="shared" si="69"/>
        <v>15.287519226666667</v>
      </c>
      <c r="L80" s="17">
        <f t="shared" si="70"/>
        <v>0.97532311374848513</v>
      </c>
      <c r="M80" s="14">
        <f t="shared" si="71"/>
        <v>427.92526201470588</v>
      </c>
      <c r="N80" s="13">
        <f t="shared" si="78"/>
        <v>6.4500000000000011</v>
      </c>
      <c r="O80" s="13">
        <f t="shared" si="72"/>
        <v>12.90328407416667</v>
      </c>
      <c r="Q80" s="9">
        <f t="shared" si="73"/>
        <v>0.96119175078181818</v>
      </c>
      <c r="R80" s="10">
        <f t="shared" si="74"/>
        <v>421.69083717647055</v>
      </c>
      <c r="S80" s="9">
        <f t="shared" si="75"/>
        <v>6.3253115032352927</v>
      </c>
      <c r="T80" s="9">
        <f t="shared" si="79"/>
        <v>12.549999999999999</v>
      </c>
    </row>
    <row r="81" spans="1:20" x14ac:dyDescent="0.15">
      <c r="B81" s="18">
        <f t="shared" si="76"/>
        <v>1</v>
      </c>
      <c r="C81" s="19">
        <f t="shared" si="64"/>
        <v>438.81212359625664</v>
      </c>
      <c r="D81" s="18">
        <f t="shared" si="65"/>
        <v>6.6677372316310164</v>
      </c>
      <c r="E81" s="18">
        <f t="shared" si="66"/>
        <v>13.520206230454544</v>
      </c>
      <c r="G81" s="20">
        <f t="shared" si="67"/>
        <v>1.0933591865151515</v>
      </c>
      <c r="H81" s="21">
        <f t="shared" si="77"/>
        <v>480</v>
      </c>
      <c r="I81" s="20">
        <f t="shared" si="68"/>
        <v>7.4914947597058816</v>
      </c>
      <c r="J81" s="20">
        <f t="shared" si="69"/>
        <v>15.854185893333334</v>
      </c>
      <c r="L81" s="17">
        <f t="shared" si="70"/>
        <v>0.99232311374848514</v>
      </c>
      <c r="M81" s="14">
        <f t="shared" si="71"/>
        <v>435.42526201470588</v>
      </c>
      <c r="N81" s="13">
        <f t="shared" si="78"/>
        <v>6.6000000000000014</v>
      </c>
      <c r="O81" s="13">
        <f t="shared" si="72"/>
        <v>13.328284074166671</v>
      </c>
      <c r="Q81" s="9">
        <f t="shared" si="73"/>
        <v>0.97519175078181808</v>
      </c>
      <c r="R81" s="10">
        <f t="shared" si="74"/>
        <v>427.86730776470586</v>
      </c>
      <c r="S81" s="9">
        <f t="shared" si="75"/>
        <v>6.4488409149999981</v>
      </c>
      <c r="T81" s="9">
        <f t="shared" si="79"/>
        <v>12.899999999999999</v>
      </c>
    </row>
    <row r="82" spans="1:20" x14ac:dyDescent="0.15">
      <c r="B82" s="18">
        <f t="shared" si="76"/>
        <v>1.0249999999999999</v>
      </c>
      <c r="C82" s="19">
        <f t="shared" si="64"/>
        <v>449.8415353609625</v>
      </c>
      <c r="D82" s="18">
        <f t="shared" si="65"/>
        <v>6.8883254669251315</v>
      </c>
      <c r="E82" s="18">
        <f t="shared" si="66"/>
        <v>14.145206230454541</v>
      </c>
      <c r="G82" s="20">
        <f t="shared" si="67"/>
        <v>1.1160258531818184</v>
      </c>
      <c r="H82" s="21">
        <f t="shared" si="77"/>
        <v>490</v>
      </c>
      <c r="I82" s="20">
        <f t="shared" si="68"/>
        <v>7.6914947597058818</v>
      </c>
      <c r="J82" s="20">
        <f t="shared" si="69"/>
        <v>16.42085256</v>
      </c>
      <c r="L82" s="17">
        <f t="shared" si="70"/>
        <v>1.009323113748485</v>
      </c>
      <c r="M82" s="14">
        <f t="shared" si="71"/>
        <v>442.92526201470588</v>
      </c>
      <c r="N82" s="13">
        <f t="shared" si="78"/>
        <v>6.7500000000000018</v>
      </c>
      <c r="O82" s="13">
        <f t="shared" si="72"/>
        <v>13.75328407416667</v>
      </c>
      <c r="Q82" s="9">
        <f t="shared" si="73"/>
        <v>0.98919175078181809</v>
      </c>
      <c r="R82" s="10">
        <f t="shared" si="74"/>
        <v>434.0437783529411</v>
      </c>
      <c r="S82" s="9">
        <f t="shared" si="75"/>
        <v>6.5723703267647045</v>
      </c>
      <c r="T82" s="9">
        <f t="shared" si="79"/>
        <v>13.249999999999998</v>
      </c>
    </row>
    <row r="83" spans="1:20" x14ac:dyDescent="0.15">
      <c r="B83" s="18">
        <f t="shared" si="76"/>
        <v>1.0499999999999998</v>
      </c>
      <c r="C83" s="19">
        <f t="shared" si="64"/>
        <v>460.87094712566835</v>
      </c>
      <c r="D83" s="18">
        <f t="shared" si="65"/>
        <v>7.1089137022192492</v>
      </c>
      <c r="E83" s="18">
        <f t="shared" si="66"/>
        <v>14.770206230454541</v>
      </c>
      <c r="G83" s="20">
        <f t="shared" si="67"/>
        <v>1.138692519848485</v>
      </c>
      <c r="H83" s="21">
        <f t="shared" si="77"/>
        <v>500</v>
      </c>
      <c r="I83" s="20">
        <f t="shared" si="68"/>
        <v>7.891494759705882</v>
      </c>
      <c r="J83" s="20">
        <f t="shared" si="69"/>
        <v>16.987519226666667</v>
      </c>
      <c r="L83" s="17">
        <f t="shared" si="70"/>
        <v>1.0263231137484852</v>
      </c>
      <c r="M83" s="14">
        <f t="shared" si="71"/>
        <v>450.42526201470605</v>
      </c>
      <c r="N83" s="13">
        <f t="shared" si="78"/>
        <v>6.9000000000000021</v>
      </c>
      <c r="O83" s="13">
        <f t="shared" si="72"/>
        <v>14.178284074166674</v>
      </c>
      <c r="Q83" s="9">
        <f t="shared" si="73"/>
        <v>1.0031917507818182</v>
      </c>
      <c r="R83" s="10">
        <f t="shared" si="74"/>
        <v>440.22024894117641</v>
      </c>
      <c r="S83" s="9">
        <f t="shared" si="75"/>
        <v>6.6958997385294099</v>
      </c>
      <c r="T83" s="9">
        <f t="shared" si="79"/>
        <v>13.599999999999998</v>
      </c>
    </row>
    <row r="84" spans="1:20" x14ac:dyDescent="0.15">
      <c r="A84" s="46"/>
      <c r="B84" s="47">
        <f t="shared" si="76"/>
        <v>1.0749999999999997</v>
      </c>
      <c r="C84" s="48">
        <f t="shared" si="64"/>
        <v>471.90035889037421</v>
      </c>
      <c r="D84" s="47">
        <f t="shared" si="65"/>
        <v>7.329501937513367</v>
      </c>
      <c r="E84" s="47">
        <f t="shared" si="66"/>
        <v>15.395206230454537</v>
      </c>
      <c r="F84" s="46"/>
      <c r="G84" s="49">
        <f t="shared" si="67"/>
        <v>1.1613591865151516</v>
      </c>
      <c r="H84" s="50">
        <f t="shared" si="77"/>
        <v>510</v>
      </c>
      <c r="I84" s="49">
        <f t="shared" si="68"/>
        <v>8.0914947597058813</v>
      </c>
      <c r="J84" s="49">
        <f t="shared" si="69"/>
        <v>17.554185893333337</v>
      </c>
      <c r="K84" s="46"/>
      <c r="L84" s="51">
        <f t="shared" si="70"/>
        <v>1.0433231137484851</v>
      </c>
      <c r="M84" s="52">
        <f t="shared" si="71"/>
        <v>457.92526201470599</v>
      </c>
      <c r="N84" s="53">
        <f t="shared" si="78"/>
        <v>7.0500000000000025</v>
      </c>
      <c r="O84" s="53">
        <f t="shared" si="72"/>
        <v>14.603284074166675</v>
      </c>
      <c r="P84" s="46"/>
      <c r="Q84" s="54">
        <f t="shared" si="73"/>
        <v>1.0171917507818182</v>
      </c>
      <c r="R84" s="55">
        <f t="shared" si="74"/>
        <v>446.39671952941171</v>
      </c>
      <c r="S84" s="54">
        <f t="shared" si="75"/>
        <v>6.8194291502941162</v>
      </c>
      <c r="T84" s="54">
        <f t="shared" si="79"/>
        <v>13.949999999999998</v>
      </c>
    </row>
  </sheetData>
  <mergeCells count="18">
    <mergeCell ref="B68:E68"/>
    <mergeCell ref="G68:J68"/>
    <mergeCell ref="L68:O68"/>
    <mergeCell ref="Q68:T68"/>
    <mergeCell ref="B5:E5"/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</mergeCells>
  <pageMargins left="0.7" right="0.7" top="0.75" bottom="0.75" header="0.3" footer="0.3"/>
  <pageSetup scale="85" orientation="landscape" horizontalDpi="300" verticalDpi="300"/>
  <rowBreaks count="1" manualBreakCount="1">
    <brk id="42" max="16383" man="1"/>
  </rowBreaks>
  <ignoredErrors>
    <ignoredError sqref="B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AL218"/>
  <sheetViews>
    <sheetView zoomScale="180" zoomScaleNormal="180" zoomScalePageLayoutView="170" workbookViewId="0">
      <pane xSplit="1" ySplit="8" topLeftCell="B22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baseColWidth="10" defaultColWidth="8.83203125" defaultRowHeight="14" x14ac:dyDescent="0.2"/>
  <cols>
    <col min="1" max="1" width="28.33203125" style="96" customWidth="1"/>
    <col min="2" max="2" width="7.5" style="101" bestFit="1" customWidth="1"/>
    <col min="3" max="3" width="3" style="101" bestFit="1" customWidth="1"/>
    <col min="4" max="4" width="5.5" style="101" bestFit="1" customWidth="1"/>
    <col min="5" max="5" width="4" style="101" bestFit="1" customWidth="1"/>
    <col min="6" max="6" width="5.5" style="101" bestFit="1" customWidth="1"/>
    <col min="7" max="7" width="3.5" style="101" bestFit="1" customWidth="1"/>
    <col min="8" max="8" width="5.83203125" style="101" bestFit="1" customWidth="1"/>
    <col min="9" max="9" width="3.5" style="101" bestFit="1" customWidth="1"/>
    <col min="10" max="10" width="5.5" style="101" bestFit="1" customWidth="1"/>
    <col min="11" max="11" width="3.5" style="101" bestFit="1" customWidth="1"/>
    <col min="12" max="12" width="5.5" style="101" bestFit="1" customWidth="1"/>
    <col min="13" max="13" width="3" style="101" bestFit="1" customWidth="1"/>
    <col min="14" max="14" width="5.5" style="101" bestFit="1" customWidth="1"/>
    <col min="15" max="15" width="4" style="101" bestFit="1" customWidth="1"/>
    <col min="16" max="16" width="5.5" style="101" bestFit="1" customWidth="1"/>
    <col min="17" max="17" width="3.5" style="101" bestFit="1" customWidth="1"/>
    <col min="18" max="18" width="5.83203125" style="101" bestFit="1" customWidth="1"/>
    <col min="19" max="19" width="3.5" style="101" bestFit="1" customWidth="1"/>
    <col min="20" max="20" width="5.5" style="101" bestFit="1" customWidth="1"/>
    <col min="21" max="21" width="3.5" style="101" bestFit="1" customWidth="1"/>
    <col min="22" max="22" width="8.83203125" style="101"/>
    <col min="23" max="23" width="9.1640625" style="100" bestFit="1" customWidth="1"/>
    <col min="24" max="24" width="7.5" style="100" bestFit="1" customWidth="1"/>
    <col min="25" max="25" width="6.1640625" style="100" bestFit="1" customWidth="1"/>
    <col min="26" max="26" width="7.5" style="100" bestFit="1" customWidth="1"/>
    <col min="27" max="27" width="7.1640625" style="100" bestFit="1" customWidth="1"/>
    <col min="28" max="28" width="6.6640625" style="100" bestFit="1" customWidth="1"/>
    <col min="29" max="29" width="9.1640625" style="100" bestFit="1" customWidth="1"/>
    <col min="30" max="30" width="6.6640625" style="100" bestFit="1" customWidth="1"/>
    <col min="31" max="31" width="7.1640625" style="100" bestFit="1" customWidth="1"/>
    <col min="32" max="32" width="7.5" style="100" bestFit="1" customWidth="1"/>
    <col min="33" max="33" width="8.1640625" style="100" bestFit="1" customWidth="1"/>
    <col min="34" max="34" width="7.5" style="100" bestFit="1" customWidth="1"/>
    <col min="35" max="35" width="6" style="101" bestFit="1" customWidth="1"/>
    <col min="36" max="37" width="2" style="101" bestFit="1" customWidth="1"/>
    <col min="38" max="38" width="12" style="101" bestFit="1" customWidth="1"/>
    <col min="39" max="39" width="2" style="101" bestFit="1" customWidth="1"/>
    <col min="40" max="40" width="7" style="101" bestFit="1" customWidth="1"/>
    <col min="41" max="41" width="2" style="101" bestFit="1" customWidth="1"/>
    <col min="42" max="42" width="9" style="101" bestFit="1" customWidth="1"/>
    <col min="43" max="16384" width="8.83203125" style="101"/>
  </cols>
  <sheetData>
    <row r="1" spans="1:34" s="96" customFormat="1" ht="12" x14ac:dyDescent="0.15">
      <c r="A1" s="94" t="str">
        <f>Conventional!A1</f>
        <v>Estimate of 2022 Relative Row Crop Costs and Net Returns</v>
      </c>
      <c r="B1" s="94"/>
      <c r="C1" s="94"/>
      <c r="D1" s="94"/>
      <c r="E1" s="94"/>
      <c r="F1" s="94"/>
      <c r="G1" s="94"/>
      <c r="H1" s="94"/>
      <c r="I1" s="94"/>
      <c r="J1" s="449" t="s">
        <v>194</v>
      </c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319" customFormat="1" ht="11" x14ac:dyDescent="0.15">
      <c r="A2" s="316" t="str">
        <f>Conventional!A2</f>
        <v>By A.R. Smith and Yangxuan Liu, UGA Extension Economists, Department of Agricultural &amp; Applied Economics</v>
      </c>
      <c r="B2" s="316"/>
      <c r="C2" s="316"/>
      <c r="D2" s="316"/>
      <c r="E2" s="316"/>
      <c r="F2" s="316"/>
      <c r="G2" s="316"/>
      <c r="H2" s="316"/>
      <c r="I2" s="316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4" x14ac:dyDescent="0.2">
      <c r="A3" s="297" t="str">
        <f>Conventional!A3</f>
        <v>Jan 2022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  <c r="V3" s="100"/>
    </row>
    <row r="4" spans="1:34" x14ac:dyDescent="0.2">
      <c r="A4" s="102" t="s">
        <v>26</v>
      </c>
      <c r="B4" s="408" t="s">
        <v>0</v>
      </c>
      <c r="C4" s="409"/>
      <c r="D4" s="409"/>
      <c r="E4" s="409"/>
      <c r="F4" s="409"/>
      <c r="G4" s="409"/>
      <c r="H4" s="409"/>
      <c r="I4" s="409"/>
      <c r="J4" s="409"/>
      <c r="K4" s="103"/>
      <c r="L4" s="400" t="s">
        <v>1</v>
      </c>
      <c r="M4" s="400"/>
      <c r="N4" s="400"/>
      <c r="O4" s="400"/>
      <c r="P4" s="400"/>
      <c r="Q4" s="400"/>
      <c r="R4" s="400"/>
      <c r="S4" s="400"/>
      <c r="T4" s="400"/>
      <c r="U4" s="104"/>
      <c r="V4" s="100"/>
    </row>
    <row r="5" spans="1:34" x14ac:dyDescent="0.2">
      <c r="A5" s="105"/>
      <c r="B5" s="106"/>
      <c r="C5" s="107"/>
      <c r="D5" s="291"/>
      <c r="E5" s="292"/>
      <c r="F5" s="259"/>
      <c r="G5" s="248"/>
      <c r="H5" s="235"/>
      <c r="I5" s="248"/>
      <c r="J5" s="396" t="s">
        <v>23</v>
      </c>
      <c r="K5" s="442"/>
      <c r="L5" s="107"/>
      <c r="M5" s="107"/>
      <c r="N5" s="295"/>
      <c r="O5" s="296"/>
      <c r="P5" s="259"/>
      <c r="Q5" s="248"/>
      <c r="R5" s="235"/>
      <c r="S5" s="248"/>
      <c r="T5" s="444" t="s">
        <v>23</v>
      </c>
      <c r="U5" s="445"/>
      <c r="V5" s="100"/>
    </row>
    <row r="6" spans="1:34" x14ac:dyDescent="0.2">
      <c r="A6" s="105"/>
      <c r="B6" s="402" t="s">
        <v>2</v>
      </c>
      <c r="C6" s="400"/>
      <c r="D6" s="439" t="s">
        <v>3</v>
      </c>
      <c r="E6" s="440"/>
      <c r="F6" s="405" t="s">
        <v>4</v>
      </c>
      <c r="G6" s="441"/>
      <c r="H6" s="400" t="s">
        <v>5</v>
      </c>
      <c r="I6" s="441"/>
      <c r="J6" s="400" t="s">
        <v>6</v>
      </c>
      <c r="K6" s="443"/>
      <c r="L6" s="402" t="s">
        <v>2</v>
      </c>
      <c r="M6" s="400"/>
      <c r="N6" s="439" t="s">
        <v>3</v>
      </c>
      <c r="O6" s="440"/>
      <c r="P6" s="405" t="s">
        <v>4</v>
      </c>
      <c r="Q6" s="441"/>
      <c r="R6" s="400" t="s">
        <v>5</v>
      </c>
      <c r="S6" s="441"/>
      <c r="T6" s="400" t="s">
        <v>6</v>
      </c>
      <c r="U6" s="401"/>
      <c r="V6" s="100"/>
    </row>
    <row r="7" spans="1:34" x14ac:dyDescent="0.2">
      <c r="A7" s="108" t="s">
        <v>154</v>
      </c>
      <c r="B7" s="289">
        <v>1200</v>
      </c>
      <c r="C7" s="287" t="s">
        <v>158</v>
      </c>
      <c r="D7" s="278">
        <f>'Peanut Price Calculator'!B10</f>
        <v>4700</v>
      </c>
      <c r="E7" s="293" t="s">
        <v>158</v>
      </c>
      <c r="F7" s="282">
        <v>200</v>
      </c>
      <c r="G7" s="283" t="s">
        <v>161</v>
      </c>
      <c r="H7" s="284">
        <v>60</v>
      </c>
      <c r="I7" s="283" t="s">
        <v>161</v>
      </c>
      <c r="J7" s="284">
        <v>100</v>
      </c>
      <c r="K7" s="286" t="s">
        <v>161</v>
      </c>
      <c r="L7" s="284">
        <v>750</v>
      </c>
      <c r="M7" s="287" t="s">
        <v>158</v>
      </c>
      <c r="N7" s="278">
        <f>'Peanut Price Calculator'!B21</f>
        <v>3400</v>
      </c>
      <c r="O7" s="293" t="s">
        <v>158</v>
      </c>
      <c r="P7" s="282">
        <v>85</v>
      </c>
      <c r="Q7" s="283" t="s">
        <v>161</v>
      </c>
      <c r="R7" s="284">
        <v>30</v>
      </c>
      <c r="S7" s="283" t="s">
        <v>161</v>
      </c>
      <c r="T7" s="284">
        <v>65</v>
      </c>
      <c r="U7" s="285" t="s">
        <v>161</v>
      </c>
      <c r="V7" s="100"/>
    </row>
    <row r="8" spans="1:34" ht="15" thickBot="1" x14ac:dyDescent="0.25">
      <c r="A8" s="109" t="s">
        <v>124</v>
      </c>
      <c r="B8" s="290">
        <f>Conventional!B8</f>
        <v>0.9</v>
      </c>
      <c r="C8" s="276" t="s">
        <v>159</v>
      </c>
      <c r="D8" s="280">
        <f>'Peanut Price Calculator'!B17</f>
        <v>440</v>
      </c>
      <c r="E8" s="294" t="s">
        <v>160</v>
      </c>
      <c r="F8" s="290">
        <f>Conventional!F8</f>
        <v>6</v>
      </c>
      <c r="G8" s="270" t="s">
        <v>162</v>
      </c>
      <c r="H8" s="290">
        <f>Conventional!H8</f>
        <v>11.5</v>
      </c>
      <c r="I8" s="270" t="s">
        <v>162</v>
      </c>
      <c r="J8" s="290">
        <f>Conventional!J8</f>
        <v>5.8</v>
      </c>
      <c r="K8" s="275" t="s">
        <v>162</v>
      </c>
      <c r="L8" s="274">
        <f>Conventional!B8</f>
        <v>0.9</v>
      </c>
      <c r="M8" s="276" t="s">
        <v>159</v>
      </c>
      <c r="N8" s="280">
        <f>'Peanut Price Calculator'!B28</f>
        <v>440</v>
      </c>
      <c r="O8" s="294" t="s">
        <v>160</v>
      </c>
      <c r="P8" s="273">
        <f>Conventional!F8</f>
        <v>6</v>
      </c>
      <c r="Q8" s="270" t="s">
        <v>162</v>
      </c>
      <c r="R8" s="274">
        <f>Conventional!H8</f>
        <v>11.5</v>
      </c>
      <c r="S8" s="270" t="s">
        <v>162</v>
      </c>
      <c r="T8" s="274">
        <f>Conventional!J8</f>
        <v>5.8</v>
      </c>
      <c r="U8" s="272" t="s">
        <v>162</v>
      </c>
      <c r="V8" s="100"/>
    </row>
    <row r="9" spans="1:34" x14ac:dyDescent="0.2">
      <c r="A9" s="110" t="s">
        <v>155</v>
      </c>
      <c r="B9" s="389">
        <f>B7*B8</f>
        <v>1080</v>
      </c>
      <c r="C9" s="382"/>
      <c r="D9" s="391">
        <f>D8*(D7/2000)</f>
        <v>1034</v>
      </c>
      <c r="E9" s="382"/>
      <c r="F9" s="391">
        <f>F7*F8</f>
        <v>1200</v>
      </c>
      <c r="G9" s="437"/>
      <c r="H9" s="382">
        <f>H7*H8</f>
        <v>690</v>
      </c>
      <c r="I9" s="437"/>
      <c r="J9" s="382">
        <f>J7*J8</f>
        <v>580</v>
      </c>
      <c r="K9" s="438"/>
      <c r="L9" s="389">
        <f>L7*L8</f>
        <v>675</v>
      </c>
      <c r="M9" s="382"/>
      <c r="N9" s="391">
        <f>N8*(N7/2000)</f>
        <v>748</v>
      </c>
      <c r="O9" s="382"/>
      <c r="P9" s="391">
        <f>P7*P8</f>
        <v>510</v>
      </c>
      <c r="Q9" s="437"/>
      <c r="R9" s="382">
        <f>R7*R8</f>
        <v>345</v>
      </c>
      <c r="S9" s="437"/>
      <c r="T9" s="446">
        <f>T7*T8</f>
        <v>377</v>
      </c>
      <c r="U9" s="447"/>
      <c r="V9" s="100"/>
    </row>
    <row r="10" spans="1:34" x14ac:dyDescent="0.2">
      <c r="A10" s="111" t="s">
        <v>156</v>
      </c>
      <c r="B10" s="112"/>
      <c r="C10" s="113"/>
      <c r="D10" s="249"/>
      <c r="E10" s="113"/>
      <c r="F10" s="249"/>
      <c r="G10" s="250"/>
      <c r="H10" s="113"/>
      <c r="I10" s="250"/>
      <c r="J10" s="113"/>
      <c r="K10" s="114"/>
      <c r="L10" s="113"/>
      <c r="M10" s="113"/>
      <c r="N10" s="249"/>
      <c r="O10" s="113"/>
      <c r="P10" s="249"/>
      <c r="Q10" s="250"/>
      <c r="R10" s="113"/>
      <c r="S10" s="250"/>
      <c r="T10" s="113"/>
      <c r="U10" s="115"/>
      <c r="V10" s="100"/>
    </row>
    <row r="11" spans="1:34" x14ac:dyDescent="0.2">
      <c r="A11" s="105" t="s">
        <v>24</v>
      </c>
      <c r="B11" s="390">
        <v>105</v>
      </c>
      <c r="C11" s="380"/>
      <c r="D11" s="385">
        <v>123.2</v>
      </c>
      <c r="E11" s="380"/>
      <c r="F11" s="385">
        <f>121.6</f>
        <v>121.6</v>
      </c>
      <c r="G11" s="386"/>
      <c r="H11" s="387">
        <f>Conventional!H11</f>
        <v>61.75</v>
      </c>
      <c r="I11" s="387"/>
      <c r="J11" s="380">
        <v>25</v>
      </c>
      <c r="K11" s="448"/>
      <c r="L11" s="390">
        <v>105</v>
      </c>
      <c r="M11" s="380"/>
      <c r="N11" s="385">
        <v>123.2</v>
      </c>
      <c r="O11" s="380"/>
      <c r="P11" s="385">
        <v>78.5</v>
      </c>
      <c r="Q11" s="386"/>
      <c r="R11" s="387">
        <f>Conventional!R11</f>
        <v>61.75</v>
      </c>
      <c r="S11" s="387"/>
      <c r="T11" s="380">
        <v>15</v>
      </c>
      <c r="U11" s="381"/>
      <c r="V11" s="100"/>
      <c r="AE11" s="334"/>
      <c r="AF11" s="334"/>
      <c r="AG11" s="334"/>
      <c r="AH11" s="334"/>
    </row>
    <row r="12" spans="1:34" x14ac:dyDescent="0.2">
      <c r="A12" s="105" t="s">
        <v>30</v>
      </c>
      <c r="B12" s="351"/>
      <c r="C12" s="352"/>
      <c r="D12" s="339"/>
      <c r="E12" s="352"/>
      <c r="F12" s="339"/>
      <c r="G12" s="340"/>
      <c r="H12" s="352"/>
      <c r="I12" s="340"/>
      <c r="J12" s="352"/>
      <c r="K12" s="430"/>
      <c r="L12" s="351"/>
      <c r="M12" s="352"/>
      <c r="N12" s="339"/>
      <c r="O12" s="352"/>
      <c r="P12" s="339"/>
      <c r="Q12" s="340"/>
      <c r="R12" s="352"/>
      <c r="S12" s="340"/>
      <c r="T12" s="352"/>
      <c r="U12" s="359"/>
      <c r="V12" s="100"/>
    </row>
    <row r="13" spans="1:34" x14ac:dyDescent="0.2">
      <c r="A13" s="105" t="s">
        <v>8</v>
      </c>
      <c r="B13" s="351">
        <f>B7/495*0.75</f>
        <v>1.8181818181818183</v>
      </c>
      <c r="C13" s="352"/>
      <c r="D13" s="251"/>
      <c r="E13" s="116"/>
      <c r="F13" s="251"/>
      <c r="G13" s="252"/>
      <c r="H13" s="116"/>
      <c r="I13" s="252"/>
      <c r="J13" s="116"/>
      <c r="K13" s="117"/>
      <c r="L13" s="351">
        <f>L7/495*0.75</f>
        <v>1.1363636363636362</v>
      </c>
      <c r="M13" s="352"/>
      <c r="N13" s="251"/>
      <c r="O13" s="116"/>
      <c r="P13" s="251"/>
      <c r="Q13" s="252"/>
      <c r="R13" s="116"/>
      <c r="S13" s="252"/>
      <c r="T13" s="116"/>
      <c r="U13" s="118"/>
      <c r="V13" s="100"/>
    </row>
    <row r="14" spans="1:34" x14ac:dyDescent="0.2">
      <c r="A14" s="105" t="s">
        <v>31</v>
      </c>
      <c r="B14" s="351">
        <f>16.5+6.7+B7*0.075*$D$48+0.0583*B7*$F$48+0.0583*B7*$H$48</f>
        <v>221.54320000000001</v>
      </c>
      <c r="C14" s="340"/>
      <c r="D14" s="342">
        <f>9.25+57.5+3.37</f>
        <v>70.12</v>
      </c>
      <c r="E14" s="342"/>
      <c r="F14" s="339">
        <f>25+1.2*F7*$D$48+0.5*F7*$F$48+F7*$H$48</f>
        <v>503</v>
      </c>
      <c r="G14" s="340"/>
      <c r="H14" s="352">
        <f>6.5+16.5+0.6667*H7*$F$48+1.333*H7*$H$48+3.37</f>
        <v>111.95699999999999</v>
      </c>
      <c r="I14" s="340"/>
      <c r="J14" s="352">
        <f>25+1.25*J7*$D$48+0.6*J7*$F$48+0.9*J7*$H$48</f>
        <v>269.3</v>
      </c>
      <c r="K14" s="430"/>
      <c r="L14" s="351">
        <f>16.5+6.7+0.08*L7*$D$48+0.0667*L7*$F$48+0.0667*L7*$H$48</f>
        <v>160.2355</v>
      </c>
      <c r="M14" s="352"/>
      <c r="N14" s="342">
        <f>9.25+57.5+3.37</f>
        <v>70.12</v>
      </c>
      <c r="O14" s="342"/>
      <c r="P14" s="339">
        <f>12.5+P7*1.1765*$D$48+0.4706*P7*$F$48+0.7059*P7*$H$48</f>
        <v>193.70453000000001</v>
      </c>
      <c r="Q14" s="340"/>
      <c r="R14" s="352">
        <f>6.5+16.5+1.3333*R7*$F$48+2.6667*R7*$H$48+3.37</f>
        <v>111.97002000000001</v>
      </c>
      <c r="S14" s="340"/>
      <c r="T14" s="352">
        <f>12.5+1.2308*T7*$D$48+0.6154*T7*$F$48+0.9231*T7*$H$48</f>
        <v>171.70398</v>
      </c>
      <c r="U14" s="359"/>
      <c r="V14" s="100"/>
    </row>
    <row r="15" spans="1:34" x14ac:dyDescent="0.2">
      <c r="A15" s="105" t="s">
        <v>125</v>
      </c>
      <c r="B15" s="119"/>
      <c r="C15" s="116"/>
      <c r="D15" s="251"/>
      <c r="E15" s="116"/>
      <c r="F15" s="251"/>
      <c r="G15" s="252"/>
      <c r="H15" s="116"/>
      <c r="I15" s="252"/>
      <c r="J15" s="116"/>
      <c r="K15" s="117"/>
      <c r="L15" s="116"/>
      <c r="M15" s="116"/>
      <c r="N15" s="251"/>
      <c r="O15" s="116"/>
      <c r="P15" s="251"/>
      <c r="Q15" s="252"/>
      <c r="R15" s="116"/>
      <c r="S15" s="252"/>
      <c r="T15" s="116"/>
      <c r="U15" s="118"/>
      <c r="V15" s="100"/>
    </row>
    <row r="16" spans="1:34" x14ac:dyDescent="0.2">
      <c r="A16" s="105" t="s">
        <v>9</v>
      </c>
      <c r="B16" s="351">
        <f>(117.09+74.78)/2+23.75+7.2+14.53</f>
        <v>141.41499999999999</v>
      </c>
      <c r="C16" s="352"/>
      <c r="D16" s="339">
        <f>59.49+52.44+93.06</f>
        <v>204.99</v>
      </c>
      <c r="E16" s="352"/>
      <c r="F16" s="339">
        <f>43.75+8.32+15.75</f>
        <v>67.819999999999993</v>
      </c>
      <c r="G16" s="340"/>
      <c r="H16" s="352">
        <f>(46.55+34.03+44.9+44.01)/4+2.78+18</f>
        <v>63.152499999999996</v>
      </c>
      <c r="I16" s="340"/>
      <c r="J16" s="352">
        <f>17.85+11.15</f>
        <v>29</v>
      </c>
      <c r="K16" s="430"/>
      <c r="L16" s="351">
        <f>(127.18+117.9)/2+23.75+5.2+14.53</f>
        <v>166.02</v>
      </c>
      <c r="M16" s="352"/>
      <c r="N16" s="339">
        <f>71.24+52.44+54.02</f>
        <v>177.7</v>
      </c>
      <c r="O16" s="352"/>
      <c r="P16" s="339">
        <f>30.25+8.32+15.75</f>
        <v>54.32</v>
      </c>
      <c r="Q16" s="340"/>
      <c r="R16" s="352">
        <f>(43.05+34.03+44.9+44.01)/4+2.78</f>
        <v>44.277499999999996</v>
      </c>
      <c r="S16" s="340"/>
      <c r="T16" s="352">
        <f>17.85+11.15</f>
        <v>29</v>
      </c>
      <c r="U16" s="359"/>
      <c r="V16" s="100"/>
    </row>
    <row r="17" spans="1:38" x14ac:dyDescent="0.2">
      <c r="A17" s="105" t="s">
        <v>172</v>
      </c>
      <c r="B17" s="351"/>
      <c r="C17" s="352"/>
      <c r="D17" s="251"/>
      <c r="E17" s="116"/>
      <c r="F17" s="251"/>
      <c r="G17" s="252"/>
      <c r="H17" s="116"/>
      <c r="I17" s="252"/>
      <c r="J17" s="116"/>
      <c r="K17" s="117"/>
      <c r="L17" s="351"/>
      <c r="M17" s="352"/>
      <c r="N17" s="251"/>
      <c r="O17" s="116"/>
      <c r="P17" s="251"/>
      <c r="Q17" s="252"/>
      <c r="R17" s="116"/>
      <c r="S17" s="252"/>
      <c r="T17" s="116"/>
      <c r="U17" s="118"/>
      <c r="V17" s="100"/>
    </row>
    <row r="18" spans="1:38" x14ac:dyDescent="0.2">
      <c r="A18" s="105" t="s">
        <v>174</v>
      </c>
      <c r="B18" s="351">
        <f>Conventional!B17</f>
        <v>18</v>
      </c>
      <c r="C18" s="352"/>
      <c r="D18" s="339">
        <f>Conventional!D17</f>
        <v>18</v>
      </c>
      <c r="E18" s="340"/>
      <c r="F18" s="251"/>
      <c r="G18" s="252"/>
      <c r="H18" s="116"/>
      <c r="I18" s="252"/>
      <c r="J18" s="116"/>
      <c r="K18" s="117"/>
      <c r="L18" s="351">
        <f>Conventional!L17</f>
        <v>18</v>
      </c>
      <c r="M18" s="352"/>
      <c r="N18" s="339">
        <f>Conventional!N17</f>
        <v>18</v>
      </c>
      <c r="O18" s="340"/>
      <c r="P18" s="251"/>
      <c r="Q18" s="252"/>
      <c r="R18" s="116"/>
      <c r="S18" s="252"/>
      <c r="T18" s="116"/>
      <c r="U18" s="118"/>
      <c r="V18" s="100"/>
    </row>
    <row r="19" spans="1:38" x14ac:dyDescent="0.2">
      <c r="A19" s="105" t="s">
        <v>10</v>
      </c>
      <c r="B19" s="351">
        <f>Conventional!B18</f>
        <v>12.5</v>
      </c>
      <c r="C19" s="352"/>
      <c r="D19" s="339">
        <f>Conventional!D18</f>
        <v>12.5</v>
      </c>
      <c r="E19" s="340"/>
      <c r="F19" s="251"/>
      <c r="G19" s="252"/>
      <c r="H19" s="116"/>
      <c r="I19" s="252"/>
      <c r="J19" s="116"/>
      <c r="K19" s="117"/>
      <c r="L19" s="351">
        <f>Conventional!L18</f>
        <v>12.5</v>
      </c>
      <c r="M19" s="352"/>
      <c r="N19" s="339">
        <f>Conventional!N18</f>
        <v>12.5</v>
      </c>
      <c r="O19" s="340"/>
      <c r="P19" s="251"/>
      <c r="Q19" s="252"/>
      <c r="R19" s="116"/>
      <c r="S19" s="252"/>
      <c r="T19" s="116"/>
      <c r="U19" s="118"/>
      <c r="V19" s="100"/>
      <c r="AI19" s="177"/>
      <c r="AJ19" s="177"/>
      <c r="AK19" s="177"/>
      <c r="AL19" s="177"/>
    </row>
    <row r="20" spans="1:38" x14ac:dyDescent="0.2">
      <c r="A20" s="105" t="s">
        <v>32</v>
      </c>
      <c r="B20" s="351">
        <f>(4.5+6.4)*$B$50</f>
        <v>32.700000000000003</v>
      </c>
      <c r="C20" s="352"/>
      <c r="D20" s="339">
        <f>(4.7+7.9)*$B$50</f>
        <v>37.800000000000004</v>
      </c>
      <c r="E20" s="352"/>
      <c r="F20" s="339">
        <f>6.1*$B$50</f>
        <v>18.299999999999997</v>
      </c>
      <c r="G20" s="340"/>
      <c r="H20" s="352">
        <f>5.5*$B$50</f>
        <v>16.5</v>
      </c>
      <c r="I20" s="340"/>
      <c r="J20" s="352">
        <f>6.3*$B$50</f>
        <v>18.899999999999999</v>
      </c>
      <c r="K20" s="430"/>
      <c r="L20" s="351">
        <f>(4.5+6.4)*$B$50</f>
        <v>32.700000000000003</v>
      </c>
      <c r="M20" s="352"/>
      <c r="N20" s="339">
        <f>(4.7+7.9)*$B$50</f>
        <v>37.800000000000004</v>
      </c>
      <c r="O20" s="352"/>
      <c r="P20" s="339">
        <f>6.1*$B$50</f>
        <v>18.299999999999997</v>
      </c>
      <c r="Q20" s="340"/>
      <c r="R20" s="352">
        <f>5.5*$B$50</f>
        <v>16.5</v>
      </c>
      <c r="S20" s="340"/>
      <c r="T20" s="352">
        <f>6.3*$B$50</f>
        <v>18.899999999999999</v>
      </c>
      <c r="U20" s="359"/>
      <c r="V20" s="100"/>
      <c r="AI20" s="177"/>
      <c r="AJ20" s="177"/>
      <c r="AK20" s="177"/>
      <c r="AL20" s="177"/>
    </row>
    <row r="21" spans="1:38" x14ac:dyDescent="0.2">
      <c r="A21" s="105" t="s">
        <v>11</v>
      </c>
      <c r="B21" s="351">
        <f>12.97+29.15</f>
        <v>42.12</v>
      </c>
      <c r="C21" s="352"/>
      <c r="D21" s="339">
        <f>13.49+33.7</f>
        <v>47.190000000000005</v>
      </c>
      <c r="E21" s="340"/>
      <c r="F21" s="339">
        <f>10.2+9.64</f>
        <v>19.84</v>
      </c>
      <c r="G21" s="340"/>
      <c r="H21" s="339">
        <f>8.28+7.88</f>
        <v>16.16</v>
      </c>
      <c r="I21" s="340"/>
      <c r="J21" s="339">
        <f>10.63+5.66</f>
        <v>16.29</v>
      </c>
      <c r="K21" s="359"/>
      <c r="L21" s="351">
        <v>41.64</v>
      </c>
      <c r="M21" s="352"/>
      <c r="N21" s="339">
        <f>13.49+33.7</f>
        <v>47.190000000000005</v>
      </c>
      <c r="O21" s="340"/>
      <c r="P21" s="339">
        <f>10.2+9.64</f>
        <v>19.84</v>
      </c>
      <c r="Q21" s="340"/>
      <c r="R21" s="339">
        <f>8.28+7.88</f>
        <v>16.16</v>
      </c>
      <c r="S21" s="340"/>
      <c r="T21" s="339">
        <f>10.63+5.66</f>
        <v>16.29</v>
      </c>
      <c r="U21" s="359"/>
      <c r="V21" s="100"/>
      <c r="AI21" s="177"/>
      <c r="AJ21" s="177"/>
      <c r="AK21" s="177"/>
      <c r="AL21" s="177"/>
    </row>
    <row r="22" spans="1:38" x14ac:dyDescent="0.2">
      <c r="A22" s="105" t="s">
        <v>33</v>
      </c>
      <c r="B22" s="351">
        <f>((7*7)*0.67+(4.8*$B$50*7)*0.33)</f>
        <v>66.093999999999994</v>
      </c>
      <c r="C22" s="340"/>
      <c r="D22" s="339">
        <f>((7*5)*0.67+(4.8*$B$50*5)*0.33)</f>
        <v>47.210000000000008</v>
      </c>
      <c r="E22" s="340"/>
      <c r="F22" s="339">
        <f>((7*7)*0.67+(4.8*$B$50*7)*0.33)</f>
        <v>66.093999999999994</v>
      </c>
      <c r="G22" s="340"/>
      <c r="H22" s="339">
        <f>((7*4)*0.67+(4.8*$B$50*4)*0.33)</f>
        <v>37.768000000000001</v>
      </c>
      <c r="I22" s="340"/>
      <c r="J22" s="352">
        <f>((7*3)*0.67+(4.8*$B$50*3)*0.33)</f>
        <v>28.326000000000001</v>
      </c>
      <c r="K22" s="430"/>
      <c r="L22" s="116"/>
      <c r="M22" s="116"/>
      <c r="N22" s="251"/>
      <c r="O22" s="116"/>
      <c r="P22" s="251"/>
      <c r="Q22" s="252"/>
      <c r="R22" s="116"/>
      <c r="S22" s="252"/>
      <c r="T22" s="116"/>
      <c r="U22" s="118"/>
      <c r="V22" s="100"/>
      <c r="AI22" s="177"/>
      <c r="AJ22" s="177"/>
      <c r="AK22" s="177"/>
      <c r="AL22" s="177"/>
    </row>
    <row r="23" spans="1:38" x14ac:dyDescent="0.2">
      <c r="A23" s="105" t="s">
        <v>13</v>
      </c>
      <c r="B23" s="351">
        <v>14.02</v>
      </c>
      <c r="C23" s="352"/>
      <c r="D23" s="339">
        <v>26.65</v>
      </c>
      <c r="E23" s="352"/>
      <c r="F23" s="339">
        <v>11.66</v>
      </c>
      <c r="G23" s="340"/>
      <c r="H23" s="352">
        <v>9.25</v>
      </c>
      <c r="I23" s="340"/>
      <c r="J23" s="352">
        <f>10.76</f>
        <v>10.76</v>
      </c>
      <c r="K23" s="359"/>
      <c r="L23" s="351">
        <v>14.02</v>
      </c>
      <c r="M23" s="352"/>
      <c r="N23" s="339">
        <v>26.65</v>
      </c>
      <c r="O23" s="352"/>
      <c r="P23" s="339">
        <v>11.66</v>
      </c>
      <c r="Q23" s="340"/>
      <c r="R23" s="352">
        <v>9.25</v>
      </c>
      <c r="S23" s="340"/>
      <c r="T23" s="352">
        <v>10.76</v>
      </c>
      <c r="U23" s="359"/>
      <c r="V23" s="100"/>
      <c r="AI23" s="177"/>
      <c r="AJ23" s="177"/>
      <c r="AK23" s="177"/>
      <c r="AL23" s="177"/>
    </row>
    <row r="24" spans="1:38" x14ac:dyDescent="0.2">
      <c r="A24" s="105" t="s">
        <v>14</v>
      </c>
      <c r="B24" s="352">
        <f>Conventional!B23</f>
        <v>19</v>
      </c>
      <c r="C24" s="340"/>
      <c r="D24" s="352">
        <f>Conventional!D23</f>
        <v>31</v>
      </c>
      <c r="E24" s="340"/>
      <c r="F24" s="352">
        <f>Conventional!F23</f>
        <v>21</v>
      </c>
      <c r="G24" s="340"/>
      <c r="H24" s="352">
        <f>Conventional!H23</f>
        <v>12</v>
      </c>
      <c r="I24" s="340"/>
      <c r="J24" s="352">
        <f>Conventional!J23</f>
        <v>27</v>
      </c>
      <c r="K24" s="430"/>
      <c r="L24" s="116">
        <f>Conventional!L23</f>
        <v>35</v>
      </c>
      <c r="M24" s="252"/>
      <c r="N24" s="352">
        <f>Conventional!N23</f>
        <v>43</v>
      </c>
      <c r="O24" s="340"/>
      <c r="P24" s="352">
        <f>Conventional!P23</f>
        <v>35</v>
      </c>
      <c r="Q24" s="340"/>
      <c r="R24" s="352">
        <f>Conventional!R23</f>
        <v>20</v>
      </c>
      <c r="S24" s="340"/>
      <c r="T24" s="352">
        <f>Conventional!T23</f>
        <v>24</v>
      </c>
      <c r="U24" s="359"/>
      <c r="V24" s="100"/>
    </row>
    <row r="25" spans="1:38" x14ac:dyDescent="0.2">
      <c r="A25" s="105" t="s">
        <v>126</v>
      </c>
      <c r="B25" s="351"/>
      <c r="C25" s="340"/>
      <c r="D25" s="339"/>
      <c r="E25" s="340"/>
      <c r="F25" s="339"/>
      <c r="G25" s="340"/>
      <c r="H25" s="339"/>
      <c r="I25" s="340"/>
      <c r="J25" s="339"/>
      <c r="K25" s="430"/>
      <c r="L25" s="351"/>
      <c r="M25" s="340"/>
      <c r="N25" s="339"/>
      <c r="O25" s="340"/>
      <c r="P25" s="339"/>
      <c r="Q25" s="340"/>
      <c r="R25" s="339"/>
      <c r="S25" s="340"/>
      <c r="T25" s="339"/>
      <c r="U25" s="359"/>
      <c r="V25" s="100"/>
    </row>
    <row r="26" spans="1:38" x14ac:dyDescent="0.2">
      <c r="A26" s="105" t="s">
        <v>16</v>
      </c>
      <c r="B26" s="119"/>
      <c r="C26" s="116"/>
      <c r="D26" s="251"/>
      <c r="E26" s="116"/>
      <c r="F26" s="251"/>
      <c r="G26" s="252"/>
      <c r="H26" s="116"/>
      <c r="I26" s="252"/>
      <c r="J26" s="116"/>
      <c r="K26" s="117"/>
      <c r="L26" s="116"/>
      <c r="M26" s="116"/>
      <c r="N26" s="251"/>
      <c r="O26" s="116"/>
      <c r="P26" s="251"/>
      <c r="Q26" s="252"/>
      <c r="R26" s="116"/>
      <c r="S26" s="252"/>
      <c r="T26" s="116"/>
      <c r="U26" s="118"/>
      <c r="V26" s="100"/>
    </row>
    <row r="27" spans="1:38" x14ac:dyDescent="0.2">
      <c r="A27" s="105" t="s">
        <v>17</v>
      </c>
      <c r="B27" s="392">
        <f>(SUM(B11:B26))*0.5*0.055</f>
        <v>18.540785499999998</v>
      </c>
      <c r="C27" s="370"/>
      <c r="D27" s="418">
        <f>(SUM(D11:D26))*0.5*0.055</f>
        <v>17.013150000000003</v>
      </c>
      <c r="E27" s="370"/>
      <c r="F27" s="418">
        <f>(SUM(F11:F26))*0.5*0.055</f>
        <v>22.806134999999998</v>
      </c>
      <c r="G27" s="419"/>
      <c r="H27" s="370">
        <f>(SUM(H11:H26))*0.5*0.055</f>
        <v>9.03478125</v>
      </c>
      <c r="I27" s="419"/>
      <c r="J27" s="370">
        <f>(SUM(J11:J26))*0.5*0.055</f>
        <v>11.675840000000001</v>
      </c>
      <c r="K27" s="431"/>
      <c r="L27" s="392">
        <f>(SUM(L11:L26))*0.5*0.055</f>
        <v>16.121926250000001</v>
      </c>
      <c r="M27" s="370"/>
      <c r="N27" s="418">
        <f>(SUM(N11:N26))*0.5*0.055</f>
        <v>15.2944</v>
      </c>
      <c r="O27" s="370"/>
      <c r="P27" s="418">
        <f>(SUM(P11:P26))*0.5*0.055</f>
        <v>11.311424575</v>
      </c>
      <c r="Q27" s="419"/>
      <c r="R27" s="370">
        <f>(SUM(R11:R26))*0.5*0.055</f>
        <v>7.6974567999999994</v>
      </c>
      <c r="S27" s="419"/>
      <c r="T27" s="370">
        <f>(SUM(T11:T26))*0.5*0.055</f>
        <v>7.8554844499999996</v>
      </c>
      <c r="U27" s="371"/>
      <c r="V27" s="100"/>
    </row>
    <row r="28" spans="1:38" x14ac:dyDescent="0.2">
      <c r="A28" s="105" t="s">
        <v>171</v>
      </c>
      <c r="B28" s="392">
        <f>0.0395*B7</f>
        <v>47.4</v>
      </c>
      <c r="C28" s="370"/>
      <c r="D28" s="253"/>
      <c r="E28" s="120"/>
      <c r="F28" s="253"/>
      <c r="G28" s="254"/>
      <c r="H28" s="120"/>
      <c r="I28" s="254"/>
      <c r="J28" s="120"/>
      <c r="K28" s="121"/>
      <c r="L28" s="392">
        <f>0.0395*L7</f>
        <v>29.625</v>
      </c>
      <c r="M28" s="370"/>
      <c r="N28" s="253"/>
      <c r="O28" s="120"/>
      <c r="P28" s="253"/>
      <c r="Q28" s="254"/>
      <c r="R28" s="120"/>
      <c r="S28" s="254"/>
      <c r="T28" s="120"/>
      <c r="U28" s="122"/>
      <c r="V28" s="100"/>
    </row>
    <row r="29" spans="1:38" x14ac:dyDescent="0.2">
      <c r="A29" s="105" t="s">
        <v>15</v>
      </c>
      <c r="B29" s="123"/>
      <c r="C29" s="120"/>
      <c r="D29" s="418">
        <f>D7/2000*0.33*20+D7/2000*0.67*30</f>
        <v>62.745000000000005</v>
      </c>
      <c r="E29" s="370"/>
      <c r="F29" s="418">
        <f>F7*1.0975*0.28</f>
        <v>61.46</v>
      </c>
      <c r="G29" s="419"/>
      <c r="H29" s="120"/>
      <c r="I29" s="254"/>
      <c r="J29" s="370">
        <f>J7*1.0975*0.28</f>
        <v>30.73</v>
      </c>
      <c r="K29" s="431"/>
      <c r="L29" s="120"/>
      <c r="M29" s="120"/>
      <c r="N29" s="418">
        <f>N7/2000*0.33*20+N7/2000*0.67*30</f>
        <v>45.39</v>
      </c>
      <c r="O29" s="370"/>
      <c r="P29" s="418">
        <f>P7*1.0975*0.28</f>
        <v>26.1205</v>
      </c>
      <c r="Q29" s="419"/>
      <c r="R29" s="120"/>
      <c r="S29" s="254"/>
      <c r="T29" s="370">
        <f>T7*1.0975*0.28</f>
        <v>19.974499999999999</v>
      </c>
      <c r="U29" s="371"/>
      <c r="V29" s="100"/>
    </row>
    <row r="30" spans="1:38" x14ac:dyDescent="0.2">
      <c r="A30" s="105" t="s">
        <v>18</v>
      </c>
      <c r="B30" s="123"/>
      <c r="C30" s="120"/>
      <c r="D30" s="427">
        <f>D7/2000*3+D7/2000*355*0.01</f>
        <v>15.3925</v>
      </c>
      <c r="E30" s="354"/>
      <c r="F30" s="253"/>
      <c r="G30" s="254"/>
      <c r="H30" s="120"/>
      <c r="I30" s="254"/>
      <c r="J30" s="120"/>
      <c r="K30" s="121"/>
      <c r="L30" s="120"/>
      <c r="M30" s="120"/>
      <c r="N30" s="427">
        <f>N7/2000*3+N7/2000*355*0.01</f>
        <v>11.135</v>
      </c>
      <c r="O30" s="354"/>
      <c r="P30" s="253"/>
      <c r="Q30" s="254"/>
      <c r="R30" s="120"/>
      <c r="S30" s="254"/>
      <c r="T30" s="120"/>
      <c r="U30" s="124"/>
      <c r="V30" s="100"/>
    </row>
    <row r="31" spans="1:38" ht="15" thickBot="1" x14ac:dyDescent="0.25">
      <c r="A31" s="125" t="s">
        <v>157</v>
      </c>
      <c r="B31" s="366">
        <f t="shared" ref="B31:T31" si="0">SUM(B11:B30)</f>
        <v>740.15116731818171</v>
      </c>
      <c r="C31" s="365"/>
      <c r="D31" s="422">
        <f t="shared" si="0"/>
        <v>713.81065000000012</v>
      </c>
      <c r="E31" s="365"/>
      <c r="F31" s="422">
        <f t="shared" si="0"/>
        <v>913.58013500000004</v>
      </c>
      <c r="G31" s="423"/>
      <c r="H31" s="365">
        <f t="shared" si="0"/>
        <v>337.57228125</v>
      </c>
      <c r="I31" s="423"/>
      <c r="J31" s="365">
        <f t="shared" si="0"/>
        <v>466.98184000000003</v>
      </c>
      <c r="K31" s="417"/>
      <c r="L31" s="366">
        <f t="shared" si="0"/>
        <v>631.99878988636362</v>
      </c>
      <c r="M31" s="365"/>
      <c r="N31" s="422">
        <f t="shared" si="0"/>
        <v>627.97939999999994</v>
      </c>
      <c r="O31" s="365"/>
      <c r="P31" s="422">
        <f t="shared" si="0"/>
        <v>448.75645457499996</v>
      </c>
      <c r="Q31" s="423"/>
      <c r="R31" s="365">
        <f t="shared" si="0"/>
        <v>287.60497679999997</v>
      </c>
      <c r="S31" s="423"/>
      <c r="T31" s="365">
        <f t="shared" si="0"/>
        <v>313.48396444999997</v>
      </c>
      <c r="U31" s="368"/>
      <c r="V31" s="100"/>
    </row>
    <row r="32" spans="1:38" x14ac:dyDescent="0.2">
      <c r="A32" s="126" t="s">
        <v>163</v>
      </c>
      <c r="B32" s="393">
        <f t="shared" ref="B32:T32" si="1">B9-B31</f>
        <v>339.84883268181829</v>
      </c>
      <c r="C32" s="374"/>
      <c r="D32" s="420">
        <f t="shared" si="1"/>
        <v>320.18934999999988</v>
      </c>
      <c r="E32" s="374"/>
      <c r="F32" s="420">
        <f t="shared" si="1"/>
        <v>286.41986499999996</v>
      </c>
      <c r="G32" s="421"/>
      <c r="H32" s="374">
        <f t="shared" si="1"/>
        <v>352.42771875</v>
      </c>
      <c r="I32" s="421"/>
      <c r="J32" s="374">
        <f t="shared" si="1"/>
        <v>113.01815999999997</v>
      </c>
      <c r="K32" s="436"/>
      <c r="L32" s="393">
        <f t="shared" si="1"/>
        <v>43.001210113636375</v>
      </c>
      <c r="M32" s="374"/>
      <c r="N32" s="420">
        <f t="shared" si="1"/>
        <v>120.02060000000006</v>
      </c>
      <c r="O32" s="374"/>
      <c r="P32" s="420">
        <f t="shared" si="1"/>
        <v>61.243545425000036</v>
      </c>
      <c r="Q32" s="421"/>
      <c r="R32" s="374">
        <f t="shared" si="1"/>
        <v>57.395023200000026</v>
      </c>
      <c r="S32" s="421"/>
      <c r="T32" s="374">
        <f t="shared" si="1"/>
        <v>63.516035550000026</v>
      </c>
      <c r="U32" s="375"/>
      <c r="V32" s="100"/>
    </row>
    <row r="33" spans="1:34" x14ac:dyDescent="0.2">
      <c r="A33" s="127" t="str">
        <f>Conventional!A32</f>
        <v>BREAKEVEN PRICE  (Variable Cost)</v>
      </c>
      <c r="B33" s="128">
        <f>B31/B7</f>
        <v>0.61679263943181806</v>
      </c>
      <c r="C33" s="129" t="s">
        <v>159</v>
      </c>
      <c r="D33" s="239">
        <f>D31/D7*2000</f>
        <v>303.74921276595751</v>
      </c>
      <c r="E33" s="129" t="s">
        <v>160</v>
      </c>
      <c r="F33" s="240">
        <f>F31/F7</f>
        <v>4.5679006750000006</v>
      </c>
      <c r="G33" s="238" t="s">
        <v>162</v>
      </c>
      <c r="H33" s="130">
        <f>H31/H7</f>
        <v>5.6262046875000005</v>
      </c>
      <c r="I33" s="238" t="s">
        <v>162</v>
      </c>
      <c r="J33" s="130">
        <f>J31/J7</f>
        <v>4.6698184000000005</v>
      </c>
      <c r="K33" s="131" t="s">
        <v>162</v>
      </c>
      <c r="L33" s="130">
        <f>L31/L7</f>
        <v>0.84266505318181817</v>
      </c>
      <c r="M33" s="129" t="s">
        <v>159</v>
      </c>
      <c r="N33" s="260">
        <f>N31/N7*2000</f>
        <v>369.39964705882352</v>
      </c>
      <c r="O33" s="129" t="s">
        <v>160</v>
      </c>
      <c r="P33" s="240">
        <f>P31/P7</f>
        <v>5.2794877008823526</v>
      </c>
      <c r="Q33" s="238" t="s">
        <v>162</v>
      </c>
      <c r="R33" s="130">
        <f>R31/R7</f>
        <v>9.5868325599999995</v>
      </c>
      <c r="S33" s="238" t="s">
        <v>162</v>
      </c>
      <c r="T33" s="130">
        <f>T31/T7</f>
        <v>4.822830222307692</v>
      </c>
      <c r="U33" s="132" t="s">
        <v>162</v>
      </c>
      <c r="V33" s="100"/>
    </row>
    <row r="34" spans="1:34" x14ac:dyDescent="0.2">
      <c r="A34" s="322" t="str">
        <f>Conventional!A33</f>
        <v>BREAKEVEN YIELD per ACRE (Variable Cost)</v>
      </c>
      <c r="B34" s="328">
        <f>B31/B8</f>
        <v>822.39018590909075</v>
      </c>
      <c r="C34" s="329" t="s">
        <v>158</v>
      </c>
      <c r="D34" s="330">
        <f>D31/D8*2000</f>
        <v>3244.5938636363644</v>
      </c>
      <c r="E34" s="329" t="s">
        <v>158</v>
      </c>
      <c r="F34" s="330">
        <f>F31/F8</f>
        <v>152.26335583333335</v>
      </c>
      <c r="G34" s="331" t="s">
        <v>161</v>
      </c>
      <c r="H34" s="330">
        <f>H31/H8</f>
        <v>29.35411141304348</v>
      </c>
      <c r="I34" s="331" t="s">
        <v>161</v>
      </c>
      <c r="J34" s="330">
        <f>J31/J8</f>
        <v>80.5141103448276</v>
      </c>
      <c r="K34" s="332" t="s">
        <v>161</v>
      </c>
      <c r="L34" s="328">
        <f>L31/L8</f>
        <v>702.22087765151514</v>
      </c>
      <c r="M34" s="329" t="s">
        <v>158</v>
      </c>
      <c r="N34" s="330">
        <f>N31/N8*2000</f>
        <v>2854.451818181818</v>
      </c>
      <c r="O34" s="329" t="s">
        <v>158</v>
      </c>
      <c r="P34" s="330">
        <f>P31/P8</f>
        <v>74.792742429166665</v>
      </c>
      <c r="Q34" s="331" t="s">
        <v>161</v>
      </c>
      <c r="R34" s="330">
        <f>R31/R8</f>
        <v>25.009128417391302</v>
      </c>
      <c r="S34" s="331" t="s">
        <v>161</v>
      </c>
      <c r="T34" s="330">
        <f>T31/T8</f>
        <v>54.048959387931035</v>
      </c>
      <c r="U34" s="333" t="s">
        <v>161</v>
      </c>
      <c r="V34" s="100"/>
    </row>
    <row r="35" spans="1:34" x14ac:dyDescent="0.2">
      <c r="A35" s="108" t="s">
        <v>164</v>
      </c>
      <c r="B35" s="123"/>
      <c r="C35" s="120"/>
      <c r="D35" s="253"/>
      <c r="E35" s="120"/>
      <c r="F35" s="253"/>
      <c r="G35" s="254"/>
      <c r="H35" s="120"/>
      <c r="I35" s="254"/>
      <c r="J35" s="120"/>
      <c r="K35" s="121"/>
      <c r="L35" s="120"/>
      <c r="M35" s="120"/>
      <c r="N35" s="253"/>
      <c r="O35" s="120"/>
      <c r="P35" s="253"/>
      <c r="Q35" s="254"/>
      <c r="R35" s="120"/>
      <c r="S35" s="254"/>
      <c r="T35" s="120"/>
      <c r="U35" s="122"/>
      <c r="V35" s="100"/>
    </row>
    <row r="36" spans="1:34" x14ac:dyDescent="0.2">
      <c r="A36" s="105" t="s">
        <v>19</v>
      </c>
      <c r="B36" s="351">
        <f>44.47+138.49</f>
        <v>182.96</v>
      </c>
      <c r="C36" s="352"/>
      <c r="D36" s="339">
        <f>34.58+102.04</f>
        <v>136.62</v>
      </c>
      <c r="E36" s="352"/>
      <c r="F36" s="339">
        <f>27.27+47.88</f>
        <v>75.150000000000006</v>
      </c>
      <c r="G36" s="340"/>
      <c r="H36" s="352">
        <f>23.37+37.28</f>
        <v>60.650000000000006</v>
      </c>
      <c r="I36" s="340"/>
      <c r="J36" s="352">
        <f>28.28+25.6</f>
        <v>53.88</v>
      </c>
      <c r="K36" s="359"/>
      <c r="L36" s="351">
        <f>B36</f>
        <v>182.96</v>
      </c>
      <c r="M36" s="352"/>
      <c r="N36" s="339">
        <f>34.58+102.04</f>
        <v>136.62</v>
      </c>
      <c r="O36" s="352"/>
      <c r="P36" s="339">
        <f>27.27+47.88</f>
        <v>75.150000000000006</v>
      </c>
      <c r="Q36" s="340"/>
      <c r="R36" s="352">
        <f>23.37+37.28</f>
        <v>60.650000000000006</v>
      </c>
      <c r="S36" s="340"/>
      <c r="T36" s="352">
        <f>J36</f>
        <v>53.88</v>
      </c>
      <c r="U36" s="359"/>
      <c r="V36" s="100"/>
    </row>
    <row r="37" spans="1:34" x14ac:dyDescent="0.2">
      <c r="A37" s="105" t="s">
        <v>12</v>
      </c>
      <c r="B37" s="351">
        <f>Conventional!B36</f>
        <v>135</v>
      </c>
      <c r="C37" s="352"/>
      <c r="D37" s="339">
        <f>Conventional!D36</f>
        <v>135</v>
      </c>
      <c r="E37" s="352"/>
      <c r="F37" s="339">
        <f>Conventional!F36</f>
        <v>135</v>
      </c>
      <c r="G37" s="340"/>
      <c r="H37" s="352">
        <f>Conventional!H36</f>
        <v>135</v>
      </c>
      <c r="I37" s="340"/>
      <c r="J37" s="352">
        <f>Conventional!J36</f>
        <v>135</v>
      </c>
      <c r="K37" s="430"/>
      <c r="L37" s="116"/>
      <c r="M37" s="116"/>
      <c r="N37" s="251"/>
      <c r="O37" s="116"/>
      <c r="P37" s="251"/>
      <c r="Q37" s="252"/>
      <c r="R37" s="116"/>
      <c r="S37" s="252"/>
      <c r="T37" s="116"/>
      <c r="U37" s="118"/>
      <c r="V37" s="100"/>
    </row>
    <row r="38" spans="1:34" x14ac:dyDescent="0.2">
      <c r="A38" s="105" t="s">
        <v>20</v>
      </c>
      <c r="B38" s="119"/>
      <c r="C38" s="116"/>
      <c r="D38" s="251"/>
      <c r="E38" s="116"/>
      <c r="F38" s="251"/>
      <c r="G38" s="252"/>
      <c r="H38" s="116"/>
      <c r="I38" s="252"/>
      <c r="J38" s="116"/>
      <c r="K38" s="117"/>
      <c r="L38" s="116"/>
      <c r="M38" s="116"/>
      <c r="N38" s="251"/>
      <c r="O38" s="116"/>
      <c r="P38" s="251"/>
      <c r="Q38" s="252"/>
      <c r="R38" s="116"/>
      <c r="S38" s="252"/>
      <c r="T38" s="116"/>
      <c r="U38" s="118"/>
      <c r="V38" s="100"/>
    </row>
    <row r="39" spans="1:34" x14ac:dyDescent="0.2">
      <c r="A39" s="105" t="s">
        <v>21</v>
      </c>
      <c r="B39" s="353">
        <f>0.05*B31</f>
        <v>37.007558365909084</v>
      </c>
      <c r="C39" s="354"/>
      <c r="D39" s="427">
        <f>0.05*D31</f>
        <v>35.69053250000001</v>
      </c>
      <c r="E39" s="354"/>
      <c r="F39" s="427">
        <f>0.05*F31</f>
        <v>45.679006750000006</v>
      </c>
      <c r="G39" s="432"/>
      <c r="H39" s="354">
        <f>0.05*H31</f>
        <v>16.878614062500002</v>
      </c>
      <c r="I39" s="432"/>
      <c r="J39" s="354">
        <f>0.05*J31</f>
        <v>23.349092000000002</v>
      </c>
      <c r="K39" s="434"/>
      <c r="L39" s="353">
        <f>0.05*L31</f>
        <v>31.599939494318182</v>
      </c>
      <c r="M39" s="354"/>
      <c r="N39" s="427">
        <f>0.05*N31</f>
        <v>31.398969999999998</v>
      </c>
      <c r="O39" s="354"/>
      <c r="P39" s="427">
        <f>0.05*P31</f>
        <v>22.43782272875</v>
      </c>
      <c r="Q39" s="432"/>
      <c r="R39" s="354">
        <f>0.05*R31</f>
        <v>14.38024884</v>
      </c>
      <c r="S39" s="432"/>
      <c r="T39" s="354">
        <f>0.05*T31</f>
        <v>15.674198222499999</v>
      </c>
      <c r="U39" s="363"/>
      <c r="V39" s="100"/>
    </row>
    <row r="40" spans="1:34" x14ac:dyDescent="0.2">
      <c r="A40" s="133" t="s">
        <v>165</v>
      </c>
      <c r="B40" s="355">
        <f>SUM(B36:B39)</f>
        <v>354.9675583659091</v>
      </c>
      <c r="C40" s="356"/>
      <c r="D40" s="425">
        <f>SUM(D36:D39)</f>
        <v>307.31053250000002</v>
      </c>
      <c r="E40" s="356"/>
      <c r="F40" s="425">
        <f>SUM(F36:F39)</f>
        <v>255.82900675000002</v>
      </c>
      <c r="G40" s="433"/>
      <c r="H40" s="356">
        <f>SUM(H36:H39)</f>
        <v>212.5286140625</v>
      </c>
      <c r="I40" s="433"/>
      <c r="J40" s="356">
        <f>SUM(J36:J39)</f>
        <v>212.22909200000001</v>
      </c>
      <c r="K40" s="435"/>
      <c r="L40" s="355">
        <f>SUM(L36:L39)</f>
        <v>214.5599394943182</v>
      </c>
      <c r="M40" s="356"/>
      <c r="N40" s="425">
        <f>SUM(N36:N39)</f>
        <v>168.01897</v>
      </c>
      <c r="O40" s="356"/>
      <c r="P40" s="425">
        <f>SUM(P36:P39)</f>
        <v>97.587822728750012</v>
      </c>
      <c r="Q40" s="433"/>
      <c r="R40" s="356">
        <f>SUM(R36:R39)</f>
        <v>75.030248840000013</v>
      </c>
      <c r="S40" s="433"/>
      <c r="T40" s="356">
        <f>SUM(T36:T39)</f>
        <v>69.554198222500005</v>
      </c>
      <c r="U40" s="362"/>
      <c r="V40" s="100"/>
    </row>
    <row r="41" spans="1:34" x14ac:dyDescent="0.2">
      <c r="A41" s="134"/>
      <c r="B41" s="135"/>
      <c r="C41" s="136"/>
      <c r="D41" s="255"/>
      <c r="E41" s="136"/>
      <c r="F41" s="255"/>
      <c r="G41" s="256"/>
      <c r="H41" s="136"/>
      <c r="I41" s="256"/>
      <c r="J41" s="136"/>
      <c r="K41" s="137"/>
      <c r="L41" s="136"/>
      <c r="M41" s="136"/>
      <c r="N41" s="255"/>
      <c r="O41" s="136"/>
      <c r="P41" s="255"/>
      <c r="Q41" s="256"/>
      <c r="R41" s="136"/>
      <c r="S41" s="256"/>
      <c r="T41" s="136"/>
      <c r="U41" s="138"/>
      <c r="V41" s="100"/>
    </row>
    <row r="42" spans="1:34" ht="15" thickBot="1" x14ac:dyDescent="0.25">
      <c r="A42" s="139" t="s">
        <v>166</v>
      </c>
      <c r="B42" s="366">
        <f>B40+B31</f>
        <v>1095.1187256840908</v>
      </c>
      <c r="C42" s="365"/>
      <c r="D42" s="422">
        <f>D40+D31</f>
        <v>1021.1211825000001</v>
      </c>
      <c r="E42" s="365"/>
      <c r="F42" s="422">
        <f>F40+F31</f>
        <v>1169.4091417500001</v>
      </c>
      <c r="G42" s="423"/>
      <c r="H42" s="365">
        <f>H40+H31</f>
        <v>550.10089531250003</v>
      </c>
      <c r="I42" s="423"/>
      <c r="J42" s="365">
        <f>J40+J31</f>
        <v>679.21093200000007</v>
      </c>
      <c r="K42" s="417"/>
      <c r="L42" s="366">
        <f>L40+L31</f>
        <v>846.55872938068183</v>
      </c>
      <c r="M42" s="365"/>
      <c r="N42" s="422">
        <f>N40+N31</f>
        <v>795.99836999999991</v>
      </c>
      <c r="O42" s="365"/>
      <c r="P42" s="422">
        <f>P40+P31</f>
        <v>546.34427730375</v>
      </c>
      <c r="Q42" s="423"/>
      <c r="R42" s="365">
        <f>R40+R31</f>
        <v>362.63522563999999</v>
      </c>
      <c r="S42" s="423"/>
      <c r="T42" s="365">
        <f>T40+T31</f>
        <v>383.03816267249999</v>
      </c>
      <c r="U42" s="368"/>
      <c r="V42" s="100"/>
    </row>
    <row r="43" spans="1:34" ht="15" thickBot="1" x14ac:dyDescent="0.25">
      <c r="A43" s="140" t="s">
        <v>167</v>
      </c>
      <c r="B43" s="357">
        <f>B9-B42</f>
        <v>-15.118725684090805</v>
      </c>
      <c r="C43" s="358"/>
      <c r="D43" s="428">
        <f>D9-D42</f>
        <v>12.878817499999855</v>
      </c>
      <c r="E43" s="358"/>
      <c r="F43" s="428">
        <f>F9-F42</f>
        <v>30.590858249999883</v>
      </c>
      <c r="G43" s="429"/>
      <c r="H43" s="358">
        <f>H9-H42</f>
        <v>139.89910468749997</v>
      </c>
      <c r="I43" s="429"/>
      <c r="J43" s="358">
        <f>J9-J42</f>
        <v>-99.210932000000071</v>
      </c>
      <c r="K43" s="416"/>
      <c r="L43" s="357">
        <f>L9-L42</f>
        <v>-171.55872938068183</v>
      </c>
      <c r="M43" s="358"/>
      <c r="N43" s="428">
        <f>N9-N42</f>
        <v>-47.998369999999909</v>
      </c>
      <c r="O43" s="358"/>
      <c r="P43" s="428">
        <f>P9-P42</f>
        <v>-36.344277303750005</v>
      </c>
      <c r="Q43" s="429"/>
      <c r="R43" s="358">
        <f>R9-R42</f>
        <v>-17.635225639999987</v>
      </c>
      <c r="S43" s="429"/>
      <c r="T43" s="358">
        <f>T9-T42</f>
        <v>-6.0381626724999933</v>
      </c>
      <c r="U43" s="369"/>
      <c r="V43" s="100"/>
    </row>
    <row r="44" spans="1:34" ht="15" thickTop="1" x14ac:dyDescent="0.2">
      <c r="A44" s="105"/>
      <c r="B44" s="141"/>
      <c r="C44" s="142"/>
      <c r="D44" s="257"/>
      <c r="E44" s="142"/>
      <c r="F44" s="257"/>
      <c r="G44" s="258"/>
      <c r="H44" s="142"/>
      <c r="I44" s="258"/>
      <c r="J44" s="142"/>
      <c r="K44" s="143"/>
      <c r="L44" s="142"/>
      <c r="M44" s="142"/>
      <c r="N44" s="257"/>
      <c r="O44" s="142"/>
      <c r="P44" s="257"/>
      <c r="Q44" s="258"/>
      <c r="R44" s="142"/>
      <c r="S44" s="258"/>
      <c r="T44" s="142"/>
      <c r="U44" s="144"/>
      <c r="V44" s="100"/>
    </row>
    <row r="45" spans="1:34" x14ac:dyDescent="0.2">
      <c r="A45" s="127" t="s">
        <v>34</v>
      </c>
      <c r="B45" s="145">
        <f>B42/B7</f>
        <v>0.91259893807007564</v>
      </c>
      <c r="C45" s="146" t="s">
        <v>159</v>
      </c>
      <c r="D45" s="242">
        <f>D42/D7*2000</f>
        <v>434.51965212765964</v>
      </c>
      <c r="E45" s="129" t="s">
        <v>160</v>
      </c>
      <c r="F45" s="243">
        <f>F42/F7</f>
        <v>5.8470457087500005</v>
      </c>
      <c r="G45" s="238" t="s">
        <v>162</v>
      </c>
      <c r="H45" s="147">
        <f>H42/H7</f>
        <v>9.1683482552083344</v>
      </c>
      <c r="I45" s="238" t="s">
        <v>162</v>
      </c>
      <c r="J45" s="147">
        <f>J42/J7</f>
        <v>6.7921093200000007</v>
      </c>
      <c r="K45" s="131" t="s">
        <v>162</v>
      </c>
      <c r="L45" s="147">
        <f>L42/L7</f>
        <v>1.1287449725075758</v>
      </c>
      <c r="M45" s="146" t="s">
        <v>159</v>
      </c>
      <c r="N45" s="242">
        <f>N42/N7*2000</f>
        <v>468.23433529411761</v>
      </c>
      <c r="O45" s="129" t="s">
        <v>160</v>
      </c>
      <c r="P45" s="243">
        <f>P42/P7</f>
        <v>6.4275797329852944</v>
      </c>
      <c r="Q45" s="238" t="s">
        <v>162</v>
      </c>
      <c r="R45" s="147">
        <f>R42/R7</f>
        <v>12.087840854666666</v>
      </c>
      <c r="S45" s="238" t="s">
        <v>162</v>
      </c>
      <c r="T45" s="147">
        <f>T42/T7</f>
        <v>5.8928948103461538</v>
      </c>
      <c r="U45" s="132" t="s">
        <v>162</v>
      </c>
      <c r="V45" s="100"/>
    </row>
    <row r="46" spans="1:34" x14ac:dyDescent="0.2">
      <c r="A46" s="148" t="s">
        <v>168</v>
      </c>
      <c r="B46" s="149">
        <f>B42/B8</f>
        <v>1216.7985840934341</v>
      </c>
      <c r="C46" s="150" t="s">
        <v>158</v>
      </c>
      <c r="D46" s="245">
        <f>D42/D8*2000</f>
        <v>4641.4599204545457</v>
      </c>
      <c r="E46" s="150" t="s">
        <v>158</v>
      </c>
      <c r="F46" s="246">
        <f>F42/F8</f>
        <v>194.90152362500001</v>
      </c>
      <c r="G46" s="238" t="s">
        <v>161</v>
      </c>
      <c r="H46" s="151">
        <f>H42/H8</f>
        <v>47.834860461956524</v>
      </c>
      <c r="I46" s="238" t="s">
        <v>161</v>
      </c>
      <c r="J46" s="151">
        <f>J42/J8</f>
        <v>117.10533310344829</v>
      </c>
      <c r="K46" s="131" t="s">
        <v>161</v>
      </c>
      <c r="L46" s="151">
        <f>L42/L8</f>
        <v>940.62081042297973</v>
      </c>
      <c r="M46" s="150" t="s">
        <v>158</v>
      </c>
      <c r="N46" s="245">
        <f>N42/N8*2000</f>
        <v>3618.1744090909083</v>
      </c>
      <c r="O46" s="150" t="s">
        <v>158</v>
      </c>
      <c r="P46" s="246">
        <f>P42/P8</f>
        <v>91.057379550625001</v>
      </c>
      <c r="Q46" s="238" t="s">
        <v>161</v>
      </c>
      <c r="R46" s="151">
        <f>R42/R8</f>
        <v>31.53349788173913</v>
      </c>
      <c r="S46" s="238" t="s">
        <v>161</v>
      </c>
      <c r="T46" s="151">
        <f>T42/T8</f>
        <v>66.041062529741382</v>
      </c>
      <c r="U46" s="132" t="s">
        <v>161</v>
      </c>
      <c r="V46" s="100"/>
    </row>
    <row r="47" spans="1:34" s="154" customFormat="1" ht="12" x14ac:dyDescent="0.15">
      <c r="A47" s="426" t="s">
        <v>177</v>
      </c>
      <c r="B47" s="426"/>
      <c r="C47" s="426"/>
      <c r="D47" s="426"/>
      <c r="E47" s="426"/>
      <c r="F47" s="153"/>
      <c r="G47" s="153"/>
      <c r="H47" s="153"/>
      <c r="I47" s="152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97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s="96" customFormat="1" ht="12" x14ac:dyDescent="0.15">
      <c r="A48" s="97" t="s">
        <v>178</v>
      </c>
      <c r="B48" s="97"/>
      <c r="C48" s="155" t="s">
        <v>169</v>
      </c>
      <c r="D48" s="236">
        <f>Conventional!D46</f>
        <v>1.1000000000000001</v>
      </c>
      <c r="E48" s="156" t="s">
        <v>65</v>
      </c>
      <c r="F48" s="247">
        <f>Conventional!F46</f>
        <v>0.7</v>
      </c>
      <c r="G48" s="156" t="s">
        <v>66</v>
      </c>
      <c r="H48" s="247">
        <f>Conventional!H46</f>
        <v>0.72</v>
      </c>
      <c r="I48" s="95"/>
      <c r="J48" s="247"/>
      <c r="K48" s="236"/>
      <c r="L48" s="95"/>
      <c r="M48" s="95"/>
      <c r="N48" s="247"/>
      <c r="O48" s="236"/>
      <c r="P48" s="97"/>
      <c r="Q48" s="97"/>
      <c r="R48" s="97"/>
      <c r="S48" s="97"/>
      <c r="T48" s="97"/>
      <c r="U48" s="97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 s="96" customFormat="1" ht="12" x14ac:dyDescent="0.15">
      <c r="A49" s="424" t="str">
        <f>Conventional!A48</f>
        <v>*** Weighted average of diesel and electric irrigation application costs.  Electric is estimated at $7/appl and diesel is estimated at $13/appl when diesel cost $3/gal.</v>
      </c>
      <c r="B49" s="424"/>
      <c r="C49" s="424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157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34" s="96" customFormat="1" ht="12" x14ac:dyDescent="0.15">
      <c r="A50" s="158" t="s">
        <v>152</v>
      </c>
      <c r="B50" s="159">
        <f>Conventional!B47</f>
        <v>3</v>
      </c>
      <c r="C50" s="424" t="s">
        <v>67</v>
      </c>
      <c r="D50" s="424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1:34" s="100" customFormat="1" x14ac:dyDescent="0.2">
      <c r="A51" s="95"/>
    </row>
    <row r="52" spans="1:34" s="100" customFormat="1" x14ac:dyDescent="0.2">
      <c r="A52" s="95"/>
    </row>
    <row r="53" spans="1:34" s="100" customFormat="1" x14ac:dyDescent="0.2">
      <c r="A53" s="95"/>
    </row>
    <row r="54" spans="1:34" s="100" customFormat="1" x14ac:dyDescent="0.2">
      <c r="A54" s="95"/>
    </row>
    <row r="55" spans="1:34" s="100" customFormat="1" x14ac:dyDescent="0.2">
      <c r="A55" s="95"/>
    </row>
    <row r="56" spans="1:34" s="100" customFormat="1" x14ac:dyDescent="0.2">
      <c r="A56" s="95"/>
    </row>
    <row r="57" spans="1:34" s="100" customFormat="1" x14ac:dyDescent="0.2">
      <c r="A57" s="95"/>
    </row>
    <row r="58" spans="1:34" s="100" customFormat="1" x14ac:dyDescent="0.2">
      <c r="A58" s="95"/>
    </row>
    <row r="59" spans="1:34" s="100" customFormat="1" x14ac:dyDescent="0.2">
      <c r="A59" s="95"/>
    </row>
    <row r="60" spans="1:34" s="100" customFormat="1" x14ac:dyDescent="0.2">
      <c r="A60" s="95"/>
    </row>
    <row r="61" spans="1:34" s="100" customFormat="1" x14ac:dyDescent="0.2">
      <c r="A61" s="95"/>
    </row>
    <row r="62" spans="1:34" s="100" customFormat="1" x14ac:dyDescent="0.2">
      <c r="A62" s="95"/>
    </row>
    <row r="63" spans="1:34" s="100" customFormat="1" x14ac:dyDescent="0.2">
      <c r="A63" s="95"/>
    </row>
    <row r="64" spans="1:34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</sheetData>
  <sheetProtection sheet="1" objects="1" scenarios="1"/>
  <mergeCells count="229">
    <mergeCell ref="J1:U2"/>
    <mergeCell ref="R25:S25"/>
    <mergeCell ref="T25:U25"/>
    <mergeCell ref="J25:K25"/>
    <mergeCell ref="H25:I25"/>
    <mergeCell ref="F25:G25"/>
    <mergeCell ref="D25:E25"/>
    <mergeCell ref="B25:C25"/>
    <mergeCell ref="D19:E19"/>
    <mergeCell ref="N19:O19"/>
    <mergeCell ref="L19:M19"/>
    <mergeCell ref="L21:M21"/>
    <mergeCell ref="L23:M23"/>
    <mergeCell ref="D24:E24"/>
    <mergeCell ref="D23:E23"/>
    <mergeCell ref="D22:E22"/>
    <mergeCell ref="D21:E21"/>
    <mergeCell ref="B23:C23"/>
    <mergeCell ref="B24:C24"/>
    <mergeCell ref="H21:I21"/>
    <mergeCell ref="H22:I22"/>
    <mergeCell ref="H23:I23"/>
    <mergeCell ref="H24:I24"/>
    <mergeCell ref="B21:C21"/>
    <mergeCell ref="B22:C22"/>
    <mergeCell ref="R9:S9"/>
    <mergeCell ref="T9:U9"/>
    <mergeCell ref="T11:U11"/>
    <mergeCell ref="B11:C11"/>
    <mergeCell ref="D11:E11"/>
    <mergeCell ref="F11:G11"/>
    <mergeCell ref="H11:I11"/>
    <mergeCell ref="D18:E18"/>
    <mergeCell ref="N18:O18"/>
    <mergeCell ref="J11:K11"/>
    <mergeCell ref="R12:S12"/>
    <mergeCell ref="L14:M14"/>
    <mergeCell ref="R11:S11"/>
    <mergeCell ref="P12:Q12"/>
    <mergeCell ref="L11:M11"/>
    <mergeCell ref="N11:O11"/>
    <mergeCell ref="P11:Q11"/>
    <mergeCell ref="H12:I12"/>
    <mergeCell ref="J12:K12"/>
    <mergeCell ref="F16:G16"/>
    <mergeCell ref="H16:I16"/>
    <mergeCell ref="J16:K16"/>
    <mergeCell ref="H14:I14"/>
    <mergeCell ref="F14:G14"/>
    <mergeCell ref="B4:J4"/>
    <mergeCell ref="L4:T4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  <mergeCell ref="J6:K6"/>
    <mergeCell ref="L6:M6"/>
    <mergeCell ref="N6:O6"/>
    <mergeCell ref="P6:Q6"/>
    <mergeCell ref="R6:S6"/>
    <mergeCell ref="T5:U5"/>
    <mergeCell ref="T6:U6"/>
    <mergeCell ref="L9:M9"/>
    <mergeCell ref="L12:M12"/>
    <mergeCell ref="N12:O12"/>
    <mergeCell ref="D14:E14"/>
    <mergeCell ref="J14:K14"/>
    <mergeCell ref="B9:C9"/>
    <mergeCell ref="D9:E9"/>
    <mergeCell ref="F9:G9"/>
    <mergeCell ref="H9:I9"/>
    <mergeCell ref="J9:K9"/>
    <mergeCell ref="T20:U20"/>
    <mergeCell ref="R20:S20"/>
    <mergeCell ref="P20:Q20"/>
    <mergeCell ref="N20:O20"/>
    <mergeCell ref="L20:M20"/>
    <mergeCell ref="B13:C13"/>
    <mergeCell ref="B14:C14"/>
    <mergeCell ref="T14:U14"/>
    <mergeCell ref="R14:S14"/>
    <mergeCell ref="P14:Q14"/>
    <mergeCell ref="N14:O14"/>
    <mergeCell ref="T16:U16"/>
    <mergeCell ref="L16:M16"/>
    <mergeCell ref="N16:O16"/>
    <mergeCell ref="P16:Q16"/>
    <mergeCell ref="R16:S16"/>
    <mergeCell ref="L17:M17"/>
    <mergeCell ref="B17:C17"/>
    <mergeCell ref="B19:C19"/>
    <mergeCell ref="B18:C18"/>
    <mergeCell ref="L18:M18"/>
    <mergeCell ref="B16:C16"/>
    <mergeCell ref="D16:E16"/>
    <mergeCell ref="B20:C20"/>
    <mergeCell ref="F20:G20"/>
    <mergeCell ref="J20:K20"/>
    <mergeCell ref="D20:E20"/>
    <mergeCell ref="H20:I20"/>
    <mergeCell ref="R42:S42"/>
    <mergeCell ref="R43:S43"/>
    <mergeCell ref="T42:U42"/>
    <mergeCell ref="T43:U43"/>
    <mergeCell ref="L43:M43"/>
    <mergeCell ref="N42:O42"/>
    <mergeCell ref="N43:O43"/>
    <mergeCell ref="P42:Q42"/>
    <mergeCell ref="P43:Q43"/>
    <mergeCell ref="L42:M42"/>
    <mergeCell ref="T39:U39"/>
    <mergeCell ref="R39:S39"/>
    <mergeCell ref="R40:S40"/>
    <mergeCell ref="P39:Q39"/>
    <mergeCell ref="P40:Q40"/>
    <mergeCell ref="J39:K39"/>
    <mergeCell ref="J40:K40"/>
    <mergeCell ref="F31:G31"/>
    <mergeCell ref="B39:C39"/>
    <mergeCell ref="B40:C40"/>
    <mergeCell ref="L31:M31"/>
    <mergeCell ref="L32:M32"/>
    <mergeCell ref="J36:K36"/>
    <mergeCell ref="T40:U40"/>
    <mergeCell ref="H39:I39"/>
    <mergeCell ref="H40:I40"/>
    <mergeCell ref="F39:G39"/>
    <mergeCell ref="F40:G40"/>
    <mergeCell ref="D39:E39"/>
    <mergeCell ref="J37:K37"/>
    <mergeCell ref="J32:K32"/>
    <mergeCell ref="J31:K31"/>
    <mergeCell ref="H31:I31"/>
    <mergeCell ref="H32:I32"/>
    <mergeCell ref="P27:Q27"/>
    <mergeCell ref="P29:Q29"/>
    <mergeCell ref="P24:Q24"/>
    <mergeCell ref="P23:Q23"/>
    <mergeCell ref="P21:Q21"/>
    <mergeCell ref="P36:Q36"/>
    <mergeCell ref="R36:S36"/>
    <mergeCell ref="T36:U36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P25:Q25"/>
    <mergeCell ref="N39:O39"/>
    <mergeCell ref="N40:O40"/>
    <mergeCell ref="L39:M39"/>
    <mergeCell ref="J21:K21"/>
    <mergeCell ref="J22:K22"/>
    <mergeCell ref="J23:K23"/>
    <mergeCell ref="J24:K24"/>
    <mergeCell ref="N27:O27"/>
    <mergeCell ref="N29:O29"/>
    <mergeCell ref="N31:O31"/>
    <mergeCell ref="N32:O32"/>
    <mergeCell ref="N21:O21"/>
    <mergeCell ref="N23:O23"/>
    <mergeCell ref="N24:O24"/>
    <mergeCell ref="N30:O30"/>
    <mergeCell ref="N36:O36"/>
    <mergeCell ref="J27:K27"/>
    <mergeCell ref="J29:K29"/>
    <mergeCell ref="L40:M40"/>
    <mergeCell ref="L27:M27"/>
    <mergeCell ref="L28:M28"/>
    <mergeCell ref="L36:M36"/>
    <mergeCell ref="L25:M25"/>
    <mergeCell ref="N25:O25"/>
    <mergeCell ref="C50:D50"/>
    <mergeCell ref="D37:E37"/>
    <mergeCell ref="D36:E36"/>
    <mergeCell ref="D31:E31"/>
    <mergeCell ref="D32:E32"/>
    <mergeCell ref="B28:C28"/>
    <mergeCell ref="D40:E40"/>
    <mergeCell ref="B42:C42"/>
    <mergeCell ref="B27:C27"/>
    <mergeCell ref="A47:E47"/>
    <mergeCell ref="D29:E29"/>
    <mergeCell ref="D27:E27"/>
    <mergeCell ref="D30:E30"/>
    <mergeCell ref="B43:C43"/>
    <mergeCell ref="D42:E42"/>
    <mergeCell ref="D43:E43"/>
    <mergeCell ref="B31:C31"/>
    <mergeCell ref="B32:C32"/>
    <mergeCell ref="B36:C36"/>
    <mergeCell ref="B37:C37"/>
    <mergeCell ref="A49:T49"/>
    <mergeCell ref="F43:G43"/>
    <mergeCell ref="H42:I42"/>
    <mergeCell ref="H43:I43"/>
    <mergeCell ref="J43:K43"/>
    <mergeCell ref="H36:I36"/>
    <mergeCell ref="J42:K42"/>
    <mergeCell ref="H37:I37"/>
    <mergeCell ref="F27:G27"/>
    <mergeCell ref="F29:G29"/>
    <mergeCell ref="H27:I27"/>
    <mergeCell ref="F21:G21"/>
    <mergeCell ref="F22:G22"/>
    <mergeCell ref="F23:G23"/>
    <mergeCell ref="F24:G24"/>
    <mergeCell ref="F36:G36"/>
    <mergeCell ref="F37:G37"/>
    <mergeCell ref="F32:G32"/>
    <mergeCell ref="F42:G42"/>
  </mergeCells>
  <phoneticPr fontId="2" type="noConversion"/>
  <conditionalFormatting sqref="B43 B32 D32 D43 F43 H43 J43 L43 N43 P43 R43 T43 L32 J32 H32 F32 P32 R32 T32 N32">
    <cfRule type="cellIs" dxfId="5" priority="2" stopIfTrue="1" operator="lessThan">
      <formula>0</formula>
    </cfRule>
  </conditionalFormatting>
  <conditionalFormatting sqref="D43:E43">
    <cfRule type="cellIs" dxfId="4" priority="1" operator="lessThan">
      <formula>0</formula>
    </cfRule>
  </conditionalFormatting>
  <printOptions horizontalCentered="1" verticalCentered="1"/>
  <pageMargins left="0.5" right="0.5" top="0.5" bottom="0.5" header="0" footer="0"/>
  <pageSetup scale="77" orientation="landscape"/>
  <headerFooter>
    <oddFooter>&amp;L&amp;G</oddFooter>
  </headerFooter>
  <ignoredErrors>
    <ignoredError sqref="D9 N9 H30:H32 N45:N46 H28 D45:D46 F45:F46 H45:H46 J45:J46 L45:L46" formula="1"/>
    <ignoredError sqref="D33 N33" formula="1" unlockedFormula="1"/>
    <ignoredError sqref="D38 B38 N28 T37:T38 F19 D13 T22 F13 L22 D35 L8 J19 D28 N31:N32 D31:D32 F38 N35 T13 T19 J13 P37:P38 T8 H13 H38 H19 J38 L37:L38 N13 N37:N38 P8 P19 P13 P22 R8 R19 R13 R22 R37:R38 R17 P17 H17 T17 J17 F17" unlocked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I64"/>
  <sheetViews>
    <sheetView topLeftCell="A9" zoomScale="160" zoomScaleNormal="160" zoomScalePageLayoutView="160" workbookViewId="0">
      <selection activeCell="A9" sqref="A9:B9"/>
    </sheetView>
  </sheetViews>
  <sheetFormatPr baseColWidth="10" defaultColWidth="8.83203125" defaultRowHeight="13" x14ac:dyDescent="0.15"/>
  <cols>
    <col min="1" max="1" width="32.1640625" style="200" bestFit="1" customWidth="1"/>
    <col min="2" max="2" width="22" style="200" bestFit="1" customWidth="1"/>
    <col min="3" max="3" width="16.6640625" style="199" customWidth="1"/>
    <col min="4" max="8" width="8.83203125" style="199"/>
    <col min="9" max="9" width="12.1640625" style="199" customWidth="1"/>
    <col min="10" max="16384" width="8.83203125" style="200"/>
  </cols>
  <sheetData>
    <row r="1" spans="1:9" hidden="1" x14ac:dyDescent="0.15">
      <c r="A1" s="452" t="s">
        <v>141</v>
      </c>
      <c r="B1" s="452"/>
    </row>
    <row r="2" spans="1:9" hidden="1" x14ac:dyDescent="0.15">
      <c r="A2" s="59" t="s">
        <v>143</v>
      </c>
      <c r="B2" s="201">
        <v>420000</v>
      </c>
    </row>
    <row r="3" spans="1:9" hidden="1" x14ac:dyDescent="0.15">
      <c r="A3" s="59" t="s">
        <v>142</v>
      </c>
      <c r="B3" s="202">
        <v>0.25</v>
      </c>
    </row>
    <row r="4" spans="1:9" hidden="1" x14ac:dyDescent="0.15">
      <c r="A4" s="59" t="s">
        <v>144</v>
      </c>
      <c r="B4" s="203">
        <f>B2*B3</f>
        <v>105000</v>
      </c>
    </row>
    <row r="5" spans="1:9" hidden="1" x14ac:dyDescent="0.15">
      <c r="A5" s="59" t="s">
        <v>145</v>
      </c>
      <c r="B5" s="204">
        <v>100</v>
      </c>
    </row>
    <row r="6" spans="1:9" hidden="1" x14ac:dyDescent="0.15">
      <c r="A6" s="59" t="s">
        <v>132</v>
      </c>
      <c r="B6" s="204">
        <f>B4/B5</f>
        <v>1050</v>
      </c>
    </row>
    <row r="7" spans="1:9" hidden="1" x14ac:dyDescent="0.15">
      <c r="A7" s="59"/>
      <c r="B7" s="204"/>
    </row>
    <row r="8" spans="1:9" hidden="1" x14ac:dyDescent="0.15">
      <c r="A8" s="199"/>
      <c r="B8" s="204"/>
    </row>
    <row r="9" spans="1:9" ht="14" x14ac:dyDescent="0.15">
      <c r="A9" s="455" t="s">
        <v>135</v>
      </c>
      <c r="B9" s="455"/>
    </row>
    <row r="10" spans="1:9" ht="14" x14ac:dyDescent="0.15">
      <c r="A10" s="205" t="s">
        <v>139</v>
      </c>
      <c r="B10" s="206">
        <v>4700</v>
      </c>
      <c r="D10" s="454" t="s">
        <v>146</v>
      </c>
      <c r="E10" s="454"/>
      <c r="F10" s="454"/>
      <c r="G10" s="454"/>
      <c r="H10" s="454"/>
      <c r="I10" s="454"/>
    </row>
    <row r="11" spans="1:9" ht="14" x14ac:dyDescent="0.15">
      <c r="A11" s="207" t="s">
        <v>132</v>
      </c>
      <c r="B11" s="207" t="s">
        <v>133</v>
      </c>
    </row>
    <row r="12" spans="1:9" x14ac:dyDescent="0.15">
      <c r="A12" s="208">
        <f>0.5*B10</f>
        <v>2350</v>
      </c>
      <c r="B12" s="209">
        <v>450</v>
      </c>
      <c r="D12" s="454" t="s">
        <v>147</v>
      </c>
      <c r="E12" s="454"/>
      <c r="F12" s="454"/>
      <c r="G12" s="454"/>
      <c r="H12" s="454"/>
      <c r="I12" s="454"/>
    </row>
    <row r="13" spans="1:9" x14ac:dyDescent="0.15">
      <c r="A13" s="210">
        <v>0</v>
      </c>
      <c r="B13" s="211"/>
      <c r="D13" s="454"/>
      <c r="E13" s="454"/>
      <c r="F13" s="454"/>
      <c r="G13" s="454"/>
      <c r="H13" s="454"/>
      <c r="I13" s="454"/>
    </row>
    <row r="14" spans="1:9" x14ac:dyDescent="0.15">
      <c r="A14" s="212">
        <v>0</v>
      </c>
      <c r="B14" s="213"/>
      <c r="D14" s="454"/>
      <c r="E14" s="454"/>
      <c r="F14" s="454"/>
      <c r="G14" s="454"/>
      <c r="H14" s="454"/>
      <c r="I14" s="454"/>
    </row>
    <row r="15" spans="1:9" ht="28" x14ac:dyDescent="0.15">
      <c r="A15" s="214" t="s">
        <v>131</v>
      </c>
      <c r="B15" s="215" t="s">
        <v>134</v>
      </c>
    </row>
    <row r="16" spans="1:9" x14ac:dyDescent="0.15">
      <c r="A16" s="216">
        <f>B10-(SUM('Peanut Price Calculator'!A12:A14))</f>
        <v>2350</v>
      </c>
      <c r="B16" s="217">
        <v>430</v>
      </c>
      <c r="D16" s="454" t="s">
        <v>148</v>
      </c>
      <c r="E16" s="454"/>
      <c r="F16" s="454"/>
      <c r="G16" s="454"/>
      <c r="H16" s="454"/>
      <c r="I16" s="454"/>
    </row>
    <row r="17" spans="1:9" ht="14" x14ac:dyDescent="0.15">
      <c r="A17" s="218" t="s">
        <v>137</v>
      </c>
      <c r="B17" s="219">
        <f>(A12/(SUM(A12:A14,A16:A16))*B12+A13/(SUM(A12:A14,A16:A16))*B13+A14/(SUM(A12:A14,A16:A16))*B14+A16/(SUM(A12:A14,A16:A16))*B16)</f>
        <v>440</v>
      </c>
    </row>
    <row r="18" spans="1:9" x14ac:dyDescent="0.15">
      <c r="A18" s="220"/>
      <c r="B18" s="221"/>
    </row>
    <row r="19" spans="1:9" s="199" customFormat="1" x14ac:dyDescent="0.15"/>
    <row r="20" spans="1:9" s="199" customFormat="1" x14ac:dyDescent="0.15">
      <c r="A20" s="453" t="s">
        <v>138</v>
      </c>
      <c r="B20" s="453"/>
    </row>
    <row r="21" spans="1:9" s="199" customFormat="1" ht="14" x14ac:dyDescent="0.15">
      <c r="A21" s="205" t="s">
        <v>140</v>
      </c>
      <c r="B21" s="222">
        <v>3400</v>
      </c>
      <c r="D21" s="454" t="s">
        <v>149</v>
      </c>
      <c r="E21" s="454"/>
      <c r="F21" s="454"/>
      <c r="G21" s="454"/>
      <c r="H21" s="454"/>
      <c r="I21" s="454"/>
    </row>
    <row r="22" spans="1:9" s="199" customFormat="1" ht="14" x14ac:dyDescent="0.15">
      <c r="A22" s="207" t="s">
        <v>132</v>
      </c>
      <c r="B22" s="207" t="s">
        <v>133</v>
      </c>
    </row>
    <row r="23" spans="1:9" s="199" customFormat="1" x14ac:dyDescent="0.15">
      <c r="A23" s="223">
        <f>0.5*B21</f>
        <v>1700</v>
      </c>
      <c r="B23" s="224">
        <v>450</v>
      </c>
      <c r="D23" s="454" t="s">
        <v>150</v>
      </c>
      <c r="E23" s="454"/>
      <c r="F23" s="454"/>
      <c r="G23" s="454"/>
      <c r="H23" s="454"/>
      <c r="I23" s="454"/>
    </row>
    <row r="24" spans="1:9" s="199" customFormat="1" x14ac:dyDescent="0.15">
      <c r="A24" s="225">
        <v>0</v>
      </c>
      <c r="B24" s="226"/>
      <c r="D24" s="454"/>
      <c r="E24" s="454"/>
      <c r="F24" s="454"/>
      <c r="G24" s="454"/>
      <c r="H24" s="454"/>
      <c r="I24" s="454"/>
    </row>
    <row r="25" spans="1:9" s="199" customFormat="1" x14ac:dyDescent="0.15">
      <c r="A25" s="227">
        <v>0</v>
      </c>
      <c r="B25" s="228"/>
      <c r="D25" s="454"/>
      <c r="E25" s="454"/>
      <c r="F25" s="454"/>
      <c r="G25" s="454"/>
      <c r="H25" s="454"/>
      <c r="I25" s="454"/>
    </row>
    <row r="26" spans="1:9" s="199" customFormat="1" ht="28" x14ac:dyDescent="0.15">
      <c r="A26" s="214" t="s">
        <v>131</v>
      </c>
      <c r="B26" s="215" t="s">
        <v>134</v>
      </c>
    </row>
    <row r="27" spans="1:9" s="199" customFormat="1" ht="15.75" customHeight="1" x14ac:dyDescent="0.15">
      <c r="A27" s="216">
        <f>B21-(SUM('Peanut Price Calculator'!A23:A25))</f>
        <v>1700</v>
      </c>
      <c r="B27" s="229">
        <v>430</v>
      </c>
      <c r="D27" s="451" t="s">
        <v>151</v>
      </c>
      <c r="E27" s="451"/>
      <c r="F27" s="451"/>
      <c r="G27" s="451"/>
      <c r="H27" s="451"/>
      <c r="I27" s="451"/>
    </row>
    <row r="28" spans="1:9" s="199" customFormat="1" ht="14" x14ac:dyDescent="0.15">
      <c r="A28" s="218" t="s">
        <v>136</v>
      </c>
      <c r="B28" s="219">
        <f>(A23/(SUM(A23:A25,A27:A27))*B23+A24/(SUM(A23:A25,A27:A27))*B24+A25/(SUM(A23:A25,A27:A27))*B25+A27/(SUM(A23:A25,A27:A27))*B27)</f>
        <v>440</v>
      </c>
      <c r="D28" s="451"/>
      <c r="E28" s="451"/>
      <c r="F28" s="451"/>
      <c r="G28" s="451"/>
      <c r="H28" s="451"/>
      <c r="I28" s="451"/>
    </row>
    <row r="29" spans="1:9" s="199" customFormat="1" x14ac:dyDescent="0.15"/>
    <row r="30" spans="1:9" s="199" customFormat="1" x14ac:dyDescent="0.15"/>
    <row r="31" spans="1:9" s="199" customFormat="1" x14ac:dyDescent="0.15"/>
    <row r="32" spans="1:9" s="199" customFormat="1" x14ac:dyDescent="0.15"/>
    <row r="33" s="199" customFormat="1" x14ac:dyDescent="0.15"/>
    <row r="34" s="199" customFormat="1" x14ac:dyDescent="0.15"/>
    <row r="35" s="199" customFormat="1" x14ac:dyDescent="0.15"/>
    <row r="36" s="199" customFormat="1" x14ac:dyDescent="0.15"/>
    <row r="37" s="199" customFormat="1" x14ac:dyDescent="0.15"/>
    <row r="38" s="199" customFormat="1" x14ac:dyDescent="0.15"/>
    <row r="39" s="199" customFormat="1" x14ac:dyDescent="0.15"/>
    <row r="40" s="199" customFormat="1" x14ac:dyDescent="0.15"/>
    <row r="41" s="199" customFormat="1" x14ac:dyDescent="0.15"/>
    <row r="42" s="199" customFormat="1" x14ac:dyDescent="0.15"/>
    <row r="43" s="199" customFormat="1" x14ac:dyDescent="0.15"/>
    <row r="44" s="199" customFormat="1" x14ac:dyDescent="0.15"/>
    <row r="45" s="199" customFormat="1" x14ac:dyDescent="0.15"/>
    <row r="46" s="199" customFormat="1" x14ac:dyDescent="0.15"/>
    <row r="47" s="199" customFormat="1" x14ac:dyDescent="0.15"/>
    <row r="48" s="199" customFormat="1" x14ac:dyDescent="0.15"/>
    <row r="49" s="199" customFormat="1" x14ac:dyDescent="0.15"/>
    <row r="50" s="199" customFormat="1" x14ac:dyDescent="0.15"/>
    <row r="51" s="199" customFormat="1" x14ac:dyDescent="0.15"/>
    <row r="52" s="199" customFormat="1" x14ac:dyDescent="0.15"/>
    <row r="53" s="199" customFormat="1" x14ac:dyDescent="0.15"/>
    <row r="54" s="199" customFormat="1" x14ac:dyDescent="0.15"/>
    <row r="55" s="199" customFormat="1" x14ac:dyDescent="0.15"/>
    <row r="56" s="199" customFormat="1" x14ac:dyDescent="0.15"/>
    <row r="57" s="199" customFormat="1" x14ac:dyDescent="0.15"/>
    <row r="58" s="199" customFormat="1" x14ac:dyDescent="0.15"/>
    <row r="59" s="199" customFormat="1" x14ac:dyDescent="0.15"/>
    <row r="60" s="199" customFormat="1" x14ac:dyDescent="0.15"/>
    <row r="61" s="199" customFormat="1" x14ac:dyDescent="0.15"/>
    <row r="62" s="199" customFormat="1" x14ac:dyDescent="0.15"/>
    <row r="63" s="199" customFormat="1" x14ac:dyDescent="0.15"/>
    <row r="64" s="199" customFormat="1" x14ac:dyDescent="0.15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honeticPr fontId="2" type="noConversion"/>
  <pageMargins left="0.7" right="0.7" top="0.75" bottom="0.75" header="0.3" footer="0.3"/>
  <pageSetup scale="96" orientation="landscape" r:id="rId1"/>
  <headerFooter>
    <oddFooter>&amp;LCalculator created by A.R. Smith, UGA Extension Economist&amp;C&amp;G&amp;RAg and Applied Economics, 11/2021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U46"/>
  <sheetViews>
    <sheetView zoomScale="150" zoomScaleNormal="150" zoomScalePageLayoutView="150" workbookViewId="0">
      <selection activeCell="D3" sqref="D3"/>
    </sheetView>
  </sheetViews>
  <sheetFormatPr baseColWidth="10" defaultColWidth="8.83203125" defaultRowHeight="14" x14ac:dyDescent="0.2"/>
  <cols>
    <col min="1" max="1" width="7.33203125" style="101" customWidth="1"/>
    <col min="2" max="2" width="15.6640625" style="101" bestFit="1" customWidth="1"/>
    <col min="3" max="3" width="6.33203125" style="101" customWidth="1"/>
    <col min="4" max="4" width="15.83203125" style="101" bestFit="1" customWidth="1"/>
    <col min="5" max="5" width="6.33203125" style="101" customWidth="1"/>
    <col min="6" max="6" width="14" style="101" bestFit="1" customWidth="1"/>
    <col min="7" max="7" width="7" style="101" customWidth="1"/>
    <col min="8" max="8" width="15.83203125" style="101" bestFit="1" customWidth="1"/>
    <col min="9" max="9" width="8.5" style="101" customWidth="1"/>
    <col min="10" max="21" width="8.83203125" style="177" customWidth="1"/>
    <col min="22" max="16384" width="8.83203125" style="101"/>
  </cols>
  <sheetData>
    <row r="1" spans="1:21" ht="30" customHeight="1" x14ac:dyDescent="0.2">
      <c r="A1" s="456" t="s">
        <v>118</v>
      </c>
      <c r="B1" s="457"/>
      <c r="C1" s="457"/>
      <c r="D1" s="457"/>
      <c r="E1" s="457"/>
      <c r="F1" s="457"/>
      <c r="G1" s="457"/>
      <c r="H1" s="457"/>
      <c r="I1" s="458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ht="30" customHeight="1" thickBot="1" x14ac:dyDescent="0.25">
      <c r="A2" s="459" t="s">
        <v>117</v>
      </c>
      <c r="B2" s="460"/>
      <c r="C2" s="460"/>
      <c r="D2" s="460"/>
      <c r="E2" s="460"/>
      <c r="F2" s="460"/>
      <c r="G2" s="460"/>
      <c r="H2" s="460"/>
      <c r="I2" s="461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21" s="187" customFormat="1" ht="30" customHeight="1" thickBot="1" x14ac:dyDescent="0.2">
      <c r="A3" s="178"/>
      <c r="B3" s="179" t="s">
        <v>105</v>
      </c>
      <c r="C3" s="180"/>
      <c r="D3" s="181" t="s">
        <v>108</v>
      </c>
      <c r="E3" s="180"/>
      <c r="F3" s="182" t="s">
        <v>111</v>
      </c>
      <c r="G3" s="180"/>
      <c r="H3" s="183" t="s">
        <v>114</v>
      </c>
      <c r="I3" s="184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186"/>
    </row>
    <row r="4" spans="1:21" s="192" customFormat="1" ht="15" thickBot="1" x14ac:dyDescent="0.2">
      <c r="A4" s="188"/>
      <c r="B4" s="180"/>
      <c r="C4" s="180"/>
      <c r="D4" s="180"/>
      <c r="E4" s="180"/>
      <c r="F4" s="180"/>
      <c r="G4" s="180"/>
      <c r="H4" s="180"/>
      <c r="I4" s="189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  <c r="U4" s="191"/>
    </row>
    <row r="5" spans="1:21" s="187" customFormat="1" ht="30" customHeight="1" thickBot="1" x14ac:dyDescent="0.2">
      <c r="A5" s="178"/>
      <c r="B5" s="179" t="s">
        <v>106</v>
      </c>
      <c r="C5" s="180"/>
      <c r="D5" s="181" t="s">
        <v>109</v>
      </c>
      <c r="E5" s="180"/>
      <c r="F5" s="182" t="s">
        <v>112</v>
      </c>
      <c r="G5" s="180"/>
      <c r="H5" s="183" t="s">
        <v>115</v>
      </c>
      <c r="I5" s="184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86"/>
    </row>
    <row r="6" spans="1:21" s="192" customFormat="1" ht="15" thickBot="1" x14ac:dyDescent="0.2">
      <c r="A6" s="188"/>
      <c r="B6" s="180"/>
      <c r="C6" s="180"/>
      <c r="D6" s="180"/>
      <c r="E6" s="180"/>
      <c r="F6" s="180"/>
      <c r="G6" s="180"/>
      <c r="H6" s="180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191"/>
    </row>
    <row r="7" spans="1:21" s="187" customFormat="1" ht="30" customHeight="1" thickBot="1" x14ac:dyDescent="0.2">
      <c r="A7" s="178"/>
      <c r="B7" s="179" t="s">
        <v>107</v>
      </c>
      <c r="C7" s="180"/>
      <c r="D7" s="181" t="s">
        <v>110</v>
      </c>
      <c r="E7" s="180"/>
      <c r="F7" s="182" t="s">
        <v>113</v>
      </c>
      <c r="G7" s="180"/>
      <c r="H7" s="183" t="s">
        <v>116</v>
      </c>
      <c r="I7" s="184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6"/>
      <c r="U7" s="186"/>
    </row>
    <row r="8" spans="1:21" ht="30" customHeight="1" thickBot="1" x14ac:dyDescent="0.25">
      <c r="A8" s="193"/>
      <c r="B8" s="194"/>
      <c r="C8" s="194"/>
      <c r="D8" s="194"/>
      <c r="E8" s="194"/>
      <c r="F8" s="194"/>
      <c r="G8" s="194"/>
      <c r="H8" s="194"/>
      <c r="I8" s="195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21" ht="6" customHeight="1" x14ac:dyDescent="0.2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21" ht="6.5" customHeight="1" thickBot="1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21" ht="30" customHeight="1" x14ac:dyDescent="0.2">
      <c r="A11" s="456" t="s">
        <v>119</v>
      </c>
      <c r="B11" s="457"/>
      <c r="C11" s="457"/>
      <c r="D11" s="457"/>
      <c r="E11" s="457"/>
      <c r="F11" s="457"/>
      <c r="G11" s="457"/>
      <c r="H11" s="457"/>
      <c r="I11" s="458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21" ht="30" customHeight="1" thickBot="1" x14ac:dyDescent="0.25">
      <c r="A12" s="459" t="s">
        <v>117</v>
      </c>
      <c r="B12" s="460"/>
      <c r="C12" s="460"/>
      <c r="D12" s="460"/>
      <c r="E12" s="460"/>
      <c r="F12" s="460"/>
      <c r="G12" s="460"/>
      <c r="H12" s="460"/>
      <c r="I12" s="461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21" s="198" customFormat="1" ht="30" customHeight="1" thickBot="1" x14ac:dyDescent="0.2">
      <c r="A13" s="178"/>
      <c r="B13" s="179" t="s">
        <v>105</v>
      </c>
      <c r="C13" s="180"/>
      <c r="D13" s="181" t="s">
        <v>108</v>
      </c>
      <c r="E13" s="180"/>
      <c r="F13" s="182" t="s">
        <v>111</v>
      </c>
      <c r="G13" s="180"/>
      <c r="H13" s="183" t="s">
        <v>114</v>
      </c>
      <c r="I13" s="184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  <c r="U13" s="197"/>
    </row>
    <row r="14" spans="1:21" s="198" customFormat="1" ht="15" thickBot="1" x14ac:dyDescent="0.2">
      <c r="A14" s="178"/>
      <c r="B14" s="180"/>
      <c r="C14" s="180"/>
      <c r="D14" s="180"/>
      <c r="E14" s="180"/>
      <c r="F14" s="180"/>
      <c r="G14" s="180"/>
      <c r="H14" s="180"/>
      <c r="I14" s="184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7"/>
    </row>
    <row r="15" spans="1:21" s="198" customFormat="1" ht="30" customHeight="1" thickBot="1" x14ac:dyDescent="0.2">
      <c r="A15" s="178"/>
      <c r="B15" s="179" t="s">
        <v>106</v>
      </c>
      <c r="C15" s="180"/>
      <c r="D15" s="181" t="s">
        <v>109</v>
      </c>
      <c r="E15" s="180"/>
      <c r="F15" s="182" t="s">
        <v>112</v>
      </c>
      <c r="G15" s="180"/>
      <c r="H15" s="183" t="s">
        <v>115</v>
      </c>
      <c r="I15" s="184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  <c r="U15" s="197"/>
    </row>
    <row r="16" spans="1:21" s="198" customFormat="1" ht="15" thickBot="1" x14ac:dyDescent="0.2">
      <c r="A16" s="178"/>
      <c r="B16" s="180"/>
      <c r="C16" s="180"/>
      <c r="D16" s="180"/>
      <c r="E16" s="180"/>
      <c r="F16" s="180"/>
      <c r="G16" s="180"/>
      <c r="H16" s="180"/>
      <c r="I16" s="184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7"/>
      <c r="U16" s="197"/>
    </row>
    <row r="17" spans="1:21" s="198" customFormat="1" ht="30" customHeight="1" thickBot="1" x14ac:dyDescent="0.2">
      <c r="A17" s="178"/>
      <c r="B17" s="179" t="s">
        <v>107</v>
      </c>
      <c r="C17" s="180"/>
      <c r="D17" s="181" t="s">
        <v>110</v>
      </c>
      <c r="E17" s="180"/>
      <c r="F17" s="182" t="s">
        <v>113</v>
      </c>
      <c r="G17" s="180"/>
      <c r="H17" s="183" t="s">
        <v>116</v>
      </c>
      <c r="I17" s="184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7"/>
      <c r="U17" s="197"/>
    </row>
    <row r="18" spans="1:21" ht="30" customHeight="1" thickBot="1" x14ac:dyDescent="0.25">
      <c r="A18" s="193"/>
      <c r="B18" s="194"/>
      <c r="C18" s="194"/>
      <c r="D18" s="194"/>
      <c r="E18" s="194"/>
      <c r="F18" s="194"/>
      <c r="G18" s="194"/>
      <c r="H18" s="194"/>
      <c r="I18" s="195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21" x14ac:dyDescent="0.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21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2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2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21" x14ac:dyDescent="0.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21" x14ac:dyDescent="0.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1:21" x14ac:dyDescent="0.2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21" x14ac:dyDescent="0.2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21" x14ac:dyDescent="0.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1" x14ac:dyDescent="0.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21" x14ac:dyDescent="0.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2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21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21" x14ac:dyDescent="0.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1:19" x14ac:dyDescent="0.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x14ac:dyDescent="0.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x14ac:dyDescent="0.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19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1:19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1:19" x14ac:dyDescent="0.2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1:19" x14ac:dyDescent="0.2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</sheetData>
  <sheetProtection sheet="1" objects="1" scenarios="1"/>
  <mergeCells count="4">
    <mergeCell ref="A1:I1"/>
    <mergeCell ref="A11:I11"/>
    <mergeCell ref="A2:I2"/>
    <mergeCell ref="A12:I12"/>
  </mergeCells>
  <phoneticPr fontId="2" type="noConversion"/>
  <hyperlinks>
    <hyperlink ref="B7" location="CTillCharts!G97" display="Soybean &amp; Cotton Price Comparison" xr:uid="{00000000-0004-0000-0500-000000000000}"/>
    <hyperlink ref="B5" location="CTillCharts!G63" display="Corn &amp; Cotton Price Comparison" xr:uid="{00000000-0004-0000-0500-000001000000}"/>
    <hyperlink ref="B3" location="CTillCharts!G29" display="Peanut &amp; Cotton Price Comparison" xr:uid="{00000000-0004-0000-0500-000002000000}"/>
    <hyperlink ref="D5" location="CTillCharts!G165" display="Corn &amp; Peanut Price Comparison" xr:uid="{00000000-0004-0000-0500-000003000000}"/>
    <hyperlink ref="D7" location="CTillCharts!G199" display="Soybean &amp; Peanut Price Comparison" xr:uid="{00000000-0004-0000-0500-000004000000}"/>
    <hyperlink ref="F3" location="CTillCharts!G233" display="Cotton &amp; Corn Price Comparison" xr:uid="{00000000-0004-0000-0500-000005000000}"/>
    <hyperlink ref="F5" location="CTillCharts!G267" display="Peanut &amp; Corn Price Comparison" xr:uid="{00000000-0004-0000-0500-000006000000}"/>
    <hyperlink ref="F7" location="CTillCharts!G301" display="Soybean &amp; Corn Price Comparison" xr:uid="{00000000-0004-0000-0500-000007000000}"/>
    <hyperlink ref="H3" location="CTillCharts!G334" display="Cotton &amp; Soybean Price Comparison" xr:uid="{00000000-0004-0000-0500-000008000000}"/>
    <hyperlink ref="H5" location="CTillCharts!G369" display="Peanut &amp; Soybean Price Comparison" xr:uid="{00000000-0004-0000-0500-000009000000}"/>
    <hyperlink ref="H7" location="CTillCharts!G403" display="Corn &amp; Soybean Price Comparison" xr:uid="{00000000-0004-0000-0500-00000A000000}"/>
    <hyperlink ref="D13" location="STillCharts!G131" display="Cotton &amp; Peanut Price Comparison" xr:uid="{00000000-0004-0000-0500-00000B000000}"/>
    <hyperlink ref="B17" location="STillCharts!G97" display="Soybean &amp; Cotton Price Comparison" xr:uid="{00000000-0004-0000-0500-00000C000000}"/>
    <hyperlink ref="B15" location="STillCharts!G63" display="Corn &amp; Cotton Price Comparison" xr:uid="{00000000-0004-0000-0500-00000D000000}"/>
    <hyperlink ref="B13" location="STillCharts!G29" display="Peanut &amp; Cotton Price Comparison" xr:uid="{00000000-0004-0000-0500-00000E000000}"/>
    <hyperlink ref="D15" location="STillCharts!G165" display="Corn &amp; Peanut Price Comparison" xr:uid="{00000000-0004-0000-0500-00000F000000}"/>
    <hyperlink ref="D17" location="STillCharts!G199" display="Soybean &amp; Peanut Price Comparison" xr:uid="{00000000-0004-0000-0500-000010000000}"/>
    <hyperlink ref="F13" location="STillCharts!G233" display="Cotton &amp; Corn Price Comparison" xr:uid="{00000000-0004-0000-0500-000011000000}"/>
    <hyperlink ref="F15" location="STillCharts!G267" display="Peanut &amp; Corn Price Comparison" xr:uid="{00000000-0004-0000-0500-000012000000}"/>
    <hyperlink ref="F17" location="STillCharts!G301" display="Soybean &amp; Corn Price Comparison" xr:uid="{00000000-0004-0000-0500-000013000000}"/>
    <hyperlink ref="H13" location="STillCharts!G334" display="Cotton &amp; Soybean Price Comparison" xr:uid="{00000000-0004-0000-0500-000014000000}"/>
    <hyperlink ref="H15" location="STillCharts!G369" display="Peanut &amp; Soybean Price Comparison" xr:uid="{00000000-0004-0000-0500-000015000000}"/>
    <hyperlink ref="H17" location="STillCharts!G403" display="Corn &amp; Soybean Price Comparison" xr:uid="{00000000-0004-0000-0500-000016000000}"/>
    <hyperlink ref="D3" location="CTillCharts!G131" display="Cotton &amp; Peanut Price Comparison" xr:uid="{00000000-0004-0000-0500-000017000000}"/>
  </hyperlinks>
  <pageMargins left="0.7" right="0.7" top="0.75" bottom="0.75" header="0.3" footer="0.3"/>
  <pageSetup scale="84" orientation="landscape" r:id="rId1"/>
  <headerFoot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9:M407"/>
  <sheetViews>
    <sheetView topLeftCell="A101" zoomScale="120" zoomScaleNormal="120" zoomScaleSheetLayoutView="100" zoomScalePageLayoutView="120" workbookViewId="0">
      <selection activeCell="G131" sqref="G131"/>
    </sheetView>
  </sheetViews>
  <sheetFormatPr baseColWidth="10" defaultColWidth="8.83203125" defaultRowHeight="14" x14ac:dyDescent="0.2"/>
  <cols>
    <col min="1" max="26" width="8.83203125" style="100"/>
    <col min="27" max="27" width="8.83203125" style="100" customWidth="1"/>
    <col min="28" max="16384" width="8.83203125" style="100"/>
  </cols>
  <sheetData>
    <row r="29" spans="1:11" x14ac:dyDescent="0.2">
      <c r="A29" s="463" t="s">
        <v>93</v>
      </c>
      <c r="B29" s="463"/>
      <c r="C29" s="463"/>
      <c r="D29" s="463"/>
      <c r="E29" s="463"/>
      <c r="F29" s="463"/>
    </row>
    <row r="30" spans="1:11" x14ac:dyDescent="0.2">
      <c r="A30" s="230" t="s">
        <v>86</v>
      </c>
      <c r="B30" s="462" t="s">
        <v>90</v>
      </c>
      <c r="C30" s="462"/>
      <c r="D30" s="462"/>
      <c r="E30" s="462"/>
      <c r="F30" s="462"/>
      <c r="G30" s="462"/>
      <c r="H30" s="462"/>
      <c r="I30" s="462"/>
      <c r="J30" s="462"/>
      <c r="K30" s="462"/>
    </row>
    <row r="31" spans="1:11" x14ac:dyDescent="0.2">
      <c r="A31" s="230" t="s">
        <v>87</v>
      </c>
      <c r="B31" s="462" t="str">
        <f>CONCATENATE("Irrigated peanut yield is ",Conventional!$D$7," lbs. and irrigated cotton yield is ",Conventional!$B$7," lbs.")</f>
        <v>Irrigated peanut yield is 4700 lbs. and irrigated cotton yield is 1200 lbs.</v>
      </c>
      <c r="C31" s="462"/>
      <c r="D31" s="462"/>
      <c r="E31" s="462"/>
      <c r="F31" s="462"/>
      <c r="G31" s="462"/>
      <c r="H31" s="462"/>
      <c r="I31" s="174"/>
      <c r="J31" s="174"/>
      <c r="K31" s="174"/>
    </row>
    <row r="32" spans="1:11" x14ac:dyDescent="0.2">
      <c r="A32" s="230" t="s">
        <v>88</v>
      </c>
      <c r="B32" s="462" t="str">
        <f>CONCATENATE("Non-irrigated peanut yield is ",Conventional!$N$7," lbs. and non-irrigated cotton yield is ",Conventional!$L$7," lbs.")</f>
        <v>Non-irrigated peanut yield is 3400 lbs. and non-irrigated cotton yield is 750 lbs.</v>
      </c>
      <c r="C32" s="462"/>
      <c r="D32" s="462"/>
      <c r="E32" s="462"/>
      <c r="F32" s="462"/>
      <c r="G32" s="462"/>
      <c r="H32" s="462"/>
      <c r="I32" s="462"/>
      <c r="J32" s="174"/>
      <c r="K32" s="174"/>
    </row>
    <row r="33" spans="1:13" x14ac:dyDescent="0.2">
      <c r="A33" s="230" t="s">
        <v>89</v>
      </c>
      <c r="B33" s="462" t="s">
        <v>104</v>
      </c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</row>
    <row r="63" spans="1:11" x14ac:dyDescent="0.2">
      <c r="A63" s="462" t="s">
        <v>93</v>
      </c>
      <c r="B63" s="462"/>
      <c r="C63" s="462"/>
      <c r="D63" s="462"/>
      <c r="E63" s="462"/>
      <c r="F63" s="462"/>
    </row>
    <row r="64" spans="1:11" x14ac:dyDescent="0.2">
      <c r="A64" s="230" t="s">
        <v>86</v>
      </c>
      <c r="B64" s="462" t="s">
        <v>91</v>
      </c>
      <c r="C64" s="462"/>
      <c r="D64" s="462"/>
      <c r="E64" s="462"/>
      <c r="F64" s="462"/>
      <c r="G64" s="462"/>
      <c r="H64" s="462"/>
      <c r="I64" s="462"/>
      <c r="J64" s="462"/>
      <c r="K64" s="462"/>
    </row>
    <row r="65" spans="1:13" x14ac:dyDescent="0.2">
      <c r="A65" s="230" t="s">
        <v>87</v>
      </c>
      <c r="B65" s="462" t="str">
        <f>CONCATENATE("Irrigated corn yield is ",Conventional!$F$7," bu. and irrigated cotton yield is ",Conventional!$B$7," lbs.")</f>
        <v>Irrigated corn yield is 200 bu. and irrigated cotton yield is 1200 lbs.</v>
      </c>
      <c r="C65" s="462"/>
      <c r="D65" s="462"/>
      <c r="E65" s="462"/>
      <c r="F65" s="462"/>
      <c r="G65" s="462"/>
      <c r="H65" s="462"/>
      <c r="I65" s="174"/>
      <c r="J65" s="174"/>
      <c r="K65" s="174"/>
    </row>
    <row r="66" spans="1:13" x14ac:dyDescent="0.2">
      <c r="A66" s="230" t="s">
        <v>88</v>
      </c>
      <c r="B66" s="462" t="str">
        <f>CONCATENATE("Non-irrigated corn yield is ",Conventional!$P$7," bu. and non-irrigated cotton yield is ",Conventional!$L$7," lbs.")</f>
        <v>Non-irrigated corn yield is 85 bu. and non-irrigated cotton yield is 750 lbs.</v>
      </c>
      <c r="C66" s="462"/>
      <c r="D66" s="462"/>
      <c r="E66" s="462"/>
      <c r="F66" s="462"/>
      <c r="G66" s="462"/>
      <c r="H66" s="462"/>
      <c r="I66" s="462"/>
      <c r="J66" s="174"/>
      <c r="K66" s="174"/>
    </row>
    <row r="67" spans="1:13" x14ac:dyDescent="0.2">
      <c r="A67" s="230" t="s">
        <v>89</v>
      </c>
      <c r="B67" s="462" t="s">
        <v>104</v>
      </c>
      <c r="C67" s="462"/>
      <c r="D67" s="462"/>
      <c r="E67" s="462"/>
      <c r="F67" s="462"/>
      <c r="G67" s="462"/>
      <c r="H67" s="462"/>
      <c r="I67" s="462"/>
      <c r="J67" s="462"/>
      <c r="K67" s="462"/>
      <c r="L67" s="462"/>
      <c r="M67" s="462"/>
    </row>
    <row r="97" spans="1:13" x14ac:dyDescent="0.2">
      <c r="A97" s="462" t="s">
        <v>93</v>
      </c>
      <c r="B97" s="462"/>
      <c r="C97" s="462"/>
      <c r="D97" s="462"/>
      <c r="E97" s="462"/>
      <c r="F97" s="462"/>
    </row>
    <row r="98" spans="1:13" x14ac:dyDescent="0.2">
      <c r="A98" s="230" t="s">
        <v>86</v>
      </c>
      <c r="B98" s="462" t="s">
        <v>92</v>
      </c>
      <c r="C98" s="462"/>
      <c r="D98" s="462"/>
      <c r="E98" s="462"/>
      <c r="F98" s="462"/>
      <c r="G98" s="462"/>
      <c r="H98" s="462"/>
      <c r="I98" s="462"/>
      <c r="J98" s="462"/>
      <c r="K98" s="462"/>
      <c r="L98" s="462"/>
    </row>
    <row r="99" spans="1:13" x14ac:dyDescent="0.2">
      <c r="A99" s="230" t="s">
        <v>87</v>
      </c>
      <c r="B99" s="462" t="str">
        <f>CONCATENATE("Irrigated soybean yield is ",Conventional!$H$7," bu. and irrigated cotton yield is ",Conventional!$B$7," lbs.")</f>
        <v>Irrigated soybean yield is 60 bu. and irrigated cotton yield is 1200 lbs.</v>
      </c>
      <c r="C99" s="462"/>
      <c r="D99" s="462"/>
      <c r="E99" s="462"/>
      <c r="F99" s="462"/>
      <c r="G99" s="462"/>
      <c r="H99" s="462"/>
      <c r="I99" s="174"/>
      <c r="J99" s="174"/>
      <c r="K99" s="174"/>
    </row>
    <row r="100" spans="1:13" x14ac:dyDescent="0.2">
      <c r="A100" s="230" t="s">
        <v>88</v>
      </c>
      <c r="B100" s="462" t="str">
        <f>CONCATENATE("Non-irrigated soybean yield is ",Conventional!$R$7," bu. and non-irrigated cotton yield is ",Conventional!$L$7," lbs.")</f>
        <v>Non-irrigated soybean yield is 30 bu. and non-irrigated cotton yield is 750 lbs.</v>
      </c>
      <c r="C100" s="462"/>
      <c r="D100" s="462"/>
      <c r="E100" s="462"/>
      <c r="F100" s="462"/>
      <c r="G100" s="462"/>
      <c r="H100" s="462"/>
      <c r="I100" s="462"/>
      <c r="J100" s="174"/>
      <c r="K100" s="174"/>
    </row>
    <row r="101" spans="1:13" x14ac:dyDescent="0.2">
      <c r="A101" s="230" t="s">
        <v>89</v>
      </c>
      <c r="B101" s="462" t="s">
        <v>104</v>
      </c>
      <c r="C101" s="462"/>
      <c r="D101" s="462"/>
      <c r="E101" s="462"/>
      <c r="F101" s="462"/>
      <c r="G101" s="462"/>
      <c r="H101" s="462"/>
      <c r="I101" s="462"/>
      <c r="J101" s="462"/>
      <c r="K101" s="462"/>
      <c r="L101" s="462"/>
      <c r="M101" s="462"/>
    </row>
    <row r="131" spans="1:13" x14ac:dyDescent="0.2">
      <c r="A131" s="463" t="s">
        <v>93</v>
      </c>
      <c r="B131" s="463"/>
      <c r="C131" s="463"/>
      <c r="D131" s="463"/>
      <c r="E131" s="463"/>
      <c r="F131" s="463"/>
    </row>
    <row r="132" spans="1:13" x14ac:dyDescent="0.2">
      <c r="A132" s="230" t="s">
        <v>86</v>
      </c>
      <c r="B132" s="462" t="s">
        <v>94</v>
      </c>
      <c r="C132" s="462"/>
      <c r="D132" s="462"/>
      <c r="E132" s="462"/>
      <c r="F132" s="462"/>
      <c r="G132" s="462"/>
      <c r="H132" s="462"/>
      <c r="I132" s="462"/>
      <c r="J132" s="462"/>
      <c r="K132" s="462"/>
    </row>
    <row r="133" spans="1:13" x14ac:dyDescent="0.2">
      <c r="A133" s="230" t="s">
        <v>87</v>
      </c>
      <c r="B133" s="462" t="str">
        <f>CONCATENATE("Irrigated cotton yield is ",Conventional!$B$7," lbs. and irrigated peanut yield is ",Conventional!$D$7," lbs.")</f>
        <v>Irrigated cotton yield is 1200 lbs. and irrigated peanut yield is 4700 lbs.</v>
      </c>
      <c r="C133" s="462"/>
      <c r="D133" s="462"/>
      <c r="E133" s="462"/>
      <c r="F133" s="462"/>
      <c r="G133" s="462"/>
      <c r="H133" s="462"/>
      <c r="I133" s="174"/>
      <c r="J133" s="174"/>
      <c r="K133" s="174"/>
    </row>
    <row r="134" spans="1:13" x14ac:dyDescent="0.2">
      <c r="A134" s="230" t="s">
        <v>88</v>
      </c>
      <c r="B134" s="462" t="str">
        <f>CONCATENATE("Non-irrigated cotton yield is ",Conventional!$L$7," lbs. and non-irrigated peanut yield is ",Conventional!$N$7," lbs.")</f>
        <v>Non-irrigated cotton yield is 750 lbs. and non-irrigated peanut yield is 3400 lbs.</v>
      </c>
      <c r="C134" s="462"/>
      <c r="D134" s="462"/>
      <c r="E134" s="462"/>
      <c r="F134" s="462"/>
      <c r="G134" s="462"/>
      <c r="H134" s="462"/>
      <c r="I134" s="462"/>
      <c r="J134" s="174"/>
      <c r="K134" s="174"/>
    </row>
    <row r="135" spans="1:13" x14ac:dyDescent="0.2">
      <c r="A135" s="230" t="s">
        <v>89</v>
      </c>
      <c r="B135" s="462" t="s">
        <v>104</v>
      </c>
      <c r="C135" s="462"/>
      <c r="D135" s="462"/>
      <c r="E135" s="462"/>
      <c r="F135" s="462"/>
      <c r="G135" s="462"/>
      <c r="H135" s="462"/>
      <c r="I135" s="462"/>
      <c r="J135" s="462"/>
      <c r="K135" s="462"/>
      <c r="L135" s="462"/>
      <c r="M135" s="462"/>
    </row>
    <row r="165" spans="1:13" x14ac:dyDescent="0.2">
      <c r="A165" s="462" t="s">
        <v>93</v>
      </c>
      <c r="B165" s="462"/>
      <c r="C165" s="462"/>
      <c r="D165" s="462"/>
      <c r="E165" s="462"/>
      <c r="F165" s="462"/>
    </row>
    <row r="166" spans="1:13" x14ac:dyDescent="0.2">
      <c r="A166" s="230" t="s">
        <v>86</v>
      </c>
      <c r="B166" s="462" t="s">
        <v>95</v>
      </c>
      <c r="C166" s="462"/>
      <c r="D166" s="462"/>
      <c r="E166" s="462"/>
      <c r="F166" s="462"/>
      <c r="G166" s="462"/>
      <c r="H166" s="462"/>
      <c r="I166" s="462"/>
      <c r="J166" s="462"/>
      <c r="K166" s="462"/>
    </row>
    <row r="167" spans="1:13" x14ac:dyDescent="0.2">
      <c r="A167" s="230" t="s">
        <v>87</v>
      </c>
      <c r="B167" s="462" t="str">
        <f>CONCATENATE("Irrigated corn yield is ",Conventional!$F$7," bu. and irrigated peanut yield is ",Conventional!$D$7," lbs.")</f>
        <v>Irrigated corn yield is 200 bu. and irrigated peanut yield is 4700 lbs.</v>
      </c>
      <c r="C167" s="462"/>
      <c r="D167" s="462"/>
      <c r="E167" s="462"/>
      <c r="F167" s="462"/>
      <c r="G167" s="462"/>
      <c r="H167" s="462"/>
      <c r="I167" s="174"/>
      <c r="J167" s="174"/>
      <c r="K167" s="174"/>
    </row>
    <row r="168" spans="1:13" x14ac:dyDescent="0.2">
      <c r="A168" s="230" t="s">
        <v>88</v>
      </c>
      <c r="B168" s="462" t="str">
        <f>CONCATENATE("Non-irrigated corn yield is ",Conventional!$P$7," bu. and non-irrigated peanut yield is ",Conventional!$N$7," lbs.")</f>
        <v>Non-irrigated corn yield is 85 bu. and non-irrigated peanut yield is 3400 lbs.</v>
      </c>
      <c r="C168" s="462"/>
      <c r="D168" s="462"/>
      <c r="E168" s="462"/>
      <c r="F168" s="462"/>
      <c r="G168" s="462"/>
      <c r="H168" s="462"/>
      <c r="I168" s="462"/>
      <c r="J168" s="174"/>
      <c r="K168" s="174"/>
    </row>
    <row r="169" spans="1:13" x14ac:dyDescent="0.2">
      <c r="A169" s="230" t="s">
        <v>89</v>
      </c>
      <c r="B169" s="462" t="s">
        <v>104</v>
      </c>
      <c r="C169" s="462"/>
      <c r="D169" s="462"/>
      <c r="E169" s="462"/>
      <c r="F169" s="462"/>
      <c r="G169" s="462"/>
      <c r="H169" s="462"/>
      <c r="I169" s="462"/>
      <c r="J169" s="462"/>
      <c r="K169" s="462"/>
      <c r="L169" s="462"/>
      <c r="M169" s="462"/>
    </row>
    <row r="199" spans="1:13" x14ac:dyDescent="0.2">
      <c r="A199" s="462" t="s">
        <v>93</v>
      </c>
      <c r="B199" s="462"/>
      <c r="C199" s="462"/>
      <c r="D199" s="462"/>
      <c r="E199" s="462"/>
      <c r="F199" s="462"/>
    </row>
    <row r="200" spans="1:13" x14ac:dyDescent="0.2">
      <c r="A200" s="230" t="s">
        <v>86</v>
      </c>
      <c r="B200" s="462" t="s">
        <v>96</v>
      </c>
      <c r="C200" s="462"/>
      <c r="D200" s="462"/>
      <c r="E200" s="462"/>
      <c r="F200" s="462"/>
      <c r="G200" s="462"/>
      <c r="H200" s="462"/>
      <c r="I200" s="462"/>
      <c r="J200" s="462"/>
      <c r="K200" s="462"/>
      <c r="L200" s="462"/>
    </row>
    <row r="201" spans="1:13" x14ac:dyDescent="0.2">
      <c r="A201" s="230" t="s">
        <v>87</v>
      </c>
      <c r="B201" s="462" t="str">
        <f>CONCATENATE("Irrigated soybean yield is ",Conventional!$H$7," bu. and irrigated peanut yield is ",Conventional!$D$7," lbs.")</f>
        <v>Irrigated soybean yield is 60 bu. and irrigated peanut yield is 4700 lbs.</v>
      </c>
      <c r="C201" s="462"/>
      <c r="D201" s="462"/>
      <c r="E201" s="462"/>
      <c r="F201" s="462"/>
      <c r="G201" s="462"/>
      <c r="H201" s="462"/>
      <c r="I201" s="174"/>
      <c r="J201" s="174"/>
      <c r="K201" s="174"/>
    </row>
    <row r="202" spans="1:13" x14ac:dyDescent="0.2">
      <c r="A202" s="230" t="s">
        <v>88</v>
      </c>
      <c r="B202" s="462" t="str">
        <f>CONCATENATE("Non-irrigated soybean yield is ",Conventional!$R$7," bu. and non-irrigated peanut yield is ",Conventional!$N$7," lbs.")</f>
        <v>Non-irrigated soybean yield is 30 bu. and non-irrigated peanut yield is 3400 lbs.</v>
      </c>
      <c r="C202" s="462"/>
      <c r="D202" s="462"/>
      <c r="E202" s="462"/>
      <c r="F202" s="462"/>
      <c r="G202" s="462"/>
      <c r="H202" s="462"/>
      <c r="I202" s="462"/>
      <c r="J202" s="174"/>
      <c r="K202" s="174"/>
    </row>
    <row r="203" spans="1:13" x14ac:dyDescent="0.2">
      <c r="A203" s="230" t="s">
        <v>89</v>
      </c>
      <c r="B203" s="462" t="s">
        <v>104</v>
      </c>
      <c r="C203" s="462"/>
      <c r="D203" s="462"/>
      <c r="E203" s="462"/>
      <c r="F203" s="462"/>
      <c r="G203" s="462"/>
      <c r="H203" s="462"/>
      <c r="I203" s="462"/>
      <c r="J203" s="462"/>
      <c r="K203" s="462"/>
      <c r="L203" s="462"/>
      <c r="M203" s="462"/>
    </row>
    <row r="233" spans="1:13" x14ac:dyDescent="0.2">
      <c r="A233" s="463" t="s">
        <v>93</v>
      </c>
      <c r="B233" s="463"/>
      <c r="C233" s="463"/>
      <c r="D233" s="463"/>
      <c r="E233" s="463"/>
      <c r="F233" s="463"/>
    </row>
    <row r="234" spans="1:13" x14ac:dyDescent="0.2">
      <c r="A234" s="230" t="s">
        <v>86</v>
      </c>
      <c r="B234" s="462" t="s">
        <v>97</v>
      </c>
      <c r="C234" s="462"/>
      <c r="D234" s="462"/>
      <c r="E234" s="462"/>
      <c r="F234" s="462"/>
      <c r="G234" s="462"/>
      <c r="H234" s="462"/>
      <c r="I234" s="462"/>
      <c r="J234" s="462"/>
      <c r="K234" s="462"/>
    </row>
    <row r="235" spans="1:13" x14ac:dyDescent="0.2">
      <c r="A235" s="230" t="s">
        <v>87</v>
      </c>
      <c r="B235" s="462" t="str">
        <f>CONCATENATE("Irrigated cotton yield is ",Conventional!$B$7," lbs. and irrigated corn yield is ",Conventional!$F$7," bu.")</f>
        <v>Irrigated cotton yield is 1200 lbs. and irrigated corn yield is 200 bu.</v>
      </c>
      <c r="C235" s="462"/>
      <c r="D235" s="462"/>
      <c r="E235" s="462"/>
      <c r="F235" s="462"/>
      <c r="G235" s="462"/>
      <c r="H235" s="462"/>
      <c r="I235" s="174"/>
      <c r="J235" s="174"/>
      <c r="K235" s="174"/>
    </row>
    <row r="236" spans="1:13" x14ac:dyDescent="0.2">
      <c r="A236" s="230" t="s">
        <v>88</v>
      </c>
      <c r="B236" s="462" t="str">
        <f>CONCATENATE("Non-irrigated cotton yield is ",Conventional!$L$7," lbs. and non-irrigated corn yield is ",Conventional!$P$7," bu.")</f>
        <v>Non-irrigated cotton yield is 750 lbs. and non-irrigated corn yield is 85 bu.</v>
      </c>
      <c r="C236" s="462"/>
      <c r="D236" s="462"/>
      <c r="E236" s="462"/>
      <c r="F236" s="462"/>
      <c r="G236" s="462"/>
      <c r="H236" s="462"/>
      <c r="I236" s="462"/>
      <c r="J236" s="174"/>
      <c r="K236" s="174"/>
    </row>
    <row r="237" spans="1:13" x14ac:dyDescent="0.2">
      <c r="A237" s="230" t="s">
        <v>89</v>
      </c>
      <c r="B237" s="462" t="s">
        <v>104</v>
      </c>
      <c r="C237" s="462"/>
      <c r="D237" s="462"/>
      <c r="E237" s="462"/>
      <c r="F237" s="462"/>
      <c r="G237" s="462"/>
      <c r="H237" s="462"/>
      <c r="I237" s="462"/>
      <c r="J237" s="462"/>
      <c r="K237" s="462"/>
      <c r="L237" s="462"/>
      <c r="M237" s="462"/>
    </row>
    <row r="267" spans="1:13" x14ac:dyDescent="0.2">
      <c r="A267" s="462" t="s">
        <v>93</v>
      </c>
      <c r="B267" s="462"/>
      <c r="C267" s="462"/>
      <c r="D267" s="462"/>
      <c r="E267" s="462"/>
      <c r="F267" s="462"/>
    </row>
    <row r="268" spans="1:13" x14ac:dyDescent="0.2">
      <c r="A268" s="230" t="s">
        <v>86</v>
      </c>
      <c r="B268" s="462" t="s">
        <v>98</v>
      </c>
      <c r="C268" s="462"/>
      <c r="D268" s="462"/>
      <c r="E268" s="462"/>
      <c r="F268" s="462"/>
      <c r="G268" s="462"/>
      <c r="H268" s="462"/>
      <c r="I268" s="462"/>
      <c r="J268" s="462"/>
      <c r="K268" s="462"/>
    </row>
    <row r="269" spans="1:13" x14ac:dyDescent="0.2">
      <c r="A269" s="230" t="s">
        <v>87</v>
      </c>
      <c r="B269" s="462" t="str">
        <f>CONCATENATE("Irrigated peanut yield is ",Conventional!$D$7," lbs. and irrigated corn yield is ",Conventional!$F$7," bu.")</f>
        <v>Irrigated peanut yield is 4700 lbs. and irrigated corn yield is 200 bu.</v>
      </c>
      <c r="C269" s="462"/>
      <c r="D269" s="462"/>
      <c r="E269" s="462"/>
      <c r="F269" s="462"/>
      <c r="G269" s="462"/>
      <c r="H269" s="462"/>
      <c r="I269" s="174"/>
      <c r="J269" s="174"/>
      <c r="K269" s="174"/>
    </row>
    <row r="270" spans="1:13" x14ac:dyDescent="0.2">
      <c r="A270" s="230" t="s">
        <v>88</v>
      </c>
      <c r="B270" s="462" t="str">
        <f>CONCATENATE("Non-irrigated peanut yield is ",Conventional!$N$7," lbs. and non-irrigated corn yield is ",Conventional!$P$7," bu.")</f>
        <v>Non-irrigated peanut yield is 3400 lbs. and non-irrigated corn yield is 85 bu.</v>
      </c>
      <c r="C270" s="462"/>
      <c r="D270" s="462"/>
      <c r="E270" s="462"/>
      <c r="F270" s="462"/>
      <c r="G270" s="462"/>
      <c r="H270" s="462"/>
      <c r="I270" s="462"/>
      <c r="J270" s="174"/>
      <c r="K270" s="174"/>
    </row>
    <row r="271" spans="1:13" x14ac:dyDescent="0.2">
      <c r="A271" s="230" t="s">
        <v>89</v>
      </c>
      <c r="B271" s="462" t="s">
        <v>104</v>
      </c>
      <c r="C271" s="462"/>
      <c r="D271" s="462"/>
      <c r="E271" s="462"/>
      <c r="F271" s="462"/>
      <c r="G271" s="462"/>
      <c r="H271" s="462"/>
      <c r="I271" s="462"/>
      <c r="J271" s="462"/>
      <c r="K271" s="462"/>
      <c r="L271" s="462"/>
      <c r="M271" s="462"/>
    </row>
    <row r="301" spans="1:12" x14ac:dyDescent="0.2">
      <c r="A301" s="462" t="s">
        <v>93</v>
      </c>
      <c r="B301" s="462"/>
      <c r="C301" s="462"/>
      <c r="D301" s="462"/>
      <c r="E301" s="462"/>
      <c r="F301" s="462"/>
    </row>
    <row r="302" spans="1:12" x14ac:dyDescent="0.2">
      <c r="A302" s="230" t="s">
        <v>86</v>
      </c>
      <c r="B302" s="462" t="s">
        <v>99</v>
      </c>
      <c r="C302" s="462"/>
      <c r="D302" s="462"/>
      <c r="E302" s="462"/>
      <c r="F302" s="462"/>
      <c r="G302" s="462"/>
      <c r="H302" s="462"/>
      <c r="I302" s="462"/>
      <c r="J302" s="462"/>
      <c r="K302" s="462"/>
      <c r="L302" s="462"/>
    </row>
    <row r="303" spans="1:12" x14ac:dyDescent="0.2">
      <c r="A303" s="230" t="s">
        <v>87</v>
      </c>
      <c r="B303" s="462" t="str">
        <f>CONCATENATE("Irrigated soybean yield is ",Conventional!$H$7," bu. and irrigated corn yield is ",Conventional!$F$7," bu.")</f>
        <v>Irrigated soybean yield is 60 bu. and irrigated corn yield is 200 bu.</v>
      </c>
      <c r="C303" s="462"/>
      <c r="D303" s="462"/>
      <c r="E303" s="462"/>
      <c r="F303" s="462"/>
      <c r="G303" s="462"/>
      <c r="H303" s="462"/>
      <c r="I303" s="174"/>
      <c r="J303" s="174"/>
      <c r="K303" s="174"/>
    </row>
    <row r="304" spans="1:12" x14ac:dyDescent="0.2">
      <c r="A304" s="230" t="s">
        <v>88</v>
      </c>
      <c r="B304" s="462" t="str">
        <f>CONCATENATE("Non-irrigated soybean yield is ",Conventional!$R$7," bu. and non-irrigated corn yield is ",Conventional!$P$7," bu.")</f>
        <v>Non-irrigated soybean yield is 30 bu. and non-irrigated corn yield is 85 bu.</v>
      </c>
      <c r="C304" s="462"/>
      <c r="D304" s="462"/>
      <c r="E304" s="462"/>
      <c r="F304" s="462"/>
      <c r="G304" s="462"/>
      <c r="H304" s="462"/>
      <c r="I304" s="462"/>
      <c r="J304" s="174"/>
      <c r="K304" s="174"/>
    </row>
    <row r="305" spans="1:13" x14ac:dyDescent="0.2">
      <c r="A305" s="230" t="s">
        <v>89</v>
      </c>
      <c r="B305" s="462" t="s">
        <v>104</v>
      </c>
      <c r="C305" s="462"/>
      <c r="D305" s="462"/>
      <c r="E305" s="462"/>
      <c r="F305" s="462"/>
      <c r="G305" s="462"/>
      <c r="H305" s="462"/>
      <c r="I305" s="462"/>
      <c r="J305" s="462"/>
      <c r="K305" s="462"/>
      <c r="L305" s="462"/>
      <c r="M305" s="462"/>
    </row>
    <row r="334" spans="1:12" x14ac:dyDescent="0.2">
      <c r="A334" s="463" t="s">
        <v>93</v>
      </c>
      <c r="B334" s="463"/>
      <c r="C334" s="463"/>
      <c r="D334" s="463"/>
      <c r="E334" s="463"/>
      <c r="F334" s="463"/>
    </row>
    <row r="335" spans="1:12" x14ac:dyDescent="0.2">
      <c r="A335" s="230" t="s">
        <v>86</v>
      </c>
      <c r="B335" s="462" t="s">
        <v>100</v>
      </c>
      <c r="C335" s="462"/>
      <c r="D335" s="462"/>
      <c r="E335" s="462"/>
      <c r="F335" s="462"/>
      <c r="G335" s="462"/>
      <c r="H335" s="462"/>
      <c r="I335" s="462"/>
      <c r="J335" s="462"/>
      <c r="K335" s="462"/>
      <c r="L335" s="462"/>
    </row>
    <row r="336" spans="1:12" x14ac:dyDescent="0.2">
      <c r="A336" s="230" t="s">
        <v>87</v>
      </c>
      <c r="B336" s="462" t="str">
        <f>CONCATENATE("Irrigated cotton yield is ",Conventional!$B$7," lbs. and irrigated soybean yield is ",Conventional!$H$7," bu.")</f>
        <v>Irrigated cotton yield is 1200 lbs. and irrigated soybean yield is 60 bu.</v>
      </c>
      <c r="C336" s="462"/>
      <c r="D336" s="462"/>
      <c r="E336" s="462"/>
      <c r="F336" s="462"/>
      <c r="G336" s="462"/>
      <c r="H336" s="462"/>
      <c r="I336" s="174"/>
      <c r="J336" s="174"/>
      <c r="K336" s="174"/>
    </row>
    <row r="337" spans="1:13" x14ac:dyDescent="0.2">
      <c r="A337" s="230" t="s">
        <v>88</v>
      </c>
      <c r="B337" s="462" t="str">
        <f>CONCATENATE("Non-irrigated cotton yield is ",Conventional!$L$7," lbs. and non-irrigated soybean yield is ",Conventional!$R$7," bu.")</f>
        <v>Non-irrigated cotton yield is 750 lbs. and non-irrigated soybean yield is 30 bu.</v>
      </c>
      <c r="C337" s="462"/>
      <c r="D337" s="462"/>
      <c r="E337" s="462"/>
      <c r="F337" s="462"/>
      <c r="G337" s="462"/>
      <c r="H337" s="462"/>
      <c r="I337" s="462"/>
      <c r="J337" s="174"/>
      <c r="K337" s="174"/>
    </row>
    <row r="338" spans="1:13" x14ac:dyDescent="0.2">
      <c r="A338" s="230" t="s">
        <v>89</v>
      </c>
      <c r="B338" s="462" t="s">
        <v>104</v>
      </c>
      <c r="C338" s="462"/>
      <c r="D338" s="462"/>
      <c r="E338" s="462"/>
      <c r="F338" s="462"/>
      <c r="G338" s="462"/>
      <c r="H338" s="462"/>
      <c r="I338" s="462"/>
      <c r="J338" s="462"/>
      <c r="K338" s="462"/>
      <c r="L338" s="462"/>
      <c r="M338" s="462"/>
    </row>
    <row r="369" spans="1:13" x14ac:dyDescent="0.2">
      <c r="A369" s="462" t="s">
        <v>93</v>
      </c>
      <c r="B369" s="462"/>
      <c r="C369" s="462"/>
      <c r="D369" s="462"/>
      <c r="E369" s="462"/>
      <c r="F369" s="462"/>
    </row>
    <row r="370" spans="1:13" x14ac:dyDescent="0.2">
      <c r="A370" s="230" t="s">
        <v>86</v>
      </c>
      <c r="B370" s="462" t="s">
        <v>101</v>
      </c>
      <c r="C370" s="462"/>
      <c r="D370" s="462"/>
      <c r="E370" s="462"/>
      <c r="F370" s="462"/>
      <c r="G370" s="462"/>
      <c r="H370" s="462"/>
      <c r="I370" s="462"/>
      <c r="J370" s="462"/>
      <c r="K370" s="462"/>
      <c r="L370" s="462"/>
    </row>
    <row r="371" spans="1:13" x14ac:dyDescent="0.2">
      <c r="A371" s="230" t="s">
        <v>87</v>
      </c>
      <c r="B371" s="462" t="str">
        <f>CONCATENATE("Irrigated peanut yield is ",Conventional!$D$7," lbs. and irrigated soybean yield is ",Conventional!$H$7," bu.")</f>
        <v>Irrigated peanut yield is 4700 lbs. and irrigated soybean yield is 60 bu.</v>
      </c>
      <c r="C371" s="462"/>
      <c r="D371" s="462"/>
      <c r="E371" s="462"/>
      <c r="F371" s="462"/>
      <c r="G371" s="462"/>
      <c r="H371" s="462"/>
      <c r="I371" s="174"/>
      <c r="J371" s="174"/>
      <c r="K371" s="174"/>
    </row>
    <row r="372" spans="1:13" x14ac:dyDescent="0.2">
      <c r="A372" s="230" t="s">
        <v>88</v>
      </c>
      <c r="B372" s="462" t="str">
        <f>CONCATENATE("Non-irrigated peanut yield is ",Conventional!$N$7," lbs. and non-irrigated soybean yield is ",Conventional!$R$7," bu.")</f>
        <v>Non-irrigated peanut yield is 3400 lbs. and non-irrigated soybean yield is 30 bu.</v>
      </c>
      <c r="C372" s="462"/>
      <c r="D372" s="462"/>
      <c r="E372" s="462"/>
      <c r="F372" s="462"/>
      <c r="G372" s="462"/>
      <c r="H372" s="462"/>
      <c r="I372" s="462"/>
      <c r="J372" s="174"/>
      <c r="K372" s="174"/>
    </row>
    <row r="373" spans="1:13" x14ac:dyDescent="0.2">
      <c r="A373" s="230" t="s">
        <v>89</v>
      </c>
      <c r="B373" s="462" t="s">
        <v>104</v>
      </c>
      <c r="C373" s="462"/>
      <c r="D373" s="462"/>
      <c r="E373" s="462"/>
      <c r="F373" s="462"/>
      <c r="G373" s="462"/>
      <c r="H373" s="462"/>
      <c r="I373" s="462"/>
      <c r="J373" s="462"/>
      <c r="K373" s="462"/>
      <c r="L373" s="462"/>
      <c r="M373" s="462"/>
    </row>
    <row r="403" spans="1:13" x14ac:dyDescent="0.2">
      <c r="A403" s="462" t="s">
        <v>93</v>
      </c>
      <c r="B403" s="462"/>
      <c r="C403" s="462"/>
      <c r="D403" s="462"/>
      <c r="E403" s="462"/>
      <c r="F403" s="462"/>
    </row>
    <row r="404" spans="1:13" x14ac:dyDescent="0.2">
      <c r="A404" s="230" t="s">
        <v>86</v>
      </c>
      <c r="B404" s="462" t="s">
        <v>102</v>
      </c>
      <c r="C404" s="462"/>
      <c r="D404" s="462"/>
      <c r="E404" s="462"/>
      <c r="F404" s="462"/>
      <c r="G404" s="462"/>
      <c r="H404" s="462"/>
      <c r="I404" s="462"/>
      <c r="J404" s="462"/>
      <c r="K404" s="462"/>
      <c r="L404" s="462"/>
    </row>
    <row r="405" spans="1:13" x14ac:dyDescent="0.2">
      <c r="A405" s="230" t="s">
        <v>87</v>
      </c>
      <c r="B405" s="462" t="str">
        <f>CONCATENATE("Irrigated corn yield is ",Conventional!$F$7," bu. and irrigated soybean yield is ",Conventional!$H$7," bu.")</f>
        <v>Irrigated corn yield is 200 bu. and irrigated soybean yield is 60 bu.</v>
      </c>
      <c r="C405" s="462"/>
      <c r="D405" s="462"/>
      <c r="E405" s="462"/>
      <c r="F405" s="462"/>
      <c r="G405" s="462"/>
      <c r="H405" s="462"/>
      <c r="I405" s="174"/>
      <c r="J405" s="174"/>
      <c r="K405" s="174"/>
    </row>
    <row r="406" spans="1:13" x14ac:dyDescent="0.2">
      <c r="A406" s="230" t="s">
        <v>88</v>
      </c>
      <c r="B406" s="462" t="str">
        <f>CONCATENATE("Non-irrigated corn yield is ",Conventional!$P$7," bu. and non-irrigated soybean yield is ",Conventional!$R$7," bu.")</f>
        <v>Non-irrigated corn yield is 85 bu. and non-irrigated soybean yield is 30 bu.</v>
      </c>
      <c r="C406" s="462"/>
      <c r="D406" s="462"/>
      <c r="E406" s="462"/>
      <c r="F406" s="462"/>
      <c r="G406" s="462"/>
      <c r="H406" s="462"/>
      <c r="I406" s="462"/>
      <c r="J406" s="174"/>
      <c r="K406" s="174"/>
    </row>
    <row r="407" spans="1:13" x14ac:dyDescent="0.2">
      <c r="A407" s="230" t="s">
        <v>89</v>
      </c>
      <c r="B407" s="462" t="s">
        <v>104</v>
      </c>
      <c r="C407" s="462"/>
      <c r="D407" s="462"/>
      <c r="E407" s="462"/>
      <c r="F407" s="462"/>
      <c r="G407" s="462"/>
      <c r="H407" s="462"/>
      <c r="I407" s="462"/>
      <c r="J407" s="462"/>
      <c r="K407" s="462"/>
      <c r="L407" s="462"/>
      <c r="M407" s="462"/>
    </row>
  </sheetData>
  <sheetProtection sheet="1" objects="1" scenarios="1"/>
  <mergeCells count="60">
    <mergeCell ref="B101:M101"/>
    <mergeCell ref="B64:K64"/>
    <mergeCell ref="B65:H65"/>
    <mergeCell ref="B66:I66"/>
    <mergeCell ref="B67:M67"/>
    <mergeCell ref="B99:H99"/>
    <mergeCell ref="B100:I100"/>
    <mergeCell ref="A29:F29"/>
    <mergeCell ref="A63:F63"/>
    <mergeCell ref="A97:F97"/>
    <mergeCell ref="B98:L98"/>
    <mergeCell ref="B30:K30"/>
    <mergeCell ref="B31:H31"/>
    <mergeCell ref="B32:I32"/>
    <mergeCell ref="B33:M33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33:F233"/>
    <mergeCell ref="B234:K234"/>
    <mergeCell ref="B235:H235"/>
    <mergeCell ref="B236:I236"/>
    <mergeCell ref="A267:F267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&amp;LConventional Tillage Chart</oddHeader>
    <oddFooter>&amp;L&amp;G&amp;CCharts by A.R. Smith and Yangxuan Liu&amp;RAg and Applied Economics, 11/2021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9:M407"/>
  <sheetViews>
    <sheetView zoomScale="110" zoomScaleNormal="110" zoomScaleSheetLayoutView="100" zoomScalePageLayoutView="110" workbookViewId="0">
      <selection activeCell="B30" sqref="B30:K30"/>
    </sheetView>
  </sheetViews>
  <sheetFormatPr baseColWidth="10" defaultColWidth="8.83203125" defaultRowHeight="14" x14ac:dyDescent="0.2"/>
  <cols>
    <col min="1" max="1" width="8.83203125" style="100"/>
    <col min="2" max="2" width="8.83203125" style="174"/>
    <col min="3" max="26" width="8.83203125" style="100"/>
    <col min="27" max="27" width="8.83203125" style="100" customWidth="1"/>
    <col min="28" max="16384" width="8.83203125" style="100"/>
  </cols>
  <sheetData>
    <row r="29" spans="1:11" x14ac:dyDescent="0.2">
      <c r="A29" s="463" t="s">
        <v>93</v>
      </c>
      <c r="B29" s="463"/>
      <c r="C29" s="463"/>
      <c r="D29" s="463"/>
      <c r="E29" s="463"/>
      <c r="F29" s="463"/>
    </row>
    <row r="30" spans="1:11" x14ac:dyDescent="0.2">
      <c r="A30" s="230" t="s">
        <v>86</v>
      </c>
      <c r="B30" s="462" t="s">
        <v>90</v>
      </c>
      <c r="C30" s="462"/>
      <c r="D30" s="462"/>
      <c r="E30" s="462"/>
      <c r="F30" s="462"/>
      <c r="G30" s="462"/>
      <c r="H30" s="462"/>
      <c r="I30" s="462"/>
      <c r="J30" s="462"/>
      <c r="K30" s="462"/>
    </row>
    <row r="31" spans="1:11" x14ac:dyDescent="0.2">
      <c r="A31" s="230" t="s">
        <v>87</v>
      </c>
      <c r="B31" s="462" t="str">
        <f>CONCATENATE("Irrigated peanut yield is ",'Strip-Till'!$D$7," lbs. and irrigated cotton yield is ",'Strip-Till'!B7," lbs.")</f>
        <v>Irrigated peanut yield is 4700 lbs. and irrigated cotton yield is 1200 lbs.</v>
      </c>
      <c r="C31" s="462"/>
      <c r="D31" s="462"/>
      <c r="E31" s="462"/>
      <c r="F31" s="462"/>
      <c r="G31" s="462"/>
      <c r="H31" s="462"/>
      <c r="I31" s="174"/>
      <c r="J31" s="174"/>
      <c r="K31" s="174"/>
    </row>
    <row r="32" spans="1:11" x14ac:dyDescent="0.2">
      <c r="A32" s="230" t="s">
        <v>88</v>
      </c>
      <c r="B32" s="462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462"/>
      <c r="D32" s="462"/>
      <c r="E32" s="462"/>
      <c r="F32" s="462"/>
      <c r="G32" s="462"/>
      <c r="H32" s="462"/>
      <c r="I32" s="462"/>
      <c r="J32" s="174"/>
      <c r="K32" s="174"/>
    </row>
    <row r="33" spans="1:13" x14ac:dyDescent="0.2">
      <c r="A33" s="230" t="s">
        <v>89</v>
      </c>
      <c r="B33" s="462" t="s">
        <v>103</v>
      </c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</row>
    <row r="63" spans="1:11" x14ac:dyDescent="0.2">
      <c r="A63" s="462" t="s">
        <v>93</v>
      </c>
      <c r="B63" s="462"/>
      <c r="C63" s="462"/>
      <c r="D63" s="462"/>
      <c r="E63" s="462"/>
      <c r="F63" s="462"/>
    </row>
    <row r="64" spans="1:11" x14ac:dyDescent="0.2">
      <c r="A64" s="230" t="s">
        <v>86</v>
      </c>
      <c r="B64" s="462" t="s">
        <v>91</v>
      </c>
      <c r="C64" s="462"/>
      <c r="D64" s="462"/>
      <c r="E64" s="462"/>
      <c r="F64" s="462"/>
      <c r="G64" s="462"/>
      <c r="H64" s="462"/>
      <c r="I64" s="462"/>
      <c r="J64" s="462"/>
      <c r="K64" s="462"/>
    </row>
    <row r="65" spans="1:13" x14ac:dyDescent="0.2">
      <c r="A65" s="230" t="s">
        <v>87</v>
      </c>
      <c r="B65" s="462" t="str">
        <f>CONCATENATE("Irrigated corn yield is ",'Strip-Till'!F7," bu. and irrigated cotton yield is ",'Strip-Till'!B7," lbs.")</f>
        <v>Irrigated corn yield is 200 bu. and irrigated cotton yield is 1200 lbs.</v>
      </c>
      <c r="C65" s="462"/>
      <c r="D65" s="462"/>
      <c r="E65" s="462"/>
      <c r="F65" s="462"/>
      <c r="G65" s="462"/>
      <c r="H65" s="462"/>
      <c r="I65" s="174"/>
      <c r="J65" s="174"/>
      <c r="K65" s="174"/>
    </row>
    <row r="66" spans="1:13" x14ac:dyDescent="0.2">
      <c r="A66" s="230" t="s">
        <v>88</v>
      </c>
      <c r="B66" s="462" t="str">
        <f>CONCATENATE("Non-irrigated corn yield is ",'Strip-Till'!P7," bu. and non-irrigated cotton yield is ",'Strip-Till'!L7," lbs.")</f>
        <v>Non-irrigated corn yield is 85 bu. and non-irrigated cotton yield is 750 lbs.</v>
      </c>
      <c r="C66" s="462"/>
      <c r="D66" s="462"/>
      <c r="E66" s="462"/>
      <c r="F66" s="462"/>
      <c r="G66" s="462"/>
      <c r="H66" s="462"/>
      <c r="I66" s="462"/>
      <c r="J66" s="174"/>
      <c r="K66" s="174"/>
    </row>
    <row r="67" spans="1:13" x14ac:dyDescent="0.2">
      <c r="A67" s="230" t="s">
        <v>89</v>
      </c>
      <c r="B67" s="462" t="s">
        <v>103</v>
      </c>
      <c r="C67" s="462"/>
      <c r="D67" s="462"/>
      <c r="E67" s="462"/>
      <c r="F67" s="462"/>
      <c r="G67" s="462"/>
      <c r="H67" s="462"/>
      <c r="I67" s="462"/>
      <c r="J67" s="462"/>
      <c r="K67" s="462"/>
      <c r="L67" s="462"/>
      <c r="M67" s="462"/>
    </row>
    <row r="97" spans="1:13" x14ac:dyDescent="0.2">
      <c r="A97" s="462" t="s">
        <v>93</v>
      </c>
      <c r="B97" s="462"/>
      <c r="C97" s="462"/>
      <c r="D97" s="462"/>
      <c r="E97" s="462"/>
      <c r="F97" s="462"/>
    </row>
    <row r="98" spans="1:13" x14ac:dyDescent="0.2">
      <c r="A98" s="230" t="s">
        <v>86</v>
      </c>
      <c r="B98" s="462" t="s">
        <v>92</v>
      </c>
      <c r="C98" s="462"/>
      <c r="D98" s="462"/>
      <c r="E98" s="462"/>
      <c r="F98" s="462"/>
      <c r="G98" s="462"/>
      <c r="H98" s="462"/>
      <c r="I98" s="462"/>
      <c r="J98" s="462"/>
      <c r="K98" s="462"/>
      <c r="L98" s="462"/>
    </row>
    <row r="99" spans="1:13" x14ac:dyDescent="0.2">
      <c r="A99" s="230" t="s">
        <v>87</v>
      </c>
      <c r="B99" s="462" t="str">
        <f>CONCATENATE("Irrigated soybean yield is ",'Strip-Till'!H7," bu. and irrigated cotton yield is ",'Strip-Till'!B7," lbs.")</f>
        <v>Irrigated soybean yield is 60 bu. and irrigated cotton yield is 1200 lbs.</v>
      </c>
      <c r="C99" s="462"/>
      <c r="D99" s="462"/>
      <c r="E99" s="462"/>
      <c r="F99" s="462"/>
      <c r="G99" s="462"/>
      <c r="H99" s="462"/>
      <c r="I99" s="174"/>
      <c r="J99" s="174"/>
      <c r="K99" s="174"/>
    </row>
    <row r="100" spans="1:13" x14ac:dyDescent="0.2">
      <c r="A100" s="230" t="s">
        <v>88</v>
      </c>
      <c r="B100" s="462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462"/>
      <c r="D100" s="462"/>
      <c r="E100" s="462"/>
      <c r="F100" s="462"/>
      <c r="G100" s="462"/>
      <c r="H100" s="462"/>
      <c r="I100" s="462"/>
      <c r="J100" s="174"/>
      <c r="K100" s="174"/>
    </row>
    <row r="101" spans="1:13" x14ac:dyDescent="0.2">
      <c r="A101" s="230" t="s">
        <v>89</v>
      </c>
      <c r="B101" s="462" t="s">
        <v>103</v>
      </c>
      <c r="C101" s="462"/>
      <c r="D101" s="462"/>
      <c r="E101" s="462"/>
      <c r="F101" s="462"/>
      <c r="G101" s="462"/>
      <c r="H101" s="462"/>
      <c r="I101" s="462"/>
      <c r="J101" s="462"/>
      <c r="K101" s="462"/>
      <c r="L101" s="462"/>
      <c r="M101" s="462"/>
    </row>
    <row r="131" spans="1:13" x14ac:dyDescent="0.2">
      <c r="A131" s="463" t="s">
        <v>93</v>
      </c>
      <c r="B131" s="463"/>
      <c r="C131" s="463"/>
      <c r="D131" s="463"/>
      <c r="E131" s="463"/>
      <c r="F131" s="463"/>
    </row>
    <row r="132" spans="1:13" x14ac:dyDescent="0.2">
      <c r="A132" s="230" t="s">
        <v>86</v>
      </c>
      <c r="B132" s="462" t="s">
        <v>94</v>
      </c>
      <c r="C132" s="462"/>
      <c r="D132" s="462"/>
      <c r="E132" s="462"/>
      <c r="F132" s="462"/>
      <c r="G132" s="462"/>
      <c r="H132" s="462"/>
      <c r="I132" s="462"/>
      <c r="J132" s="462"/>
      <c r="K132" s="462"/>
    </row>
    <row r="133" spans="1:13" x14ac:dyDescent="0.2">
      <c r="A133" s="230" t="s">
        <v>87</v>
      </c>
      <c r="B133" s="462" t="str">
        <f>CONCATENATE("Irrigated cotton yield is ",'Strip-Till'!B7," lbs. and irrigated peanut yield is ",'Strip-Till'!D7," lbs.")</f>
        <v>Irrigated cotton yield is 1200 lbs. and irrigated peanut yield is 4700 lbs.</v>
      </c>
      <c r="C133" s="462"/>
      <c r="D133" s="462"/>
      <c r="E133" s="462"/>
      <c r="F133" s="462"/>
      <c r="G133" s="462"/>
      <c r="H133" s="462"/>
      <c r="I133" s="174"/>
      <c r="J133" s="174"/>
      <c r="K133" s="174"/>
    </row>
    <row r="134" spans="1:13" x14ac:dyDescent="0.2">
      <c r="A134" s="230" t="s">
        <v>88</v>
      </c>
      <c r="B134" s="462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462"/>
      <c r="D134" s="462"/>
      <c r="E134" s="462"/>
      <c r="F134" s="462"/>
      <c r="G134" s="462"/>
      <c r="H134" s="462"/>
      <c r="I134" s="462"/>
      <c r="J134" s="174"/>
      <c r="K134" s="174"/>
    </row>
    <row r="135" spans="1:13" x14ac:dyDescent="0.2">
      <c r="A135" s="230" t="s">
        <v>89</v>
      </c>
      <c r="B135" s="462" t="s">
        <v>103</v>
      </c>
      <c r="C135" s="462"/>
      <c r="D135" s="462"/>
      <c r="E135" s="462"/>
      <c r="F135" s="462"/>
      <c r="G135" s="462"/>
      <c r="H135" s="462"/>
      <c r="I135" s="462"/>
      <c r="J135" s="462"/>
      <c r="K135" s="462"/>
      <c r="L135" s="462"/>
      <c r="M135" s="462"/>
    </row>
    <row r="165" spans="1:13" x14ac:dyDescent="0.2">
      <c r="A165" s="462" t="s">
        <v>93</v>
      </c>
      <c r="B165" s="462"/>
      <c r="C165" s="462"/>
      <c r="D165" s="462"/>
      <c r="E165" s="462"/>
      <c r="F165" s="462"/>
    </row>
    <row r="166" spans="1:13" x14ac:dyDescent="0.2">
      <c r="A166" s="230" t="s">
        <v>86</v>
      </c>
      <c r="B166" s="462" t="s">
        <v>95</v>
      </c>
      <c r="C166" s="462"/>
      <c r="D166" s="462"/>
      <c r="E166" s="462"/>
      <c r="F166" s="462"/>
      <c r="G166" s="462"/>
      <c r="H166" s="462"/>
      <c r="I166" s="462"/>
      <c r="J166" s="462"/>
      <c r="K166" s="462"/>
    </row>
    <row r="167" spans="1:13" x14ac:dyDescent="0.2">
      <c r="A167" s="230" t="s">
        <v>87</v>
      </c>
      <c r="B167" s="462" t="str">
        <f>CONCATENATE("Irrigated corn yield is ",'Strip-Till'!$F$7," bu. and irrigated peanut yield is ",'Strip-Till'!$D$7," lbs.")</f>
        <v>Irrigated corn yield is 200 bu. and irrigated peanut yield is 4700 lbs.</v>
      </c>
      <c r="C167" s="462"/>
      <c r="D167" s="462"/>
      <c r="E167" s="462"/>
      <c r="F167" s="462"/>
      <c r="G167" s="462"/>
      <c r="H167" s="462"/>
      <c r="I167" s="174"/>
      <c r="J167" s="174"/>
      <c r="K167" s="174"/>
    </row>
    <row r="168" spans="1:13" x14ac:dyDescent="0.2">
      <c r="A168" s="230" t="s">
        <v>88</v>
      </c>
      <c r="B168" s="462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462"/>
      <c r="D168" s="462"/>
      <c r="E168" s="462"/>
      <c r="F168" s="462"/>
      <c r="G168" s="462"/>
      <c r="H168" s="462"/>
      <c r="I168" s="462"/>
      <c r="J168" s="174"/>
      <c r="K168" s="174"/>
    </row>
    <row r="169" spans="1:13" x14ac:dyDescent="0.2">
      <c r="A169" s="230" t="s">
        <v>89</v>
      </c>
      <c r="B169" s="462" t="s">
        <v>103</v>
      </c>
      <c r="C169" s="462"/>
      <c r="D169" s="462"/>
      <c r="E169" s="462"/>
      <c r="F169" s="462"/>
      <c r="G169" s="462"/>
      <c r="H169" s="462"/>
      <c r="I169" s="462"/>
      <c r="J169" s="462"/>
      <c r="K169" s="462"/>
      <c r="L169" s="462"/>
      <c r="M169" s="462"/>
    </row>
    <row r="199" spans="1:13" x14ac:dyDescent="0.2">
      <c r="A199" s="462" t="s">
        <v>93</v>
      </c>
      <c r="B199" s="462"/>
      <c r="C199" s="462"/>
      <c r="D199" s="462"/>
      <c r="E199" s="462"/>
      <c r="F199" s="462"/>
    </row>
    <row r="200" spans="1:13" x14ac:dyDescent="0.2">
      <c r="A200" s="230" t="s">
        <v>86</v>
      </c>
      <c r="B200" s="462" t="s">
        <v>96</v>
      </c>
      <c r="C200" s="462"/>
      <c r="D200" s="462"/>
      <c r="E200" s="462"/>
      <c r="F200" s="462"/>
      <c r="G200" s="462"/>
      <c r="H200" s="462"/>
      <c r="I200" s="462"/>
      <c r="J200" s="462"/>
      <c r="K200" s="462"/>
      <c r="L200" s="462"/>
    </row>
    <row r="201" spans="1:13" x14ac:dyDescent="0.2">
      <c r="A201" s="230" t="s">
        <v>87</v>
      </c>
      <c r="B201" s="462" t="str">
        <f>CONCATENATE("Irrigated soybean yield is ",'Strip-Till'!$H$7," bu. and irrigated peanut yield is ",'Strip-Till'!$D$7," lbs.")</f>
        <v>Irrigated soybean yield is 60 bu. and irrigated peanut yield is 4700 lbs.</v>
      </c>
      <c r="C201" s="462"/>
      <c r="D201" s="462"/>
      <c r="E201" s="462"/>
      <c r="F201" s="462"/>
      <c r="G201" s="462"/>
      <c r="H201" s="462"/>
      <c r="I201" s="174"/>
      <c r="J201" s="174"/>
      <c r="K201" s="174"/>
    </row>
    <row r="202" spans="1:13" x14ac:dyDescent="0.2">
      <c r="A202" s="230" t="s">
        <v>88</v>
      </c>
      <c r="B202" s="462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462"/>
      <c r="D202" s="462"/>
      <c r="E202" s="462"/>
      <c r="F202" s="462"/>
      <c r="G202" s="462"/>
      <c r="H202" s="462"/>
      <c r="I202" s="462"/>
      <c r="J202" s="174"/>
      <c r="K202" s="174"/>
    </row>
    <row r="203" spans="1:13" x14ac:dyDescent="0.2">
      <c r="A203" s="230" t="s">
        <v>89</v>
      </c>
      <c r="B203" s="462" t="s">
        <v>103</v>
      </c>
      <c r="C203" s="462"/>
      <c r="D203" s="462"/>
      <c r="E203" s="462"/>
      <c r="F203" s="462"/>
      <c r="G203" s="462"/>
      <c r="H203" s="462"/>
      <c r="I203" s="462"/>
      <c r="J203" s="462"/>
      <c r="K203" s="462"/>
      <c r="L203" s="462"/>
      <c r="M203" s="462"/>
    </row>
    <row r="233" spans="1:13" x14ac:dyDescent="0.2">
      <c r="A233" s="463" t="s">
        <v>93</v>
      </c>
      <c r="B233" s="463"/>
      <c r="C233" s="463"/>
      <c r="D233" s="463"/>
      <c r="E233" s="463"/>
      <c r="F233" s="463"/>
    </row>
    <row r="234" spans="1:13" x14ac:dyDescent="0.2">
      <c r="A234" s="230" t="s">
        <v>86</v>
      </c>
      <c r="B234" s="462" t="s">
        <v>97</v>
      </c>
      <c r="C234" s="462"/>
      <c r="D234" s="462"/>
      <c r="E234" s="462"/>
      <c r="F234" s="462"/>
      <c r="G234" s="462"/>
      <c r="H234" s="462"/>
      <c r="I234" s="462"/>
      <c r="J234" s="462"/>
      <c r="K234" s="462"/>
    </row>
    <row r="235" spans="1:13" x14ac:dyDescent="0.2">
      <c r="A235" s="230" t="s">
        <v>87</v>
      </c>
      <c r="B235" s="462" t="str">
        <f>CONCATENATE("Irrigated cotton yield is ",'Strip-Till'!$B$7," lbs. and irrigated corn yield is ",'Strip-Till'!$F$7," bu.")</f>
        <v>Irrigated cotton yield is 1200 lbs. and irrigated corn yield is 200 bu.</v>
      </c>
      <c r="C235" s="462"/>
      <c r="D235" s="462"/>
      <c r="E235" s="462"/>
      <c r="F235" s="462"/>
      <c r="G235" s="462"/>
      <c r="H235" s="462"/>
      <c r="I235" s="174"/>
      <c r="J235" s="174"/>
      <c r="K235" s="174"/>
    </row>
    <row r="236" spans="1:13" x14ac:dyDescent="0.2">
      <c r="A236" s="230" t="s">
        <v>88</v>
      </c>
      <c r="B236" s="462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462"/>
      <c r="D236" s="462"/>
      <c r="E236" s="462"/>
      <c r="F236" s="462"/>
      <c r="G236" s="462"/>
      <c r="H236" s="462"/>
      <c r="I236" s="462"/>
      <c r="J236" s="174"/>
      <c r="K236" s="174"/>
    </row>
    <row r="237" spans="1:13" x14ac:dyDescent="0.2">
      <c r="A237" s="230" t="s">
        <v>89</v>
      </c>
      <c r="B237" s="462" t="s">
        <v>103</v>
      </c>
      <c r="C237" s="462"/>
      <c r="D237" s="462"/>
      <c r="E237" s="462"/>
      <c r="F237" s="462"/>
      <c r="G237" s="462"/>
      <c r="H237" s="462"/>
      <c r="I237" s="462"/>
      <c r="J237" s="462"/>
      <c r="K237" s="462"/>
      <c r="L237" s="462"/>
      <c r="M237" s="462"/>
    </row>
    <row r="267" spans="1:13" x14ac:dyDescent="0.2">
      <c r="A267" s="462" t="s">
        <v>93</v>
      </c>
      <c r="B267" s="462"/>
      <c r="C267" s="462"/>
      <c r="D267" s="462"/>
      <c r="E267" s="462"/>
      <c r="F267" s="462"/>
    </row>
    <row r="268" spans="1:13" x14ac:dyDescent="0.2">
      <c r="A268" s="230" t="s">
        <v>86</v>
      </c>
      <c r="B268" s="462" t="s">
        <v>98</v>
      </c>
      <c r="C268" s="462"/>
      <c r="D268" s="462"/>
      <c r="E268" s="462"/>
      <c r="F268" s="462"/>
      <c r="G268" s="462"/>
      <c r="H268" s="462"/>
      <c r="I268" s="462"/>
      <c r="J268" s="462"/>
      <c r="K268" s="462"/>
    </row>
    <row r="269" spans="1:13" x14ac:dyDescent="0.2">
      <c r="A269" s="230" t="s">
        <v>87</v>
      </c>
      <c r="B269" s="462" t="str">
        <f>CONCATENATE("Irrigated peanut yield is ",'Strip-Till'!$D$7," lbs. and irrigated corn yield is ",'Strip-Till'!$F$7," bu.")</f>
        <v>Irrigated peanut yield is 4700 lbs. and irrigated corn yield is 200 bu.</v>
      </c>
      <c r="C269" s="462"/>
      <c r="D269" s="462"/>
      <c r="E269" s="462"/>
      <c r="F269" s="462"/>
      <c r="G269" s="462"/>
      <c r="H269" s="462"/>
      <c r="I269" s="174"/>
      <c r="J269" s="174"/>
      <c r="K269" s="174"/>
    </row>
    <row r="270" spans="1:13" x14ac:dyDescent="0.2">
      <c r="A270" s="230" t="s">
        <v>88</v>
      </c>
      <c r="B270" s="462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462"/>
      <c r="D270" s="462"/>
      <c r="E270" s="462"/>
      <c r="F270" s="462"/>
      <c r="G270" s="462"/>
      <c r="H270" s="462"/>
      <c r="I270" s="462"/>
      <c r="J270" s="174"/>
      <c r="K270" s="174"/>
    </row>
    <row r="271" spans="1:13" x14ac:dyDescent="0.2">
      <c r="A271" s="230" t="s">
        <v>89</v>
      </c>
      <c r="B271" s="462" t="s">
        <v>103</v>
      </c>
      <c r="C271" s="462"/>
      <c r="D271" s="462"/>
      <c r="E271" s="462"/>
      <c r="F271" s="462"/>
      <c r="G271" s="462"/>
      <c r="H271" s="462"/>
      <c r="I271" s="462"/>
      <c r="J271" s="462"/>
      <c r="K271" s="462"/>
      <c r="L271" s="462"/>
      <c r="M271" s="462"/>
    </row>
    <row r="301" spans="1:12" x14ac:dyDescent="0.2">
      <c r="A301" s="462" t="s">
        <v>93</v>
      </c>
      <c r="B301" s="462"/>
      <c r="C301" s="462"/>
      <c r="D301" s="462"/>
      <c r="E301" s="462"/>
      <c r="F301" s="462"/>
    </row>
    <row r="302" spans="1:12" x14ac:dyDescent="0.2">
      <c r="A302" s="230" t="s">
        <v>86</v>
      </c>
      <c r="B302" s="462" t="s">
        <v>99</v>
      </c>
      <c r="C302" s="462"/>
      <c r="D302" s="462"/>
      <c r="E302" s="462"/>
      <c r="F302" s="462"/>
      <c r="G302" s="462"/>
      <c r="H302" s="462"/>
      <c r="I302" s="462"/>
      <c r="J302" s="462"/>
      <c r="K302" s="462"/>
      <c r="L302" s="462"/>
    </row>
    <row r="303" spans="1:12" x14ac:dyDescent="0.2">
      <c r="A303" s="230" t="s">
        <v>87</v>
      </c>
      <c r="B303" s="462" t="str">
        <f>CONCATENATE("Irrigated soybean yield is ",'Strip-Till'!$H$7," bu. and irrigated corn yield is ",'Strip-Till'!$F$7," bu.")</f>
        <v>Irrigated soybean yield is 60 bu. and irrigated corn yield is 200 bu.</v>
      </c>
      <c r="C303" s="462"/>
      <c r="D303" s="462"/>
      <c r="E303" s="462"/>
      <c r="F303" s="462"/>
      <c r="G303" s="462"/>
      <c r="H303" s="462"/>
      <c r="I303" s="174"/>
      <c r="J303" s="174"/>
      <c r="K303" s="174"/>
    </row>
    <row r="304" spans="1:12" x14ac:dyDescent="0.2">
      <c r="A304" s="230" t="s">
        <v>88</v>
      </c>
      <c r="B304" s="462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462"/>
      <c r="D304" s="462"/>
      <c r="E304" s="462"/>
      <c r="F304" s="462"/>
      <c r="G304" s="462"/>
      <c r="H304" s="462"/>
      <c r="I304" s="462"/>
      <c r="J304" s="174"/>
      <c r="K304" s="174"/>
    </row>
    <row r="305" spans="1:13" x14ac:dyDescent="0.2">
      <c r="A305" s="230" t="s">
        <v>89</v>
      </c>
      <c r="B305" s="462" t="s">
        <v>103</v>
      </c>
      <c r="C305" s="462"/>
      <c r="D305" s="462"/>
      <c r="E305" s="462"/>
      <c r="F305" s="462"/>
      <c r="G305" s="462"/>
      <c r="H305" s="462"/>
      <c r="I305" s="462"/>
      <c r="J305" s="462"/>
      <c r="K305" s="462"/>
      <c r="L305" s="462"/>
      <c r="M305" s="462"/>
    </row>
    <row r="334" spans="1:12" x14ac:dyDescent="0.2">
      <c r="A334" s="463" t="s">
        <v>93</v>
      </c>
      <c r="B334" s="463"/>
      <c r="C334" s="463"/>
      <c r="D334" s="463"/>
      <c r="E334" s="463"/>
      <c r="F334" s="463"/>
    </row>
    <row r="335" spans="1:12" x14ac:dyDescent="0.2">
      <c r="A335" s="230" t="s">
        <v>86</v>
      </c>
      <c r="B335" s="462" t="s">
        <v>100</v>
      </c>
      <c r="C335" s="462"/>
      <c r="D335" s="462"/>
      <c r="E335" s="462"/>
      <c r="F335" s="462"/>
      <c r="G335" s="462"/>
      <c r="H335" s="462"/>
      <c r="I335" s="462"/>
      <c r="J335" s="462"/>
      <c r="K335" s="462"/>
      <c r="L335" s="462"/>
    </row>
    <row r="336" spans="1:12" x14ac:dyDescent="0.2">
      <c r="A336" s="230" t="s">
        <v>87</v>
      </c>
      <c r="B336" s="462" t="str">
        <f>CONCATENATE("Irrigated cotton yield is ",'Strip-Till'!$B$7," lbs. and irrigated soybean yield is ",'Strip-Till'!$H$7," bu.")</f>
        <v>Irrigated cotton yield is 1200 lbs. and irrigated soybean yield is 60 bu.</v>
      </c>
      <c r="C336" s="462"/>
      <c r="D336" s="462"/>
      <c r="E336" s="462"/>
      <c r="F336" s="462"/>
      <c r="G336" s="462"/>
      <c r="H336" s="462"/>
      <c r="I336" s="174"/>
      <c r="J336" s="174"/>
      <c r="K336" s="174"/>
    </row>
    <row r="337" spans="1:13" x14ac:dyDescent="0.2">
      <c r="A337" s="230" t="s">
        <v>88</v>
      </c>
      <c r="B337" s="462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462"/>
      <c r="D337" s="462"/>
      <c r="E337" s="462"/>
      <c r="F337" s="462"/>
      <c r="G337" s="462"/>
      <c r="H337" s="462"/>
      <c r="I337" s="462"/>
      <c r="J337" s="174"/>
      <c r="K337" s="174"/>
    </row>
    <row r="338" spans="1:13" x14ac:dyDescent="0.2">
      <c r="A338" s="230" t="s">
        <v>89</v>
      </c>
      <c r="B338" s="462" t="s">
        <v>103</v>
      </c>
      <c r="C338" s="462"/>
      <c r="D338" s="462"/>
      <c r="E338" s="462"/>
      <c r="F338" s="462"/>
      <c r="G338" s="462"/>
      <c r="H338" s="462"/>
      <c r="I338" s="462"/>
      <c r="J338" s="462"/>
      <c r="K338" s="462"/>
      <c r="L338" s="462"/>
      <c r="M338" s="462"/>
    </row>
    <row r="369" spans="1:13" x14ac:dyDescent="0.2">
      <c r="A369" s="462" t="s">
        <v>93</v>
      </c>
      <c r="B369" s="462"/>
      <c r="C369" s="462"/>
      <c r="D369" s="462"/>
      <c r="E369" s="462"/>
      <c r="F369" s="462"/>
    </row>
    <row r="370" spans="1:13" x14ac:dyDescent="0.2">
      <c r="A370" s="230" t="s">
        <v>86</v>
      </c>
      <c r="B370" s="462" t="s">
        <v>101</v>
      </c>
      <c r="C370" s="462"/>
      <c r="D370" s="462"/>
      <c r="E370" s="462"/>
      <c r="F370" s="462"/>
      <c r="G370" s="462"/>
      <c r="H370" s="462"/>
      <c r="I370" s="462"/>
      <c r="J370" s="462"/>
      <c r="K370" s="462"/>
      <c r="L370" s="462"/>
    </row>
    <row r="371" spans="1:13" x14ac:dyDescent="0.2">
      <c r="A371" s="230" t="s">
        <v>87</v>
      </c>
      <c r="B371" s="462" t="str">
        <f>CONCATENATE("Irrigated peanut yield is ",'Strip-Till'!$D$7," lbs. and irrigated soybean yield is ",'Strip-Till'!$H$7," bu.")</f>
        <v>Irrigated peanut yield is 4700 lbs. and irrigated soybean yield is 60 bu.</v>
      </c>
      <c r="C371" s="462"/>
      <c r="D371" s="462"/>
      <c r="E371" s="462"/>
      <c r="F371" s="462"/>
      <c r="G371" s="462"/>
      <c r="H371" s="462"/>
      <c r="I371" s="174"/>
      <c r="J371" s="174"/>
      <c r="K371" s="174"/>
    </row>
    <row r="372" spans="1:13" x14ac:dyDescent="0.2">
      <c r="A372" s="230" t="s">
        <v>88</v>
      </c>
      <c r="B372" s="462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462"/>
      <c r="D372" s="462"/>
      <c r="E372" s="462"/>
      <c r="F372" s="462"/>
      <c r="G372" s="462"/>
      <c r="H372" s="462"/>
      <c r="I372" s="462"/>
      <c r="J372" s="174"/>
      <c r="K372" s="174"/>
    </row>
    <row r="373" spans="1:13" x14ac:dyDescent="0.2">
      <c r="A373" s="230" t="s">
        <v>89</v>
      </c>
      <c r="B373" s="462" t="s">
        <v>103</v>
      </c>
      <c r="C373" s="462"/>
      <c r="D373" s="462"/>
      <c r="E373" s="462"/>
      <c r="F373" s="462"/>
      <c r="G373" s="462"/>
      <c r="H373" s="462"/>
      <c r="I373" s="462"/>
      <c r="J373" s="462"/>
      <c r="K373" s="462"/>
      <c r="L373" s="462"/>
      <c r="M373" s="462"/>
    </row>
    <row r="403" spans="1:13" x14ac:dyDescent="0.2">
      <c r="A403" s="462" t="s">
        <v>93</v>
      </c>
      <c r="B403" s="462"/>
      <c r="C403" s="462"/>
      <c r="D403" s="462"/>
      <c r="E403" s="462"/>
      <c r="F403" s="462"/>
    </row>
    <row r="404" spans="1:13" x14ac:dyDescent="0.2">
      <c r="A404" s="230" t="s">
        <v>86</v>
      </c>
      <c r="B404" s="462" t="s">
        <v>102</v>
      </c>
      <c r="C404" s="462"/>
      <c r="D404" s="462"/>
      <c r="E404" s="462"/>
      <c r="F404" s="462"/>
      <c r="G404" s="462"/>
      <c r="H404" s="462"/>
      <c r="I404" s="462"/>
      <c r="J404" s="462"/>
      <c r="K404" s="462"/>
      <c r="L404" s="462"/>
    </row>
    <row r="405" spans="1:13" x14ac:dyDescent="0.2">
      <c r="A405" s="230" t="s">
        <v>87</v>
      </c>
      <c r="B405" s="462" t="str">
        <f>CONCATENATE("Irrigated corn yield is ",'Strip-Till'!$F$7," bu. and irrigated soybean yield is ",'Strip-Till'!$H$7," bu.")</f>
        <v>Irrigated corn yield is 200 bu. and irrigated soybean yield is 60 bu.</v>
      </c>
      <c r="C405" s="462"/>
      <c r="D405" s="462"/>
      <c r="E405" s="462"/>
      <c r="F405" s="462"/>
      <c r="G405" s="462"/>
      <c r="H405" s="462"/>
      <c r="I405" s="174"/>
      <c r="J405" s="174"/>
      <c r="K405" s="174"/>
    </row>
    <row r="406" spans="1:13" x14ac:dyDescent="0.2">
      <c r="A406" s="230" t="s">
        <v>88</v>
      </c>
      <c r="B406" s="462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462"/>
      <c r="D406" s="462"/>
      <c r="E406" s="462"/>
      <c r="F406" s="462"/>
      <c r="G406" s="462"/>
      <c r="H406" s="462"/>
      <c r="I406" s="462"/>
      <c r="J406" s="174"/>
      <c r="K406" s="174"/>
    </row>
    <row r="407" spans="1:13" x14ac:dyDescent="0.2">
      <c r="A407" s="230" t="s">
        <v>89</v>
      </c>
      <c r="B407" s="462" t="s">
        <v>103</v>
      </c>
      <c r="C407" s="462"/>
      <c r="D407" s="462"/>
      <c r="E407" s="462"/>
      <c r="F407" s="462"/>
      <c r="G407" s="462"/>
      <c r="H407" s="462"/>
      <c r="I407" s="462"/>
      <c r="J407" s="462"/>
      <c r="K407" s="462"/>
      <c r="L407" s="462"/>
      <c r="M407" s="462"/>
    </row>
  </sheetData>
  <sheetProtection sheet="1" objects="1" scenarios="1"/>
  <mergeCells count="60">
    <mergeCell ref="A29:F29"/>
    <mergeCell ref="B30:K30"/>
    <mergeCell ref="B31:H31"/>
    <mergeCell ref="B32:I32"/>
    <mergeCell ref="A63:F63"/>
    <mergeCell ref="B33:M33"/>
    <mergeCell ref="B64:K64"/>
    <mergeCell ref="B65:H65"/>
    <mergeCell ref="B66:I66"/>
    <mergeCell ref="A97:F97"/>
    <mergeCell ref="B98:L98"/>
    <mergeCell ref="B67:M67"/>
    <mergeCell ref="B99:H99"/>
    <mergeCell ref="B100:I100"/>
    <mergeCell ref="A131:F131"/>
    <mergeCell ref="B132:K132"/>
    <mergeCell ref="B133:H133"/>
    <mergeCell ref="B101:M101"/>
    <mergeCell ref="B134:I134"/>
    <mergeCell ref="A165:F165"/>
    <mergeCell ref="B166:K166"/>
    <mergeCell ref="B167:H167"/>
    <mergeCell ref="B168:I168"/>
    <mergeCell ref="B135:M135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A267:F267"/>
    <mergeCell ref="B237:M237"/>
    <mergeCell ref="B268:K268"/>
    <mergeCell ref="B269:H269"/>
    <mergeCell ref="B270:I270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&amp;LStrip Tillage Chart</oddHeader>
    <oddFooter>&amp;L&amp;G&amp;CCharts by A.R. Smith and Yangxuan Liu&amp;RAg and Applied Economics,11/2021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 x14ac:dyDescent="0.15"/>
  <cols>
    <col min="1" max="8" width="9.33203125" style="75" customWidth="1"/>
    <col min="9" max="16384" width="9.33203125" style="75"/>
  </cols>
  <sheetData>
    <row r="1" spans="1:13" s="62" customFormat="1" ht="12" hidden="1" x14ac:dyDescent="0.15">
      <c r="A1" s="61"/>
      <c r="B1" s="469" t="s">
        <v>45</v>
      </c>
      <c r="C1" s="469"/>
      <c r="D1" s="469"/>
      <c r="E1" s="469"/>
      <c r="F1" s="469"/>
      <c r="G1" s="469"/>
      <c r="H1" s="61"/>
    </row>
    <row r="2" spans="1:13" s="62" customFormat="1" ht="12" hidden="1" x14ac:dyDescent="0.15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  <c r="G2" s="64" t="str">
        <f>Conventional!V6</f>
        <v>Wheat</v>
      </c>
      <c r="H2" s="61"/>
    </row>
    <row r="3" spans="1:13" s="62" customFormat="1" ht="12" hidden="1" x14ac:dyDescent="0.15">
      <c r="A3" s="63" t="s">
        <v>41</v>
      </c>
      <c r="B3" s="65">
        <f>Conventional!B7</f>
        <v>1200</v>
      </c>
      <c r="C3" s="65">
        <f>Conventional!D7</f>
        <v>4700</v>
      </c>
      <c r="D3" s="65">
        <f>Conventional!F7</f>
        <v>200</v>
      </c>
      <c r="E3" s="65">
        <f>Conventional!H7</f>
        <v>60</v>
      </c>
      <c r="F3" s="65">
        <f>Conventional!J7</f>
        <v>100</v>
      </c>
      <c r="G3" s="65">
        <f>Conventional!V7</f>
        <v>75</v>
      </c>
      <c r="H3" s="66"/>
    </row>
    <row r="4" spans="1:13" s="62" customFormat="1" ht="12" hidden="1" x14ac:dyDescent="0.15">
      <c r="A4" s="62" t="s">
        <v>42</v>
      </c>
      <c r="B4" s="67">
        <f>Conventional!B8</f>
        <v>0.9</v>
      </c>
      <c r="C4" s="68">
        <f>Conventional!D8</f>
        <v>440</v>
      </c>
      <c r="D4" s="69">
        <f>Conventional!F8</f>
        <v>6</v>
      </c>
      <c r="E4" s="69">
        <f>Conventional!H8</f>
        <v>11.5</v>
      </c>
      <c r="F4" s="69">
        <f>Conventional!J8</f>
        <v>5.8</v>
      </c>
      <c r="G4" s="69">
        <f>Conventional!V8</f>
        <v>7</v>
      </c>
      <c r="H4" s="69"/>
    </row>
    <row r="5" spans="1:13" s="62" customFormat="1" ht="12" hidden="1" x14ac:dyDescent="0.15">
      <c r="A5" s="70" t="s">
        <v>44</v>
      </c>
      <c r="B5" s="71">
        <f>B3*B4</f>
        <v>1080</v>
      </c>
      <c r="C5" s="71">
        <f>C3*C4/2000</f>
        <v>1034</v>
      </c>
      <c r="D5" s="71">
        <f>D3*D4</f>
        <v>1200</v>
      </c>
      <c r="E5" s="71">
        <f>E3*E4</f>
        <v>690</v>
      </c>
      <c r="F5" s="71">
        <f>F3*F4</f>
        <v>580</v>
      </c>
      <c r="G5" s="71">
        <f>G3*G4</f>
        <v>525</v>
      </c>
      <c r="H5" s="72"/>
    </row>
    <row r="6" spans="1:13" s="62" customFormat="1" ht="12" hidden="1" x14ac:dyDescent="0.15">
      <c r="A6" s="70" t="s">
        <v>43</v>
      </c>
      <c r="B6" s="73">
        <f>Conventional!B30</f>
        <v>725.2801598181818</v>
      </c>
      <c r="C6" s="73">
        <f>Conventional!D30</f>
        <v>732.9447550000001</v>
      </c>
      <c r="D6" s="73">
        <f>Conventional!F30</f>
        <v>903.74901500000021</v>
      </c>
      <c r="E6" s="73">
        <f>Conventional!H30</f>
        <v>355.90750500000001</v>
      </c>
      <c r="F6" s="73">
        <f>Conventional!J30</f>
        <v>488.62304500000005</v>
      </c>
      <c r="G6" s="73">
        <f>Conventional!V30</f>
        <v>457.51912312499996</v>
      </c>
      <c r="H6" s="68"/>
    </row>
    <row r="7" spans="1:13" s="62" customFormat="1" ht="16" x14ac:dyDescent="0.2">
      <c r="A7" s="470" t="s">
        <v>127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71" t="s">
        <v>153</v>
      </c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</row>
    <row r="10" spans="1:13" x14ac:dyDescent="0.15">
      <c r="A10" s="465" t="s">
        <v>47</v>
      </c>
      <c r="B10" s="465"/>
      <c r="C10" s="465"/>
      <c r="D10" s="465"/>
      <c r="E10" s="465"/>
      <c r="F10" s="465"/>
      <c r="H10" s="465" t="s">
        <v>50</v>
      </c>
      <c r="I10" s="465"/>
      <c r="J10" s="465"/>
      <c r="K10" s="465"/>
      <c r="L10" s="465"/>
      <c r="M10" s="465"/>
    </row>
    <row r="11" spans="1:13" s="62" customFormat="1" ht="12" x14ac:dyDescent="0.15">
      <c r="A11" s="464" t="s">
        <v>36</v>
      </c>
      <c r="B11" s="464"/>
      <c r="C11" s="464"/>
      <c r="D11" s="464"/>
      <c r="E11" s="464"/>
      <c r="F11" s="464"/>
      <c r="H11" s="468" t="s">
        <v>36</v>
      </c>
      <c r="I11" s="468"/>
      <c r="J11" s="468"/>
      <c r="K11" s="468"/>
      <c r="L11" s="468"/>
      <c r="M11" s="468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15">
      <c r="A14" s="84">
        <f>A16*0.7</f>
        <v>4.1999999999999993</v>
      </c>
      <c r="B14" s="85">
        <f>$A$14*B$13-$D$6</f>
        <v>-273.74901500000033</v>
      </c>
      <c r="C14" s="85">
        <f>$A$14*C$13-$D$6</f>
        <v>-147.74901500000033</v>
      </c>
      <c r="D14" s="85">
        <f>$A$14*D$13-$D$6</f>
        <v>-63.749015000000327</v>
      </c>
      <c r="E14" s="85">
        <f>$A$14*E$13-$D$6</f>
        <v>20.250984999999787</v>
      </c>
      <c r="F14" s="85">
        <f>$A$14*F$13-$D$6</f>
        <v>146.25098499999956</v>
      </c>
      <c r="H14" s="84">
        <f>H16*0.7</f>
        <v>0.63</v>
      </c>
      <c r="I14" s="87">
        <f>$H$14*$I$13-$B$6</f>
        <v>-158.2801598181818</v>
      </c>
      <c r="J14" s="87">
        <f>$H$14*J13-$B$6</f>
        <v>-44.880159818181824</v>
      </c>
      <c r="K14" s="87">
        <f>$H$14*K13-$B$6</f>
        <v>30.719840181818199</v>
      </c>
      <c r="L14" s="87">
        <f>$H$14*L13-$B$6</f>
        <v>106.31984018181822</v>
      </c>
      <c r="M14" s="87">
        <f>$H$14*M13-$B$6</f>
        <v>219.7198401818182</v>
      </c>
    </row>
    <row r="15" spans="1:13" x14ac:dyDescent="0.15">
      <c r="A15" s="86">
        <f>A16*0.85</f>
        <v>5.0999999999999996</v>
      </c>
      <c r="B15" s="87">
        <f>$A$15*B$13-$D$6</f>
        <v>-138.74901500000021</v>
      </c>
      <c r="C15" s="87">
        <f>$A$15*C$13-$D$6</f>
        <v>14.250984999999673</v>
      </c>
      <c r="D15" s="87">
        <f>$A$15*D$13-$D$6</f>
        <v>116.25098499999967</v>
      </c>
      <c r="E15" s="87">
        <f>$A$15*E$13-$D$6</f>
        <v>218.25098499999979</v>
      </c>
      <c r="F15" s="87">
        <f>$A$15*F$13-$D$6</f>
        <v>371.25098499999979</v>
      </c>
      <c r="H15" s="86">
        <f>H16*0.85</f>
        <v>0.76500000000000001</v>
      </c>
      <c r="I15" s="87">
        <f>$H$15*$I$13-$B$6</f>
        <v>-36.780159818181801</v>
      </c>
      <c r="J15" s="87">
        <f>$H$15*J13-$B$6</f>
        <v>100.91984018181824</v>
      </c>
      <c r="K15" s="87">
        <f>$H$15*K13-$B$6</f>
        <v>192.7198401818182</v>
      </c>
      <c r="L15" s="87">
        <f>$H$15*L13-$B$6</f>
        <v>284.51984018181827</v>
      </c>
      <c r="M15" s="87">
        <f>$H$15*M13-$B$6</f>
        <v>422.2198401818182</v>
      </c>
    </row>
    <row r="16" spans="1:13" x14ac:dyDescent="0.15">
      <c r="A16" s="86">
        <f>D4</f>
        <v>6</v>
      </c>
      <c r="B16" s="87">
        <f>$A$16*B$13-$D$6</f>
        <v>-3.7490150000002131</v>
      </c>
      <c r="C16" s="87">
        <f>$A$16*C$13-$D$6</f>
        <v>176.25098499999979</v>
      </c>
      <c r="D16" s="87">
        <f>$A$16*D$13-$D$6</f>
        <v>296.25098499999979</v>
      </c>
      <c r="E16" s="87">
        <f>$A$16*E$13-$D$6</f>
        <v>416.25098500000001</v>
      </c>
      <c r="F16" s="87">
        <f>$A$16*F$13-$D$6</f>
        <v>596.25098499999979</v>
      </c>
      <c r="H16" s="86">
        <f>B4</f>
        <v>0.9</v>
      </c>
      <c r="I16" s="87">
        <f>$H$16*$I$13-$B$6</f>
        <v>84.719840181818199</v>
      </c>
      <c r="J16" s="87">
        <f>$H$16*J13-$B$6</f>
        <v>246.7198401818182</v>
      </c>
      <c r="K16" s="87">
        <f>$H$16*K13-$B$6</f>
        <v>354.7198401818182</v>
      </c>
      <c r="L16" s="87">
        <f>$H$16*L13-$B$6</f>
        <v>462.7198401818182</v>
      </c>
      <c r="M16" s="87">
        <f>$H$16*M13-$B$6</f>
        <v>624.7198401818182</v>
      </c>
    </row>
    <row r="17" spans="1:13" x14ac:dyDescent="0.15">
      <c r="A17" s="86">
        <f>A16*1.15</f>
        <v>6.8999999999999995</v>
      </c>
      <c r="B17" s="87">
        <f>$A$17*B$13-$D$6</f>
        <v>131.25098499999979</v>
      </c>
      <c r="C17" s="87">
        <f>$A$17*C$13-$D$6</f>
        <v>338.25098499999979</v>
      </c>
      <c r="D17" s="87">
        <f>$A$17*D$13-$D$6</f>
        <v>476.25098499999979</v>
      </c>
      <c r="E17" s="87">
        <f>$A$17*E$13-$D$6</f>
        <v>614.25098499999979</v>
      </c>
      <c r="F17" s="87">
        <f>$A$17*F$13-$D$6</f>
        <v>821.25098499999956</v>
      </c>
      <c r="H17" s="86">
        <f>H16*1.15</f>
        <v>1.0349999999999999</v>
      </c>
      <c r="I17" s="87">
        <f>$H$17*$I$13-$B$6</f>
        <v>206.21984018181809</v>
      </c>
      <c r="J17" s="87">
        <f>$H$17*J13-$B$6</f>
        <v>392.51984018181815</v>
      </c>
      <c r="K17" s="87">
        <f>$H$17*K13-$B$6</f>
        <v>516.7198401818182</v>
      </c>
      <c r="L17" s="87">
        <f>$H$17*L13-$B$6</f>
        <v>640.91984018181802</v>
      </c>
      <c r="M17" s="87">
        <f>$H$17*M13-$B$6</f>
        <v>827.21984018181797</v>
      </c>
    </row>
    <row r="18" spans="1:13" x14ac:dyDescent="0.15">
      <c r="A18" s="88">
        <f>A16*1.3</f>
        <v>7.8000000000000007</v>
      </c>
      <c r="B18" s="89">
        <f>$A$18*B$13-$D$6</f>
        <v>266.25098499999979</v>
      </c>
      <c r="C18" s="89">
        <f>$A$18*C$13-$D$6</f>
        <v>500.25098500000001</v>
      </c>
      <c r="D18" s="89">
        <f>$A$18*D$13-$D$6</f>
        <v>656.25098500000001</v>
      </c>
      <c r="E18" s="89">
        <f>$A$18*E$13-$D$6</f>
        <v>812.25098500000024</v>
      </c>
      <c r="F18" s="89">
        <f>$A$18*F$13-$D$6</f>
        <v>1046.2509850000001</v>
      </c>
      <c r="H18" s="88">
        <f>H16*1.3</f>
        <v>1.1700000000000002</v>
      </c>
      <c r="I18" s="89">
        <f>$H$18*$I$13-$B$6</f>
        <v>327.71984018181843</v>
      </c>
      <c r="J18" s="89">
        <f>$H$18*J13-$B$6</f>
        <v>538.31984018181834</v>
      </c>
      <c r="K18" s="89">
        <f>$H$18*K13-$B$6</f>
        <v>678.71984018181843</v>
      </c>
      <c r="L18" s="89">
        <f>$H$18*L13-$B$6</f>
        <v>819.11984018181829</v>
      </c>
      <c r="M18" s="89">
        <f>$H$18*M13-$B$6</f>
        <v>1029.7198401818184</v>
      </c>
    </row>
    <row r="20" spans="1:13" x14ac:dyDescent="0.15">
      <c r="A20" s="465" t="s">
        <v>48</v>
      </c>
      <c r="B20" s="465"/>
      <c r="C20" s="465"/>
      <c r="D20" s="465"/>
      <c r="E20" s="465"/>
      <c r="F20" s="465"/>
      <c r="H20" s="466" t="s">
        <v>120</v>
      </c>
      <c r="I20" s="466"/>
      <c r="J20" s="466"/>
      <c r="K20" s="466"/>
      <c r="L20" s="466"/>
      <c r="M20" s="466"/>
    </row>
    <row r="21" spans="1:13" s="62" customFormat="1" ht="12" x14ac:dyDescent="0.15">
      <c r="A21" s="464" t="s">
        <v>36</v>
      </c>
      <c r="B21" s="464"/>
      <c r="C21" s="464"/>
      <c r="D21" s="464"/>
      <c r="E21" s="464"/>
      <c r="F21" s="464"/>
      <c r="H21" s="467" t="s">
        <v>36</v>
      </c>
      <c r="I21" s="467"/>
      <c r="J21" s="467"/>
      <c r="K21" s="467"/>
      <c r="L21" s="467"/>
      <c r="M21" s="467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15">
      <c r="A24" s="84">
        <f>A26*0.7</f>
        <v>4.0599999999999996</v>
      </c>
      <c r="B24" s="85">
        <f>$A$24*B$23-$F$6</f>
        <v>-184.1230450000001</v>
      </c>
      <c r="C24" s="85">
        <f>$A$24*C$23-$F$6</f>
        <v>-123.22304500000007</v>
      </c>
      <c r="D24" s="85">
        <f>$A$24*D$23-$F$6</f>
        <v>-82.623045000000104</v>
      </c>
      <c r="E24" s="85">
        <f>$A$24*E$23-$F$6</f>
        <v>-42.023045000000025</v>
      </c>
      <c r="F24" s="85">
        <f>$A$24*F$23-$F$6</f>
        <v>18.876954999999896</v>
      </c>
      <c r="H24" s="90">
        <f>H26*0.7</f>
        <v>308</v>
      </c>
      <c r="I24" s="85">
        <f>$H$24*I$23/2000-$C$6</f>
        <v>-190.09475500000008</v>
      </c>
      <c r="J24" s="85">
        <f>$H$24*J$23/2000-$C$6</f>
        <v>-81.524755000000141</v>
      </c>
      <c r="K24" s="85">
        <f>$H$24*K$23/2000-$C$6</f>
        <v>-9.1447550000001456</v>
      </c>
      <c r="L24" s="85">
        <f>$H$24*L$23/2000-$C$6</f>
        <v>63.23524499999985</v>
      </c>
      <c r="M24" s="85">
        <f>$H$24*M$23/2000-$C$6</f>
        <v>171.8052449999999</v>
      </c>
    </row>
    <row r="25" spans="1:13" x14ac:dyDescent="0.15">
      <c r="A25" s="86">
        <f>A26*0.85</f>
        <v>4.93</v>
      </c>
      <c r="B25" s="87">
        <f>$A$25*B$23-$F$6</f>
        <v>-118.87304500000005</v>
      </c>
      <c r="C25" s="87">
        <f>$A$25*C$23-$F$6</f>
        <v>-44.923045000000059</v>
      </c>
      <c r="D25" s="87">
        <f>$A$25*D$23-$F$6</f>
        <v>4.3769549999999526</v>
      </c>
      <c r="E25" s="87">
        <f>$A$25*E$23-$F$6</f>
        <v>53.676955000000021</v>
      </c>
      <c r="F25" s="87">
        <f>$A$25*F$23-$F$6</f>
        <v>127.62695499999995</v>
      </c>
      <c r="H25" s="91">
        <f>H26*0.85</f>
        <v>374</v>
      </c>
      <c r="I25" s="87">
        <f>$H$25*I$23/2000-$C$6</f>
        <v>-73.769755000000146</v>
      </c>
      <c r="J25" s="87">
        <f>$H$25*J$23/2000-$C$6</f>
        <v>58.065244999999891</v>
      </c>
      <c r="K25" s="87">
        <f>$H$25*K$23/2000-$C$6</f>
        <v>145.95524499999988</v>
      </c>
      <c r="L25" s="87">
        <f>$H$25*L$23/2000-$C$6</f>
        <v>233.84524499999986</v>
      </c>
      <c r="M25" s="87">
        <f>$H$25*M$23/2000-$C$6</f>
        <v>365.6802449999999</v>
      </c>
    </row>
    <row r="26" spans="1:13" x14ac:dyDescent="0.15">
      <c r="A26" s="86">
        <f>F4</f>
        <v>5.8</v>
      </c>
      <c r="B26" s="87">
        <f>$A$26*B$23-$F$6</f>
        <v>-53.623045000000047</v>
      </c>
      <c r="C26" s="87">
        <f>$A$26*C$23-$F$6</f>
        <v>33.376954999999953</v>
      </c>
      <c r="D26" s="87">
        <f>$A$26*D$23-$F$6</f>
        <v>91.376954999999953</v>
      </c>
      <c r="E26" s="87">
        <f>$A$26*E$23-$F$6</f>
        <v>149.37695500000007</v>
      </c>
      <c r="F26" s="87">
        <f>$A$26*F$23-$F$6</f>
        <v>236.37695499999995</v>
      </c>
      <c r="H26" s="91">
        <f>C4</f>
        <v>440</v>
      </c>
      <c r="I26" s="87">
        <f>$H$26*I$23/2000-$C$6</f>
        <v>42.5552449999999</v>
      </c>
      <c r="J26" s="87">
        <f>$H$26*J$23/2000-$C$6</f>
        <v>197.65524499999992</v>
      </c>
      <c r="K26" s="87">
        <f>$H$26*K$23/2000-$C$6</f>
        <v>301.0552449999999</v>
      </c>
      <c r="L26" s="87">
        <f>$H$26*L$23/2000-$C$6</f>
        <v>404.45524499999999</v>
      </c>
      <c r="M26" s="87">
        <f>$H$26*M$23/2000-$C$6</f>
        <v>559.5552449999999</v>
      </c>
    </row>
    <row r="27" spans="1:13" x14ac:dyDescent="0.15">
      <c r="A27" s="86">
        <f>A26*1.15</f>
        <v>6.669999999999999</v>
      </c>
      <c r="B27" s="87">
        <f>$A$27*B$23-$F$6</f>
        <v>11.626954999999896</v>
      </c>
      <c r="C27" s="87">
        <f>$A$27*C$23-$F$6</f>
        <v>111.67695499999991</v>
      </c>
      <c r="D27" s="87">
        <f>$A$27*D$23-$F$6</f>
        <v>178.37695499999984</v>
      </c>
      <c r="E27" s="87">
        <f>$A$27*E$23-$F$6</f>
        <v>245.076955</v>
      </c>
      <c r="F27" s="87">
        <f>$A$27*F$23-$F$6</f>
        <v>345.12695499999984</v>
      </c>
      <c r="H27" s="91">
        <f>H26*1.15</f>
        <v>505.99999999999994</v>
      </c>
      <c r="I27" s="87">
        <f>$H$27*I$23/2000-$C$6</f>
        <v>158.88024499999983</v>
      </c>
      <c r="J27" s="87">
        <f>$H$27*J$23/2000-$C$6</f>
        <v>337.24524499999973</v>
      </c>
      <c r="K27" s="87">
        <f>$H$27*K$23/2000-$C$6</f>
        <v>456.15524499999958</v>
      </c>
      <c r="L27" s="87">
        <f>$H$27*L$23/2000-$C$6</f>
        <v>575.06524499999966</v>
      </c>
      <c r="M27" s="87">
        <f>$H$27*M$23/2000-$C$6</f>
        <v>753.43024499999967</v>
      </c>
    </row>
    <row r="28" spans="1:13" x14ac:dyDescent="0.15">
      <c r="A28" s="88">
        <f>A26*1.3</f>
        <v>7.54</v>
      </c>
      <c r="B28" s="89">
        <f>$A$28*B$23-$F$6</f>
        <v>76.876954999999953</v>
      </c>
      <c r="C28" s="89">
        <f>$A$28*C$23-$F$6</f>
        <v>189.97695499999998</v>
      </c>
      <c r="D28" s="89">
        <f>$A$28*D$23-$F$6</f>
        <v>265.37695499999995</v>
      </c>
      <c r="E28" s="89">
        <f>$A$28*E$23-$F$6</f>
        <v>340.77695500000004</v>
      </c>
      <c r="F28" s="89">
        <f>$A$28*F$23-$F$6</f>
        <v>453.87695499999995</v>
      </c>
      <c r="H28" s="92">
        <f>H26*1.3</f>
        <v>572</v>
      </c>
      <c r="I28" s="89">
        <f>$H$28*I$23/2000-$C$6</f>
        <v>275.20524499999988</v>
      </c>
      <c r="J28" s="89">
        <f>$H$28*J$23/2000-$C$6</f>
        <v>476.83524499999987</v>
      </c>
      <c r="K28" s="89">
        <f>$H$28*K$23/2000-$C$6</f>
        <v>611.25524499999995</v>
      </c>
      <c r="L28" s="89">
        <f>$H$28*L$23/2000-$C$6</f>
        <v>745.67524499999979</v>
      </c>
      <c r="M28" s="89">
        <f>$H$28*M$23/2000-$C$6</f>
        <v>947.3052449999999</v>
      </c>
    </row>
    <row r="30" spans="1:13" x14ac:dyDescent="0.15">
      <c r="A30" s="465" t="s">
        <v>49</v>
      </c>
      <c r="B30" s="465"/>
      <c r="C30" s="465"/>
      <c r="D30" s="465"/>
      <c r="E30" s="465"/>
      <c r="F30" s="465"/>
      <c r="H30" s="465" t="s">
        <v>64</v>
      </c>
      <c r="I30" s="465"/>
      <c r="J30" s="465"/>
      <c r="K30" s="465"/>
      <c r="L30" s="465"/>
      <c r="M30" s="465"/>
    </row>
    <row r="31" spans="1:13" s="62" customFormat="1" ht="12" x14ac:dyDescent="0.15">
      <c r="A31" s="464" t="s">
        <v>36</v>
      </c>
      <c r="B31" s="464"/>
      <c r="C31" s="464"/>
      <c r="D31" s="464"/>
      <c r="E31" s="464"/>
      <c r="F31" s="464"/>
      <c r="H31" s="464" t="s">
        <v>36</v>
      </c>
      <c r="I31" s="464"/>
      <c r="J31" s="464"/>
      <c r="K31" s="464"/>
      <c r="L31" s="464"/>
      <c r="M31" s="464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15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  <c r="H33" s="83" t="s">
        <v>42</v>
      </c>
      <c r="I33" s="78">
        <f>0.75*K33</f>
        <v>56.25</v>
      </c>
      <c r="J33" s="78">
        <f>0.9*K33</f>
        <v>67.5</v>
      </c>
      <c r="K33" s="78">
        <f>G3</f>
        <v>75</v>
      </c>
      <c r="L33" s="78">
        <f>K33*1.1</f>
        <v>82.5</v>
      </c>
      <c r="M33" s="78">
        <f>K33*1.25</f>
        <v>93.75</v>
      </c>
    </row>
    <row r="34" spans="1:13" x14ac:dyDescent="0.15">
      <c r="A34" s="84">
        <f>A36*0.7</f>
        <v>8.0499999999999989</v>
      </c>
      <c r="B34" s="85">
        <f>$A$34*B$33-$E$6</f>
        <v>6.3424949999999285</v>
      </c>
      <c r="C34" s="85">
        <f>$A$34*C$33-$E$6</f>
        <v>78.792494999999917</v>
      </c>
      <c r="D34" s="85">
        <f>$A$34*D$33-$E$6</f>
        <v>127.09249499999993</v>
      </c>
      <c r="E34" s="85">
        <f>$A$34*E$33-$E$6</f>
        <v>175.39249499999994</v>
      </c>
      <c r="F34" s="85">
        <f>$A$34*F$33-$E$6</f>
        <v>247.84249499999987</v>
      </c>
      <c r="H34" s="84">
        <f>H36*0.7</f>
        <v>4.8999999999999995</v>
      </c>
      <c r="I34" s="85">
        <f>$H$34*I$33-$G$6</f>
        <v>-181.89412312500002</v>
      </c>
      <c r="J34" s="85">
        <f>$H$34*J$33-$G$6</f>
        <v>-126.76912312500002</v>
      </c>
      <c r="K34" s="85">
        <f>$H$34*K$33-$G$6</f>
        <v>-90.019123125000021</v>
      </c>
      <c r="L34" s="85">
        <f>$H$34*L$33-$G$6</f>
        <v>-53.269123125000021</v>
      </c>
      <c r="M34" s="85">
        <f>$H$34*M$33-$G$6</f>
        <v>1.8558768749999786</v>
      </c>
    </row>
    <row r="35" spans="1:13" x14ac:dyDescent="0.15">
      <c r="A35" s="86">
        <f>A36*0.85</f>
        <v>9.7750000000000004</v>
      </c>
      <c r="B35" s="87">
        <f>$A$35*B$33-$E$6</f>
        <v>83.967494999999985</v>
      </c>
      <c r="C35" s="87">
        <f>$A$35*C$33-$E$6</f>
        <v>171.94249500000001</v>
      </c>
      <c r="D35" s="87">
        <f>$A$35*D$33-$E$6</f>
        <v>230.59249499999999</v>
      </c>
      <c r="E35" s="87">
        <f>$A$35*E$33-$E$6</f>
        <v>289.24249499999996</v>
      </c>
      <c r="F35" s="87">
        <f>$A$35*F$33-$E$6</f>
        <v>377.21749499999999</v>
      </c>
      <c r="H35" s="86">
        <f>H36*0.85</f>
        <v>5.95</v>
      </c>
      <c r="I35" s="87">
        <f>$H$35*I$33-$G$6</f>
        <v>-122.83162312499996</v>
      </c>
      <c r="J35" s="87">
        <f>$H$35*J$33-$G$6</f>
        <v>-55.894123124999965</v>
      </c>
      <c r="K35" s="87">
        <f>$H$35*K$33-$G$6</f>
        <v>-11.269123124999965</v>
      </c>
      <c r="L35" s="87">
        <f>$H$35*L$33-$G$6</f>
        <v>33.355876875000035</v>
      </c>
      <c r="M35" s="87">
        <f>$H$35*M$33-$G$6</f>
        <v>100.29337687500004</v>
      </c>
    </row>
    <row r="36" spans="1:13" x14ac:dyDescent="0.15">
      <c r="A36" s="86">
        <f>E4</f>
        <v>11.5</v>
      </c>
      <c r="B36" s="87">
        <f>$A$36*B$33-$E$6</f>
        <v>161.59249499999999</v>
      </c>
      <c r="C36" s="87">
        <f>$A$36*C$33-$E$6</f>
        <v>265.09249499999999</v>
      </c>
      <c r="D36" s="87">
        <f>$A$36*D$33-$E$6</f>
        <v>334.09249499999999</v>
      </c>
      <c r="E36" s="87">
        <f>$A$36*E$33-$E$6</f>
        <v>403.09249499999999</v>
      </c>
      <c r="F36" s="87">
        <f>$A$36*F$33-$E$6</f>
        <v>506.59249499999999</v>
      </c>
      <c r="H36" s="86">
        <f>G4</f>
        <v>7</v>
      </c>
      <c r="I36" s="87">
        <f>$H$36*I$33-$G$6</f>
        <v>-63.769123124999965</v>
      </c>
      <c r="J36" s="87">
        <f>$H$36*J$33-$G$6</f>
        <v>14.980876875000035</v>
      </c>
      <c r="K36" s="87">
        <f>$H$36*K$33-$G$6</f>
        <v>67.480876875000035</v>
      </c>
      <c r="L36" s="87">
        <f>$H$36*L$33-$G$6</f>
        <v>119.98087687500004</v>
      </c>
      <c r="M36" s="87">
        <f>$H$36*M$33-$G$6</f>
        <v>198.73087687500004</v>
      </c>
    </row>
    <row r="37" spans="1:13" x14ac:dyDescent="0.15">
      <c r="A37" s="86">
        <f>A36*1.15</f>
        <v>13.225</v>
      </c>
      <c r="B37" s="87">
        <f>$A$37*B$33-$E$6</f>
        <v>239.21749499999999</v>
      </c>
      <c r="C37" s="87">
        <f>$A$37*C$33-$E$6</f>
        <v>358.24249499999996</v>
      </c>
      <c r="D37" s="87">
        <f>$A$37*D$33-$E$6</f>
        <v>437.59249499999999</v>
      </c>
      <c r="E37" s="87">
        <f>$A$37*E$33-$E$6</f>
        <v>516.94249500000001</v>
      </c>
      <c r="F37" s="87">
        <f>$A$37*F$33-$E$6</f>
        <v>635.96749499999999</v>
      </c>
      <c r="H37" s="86">
        <f>H36*1.15</f>
        <v>8.0499999999999989</v>
      </c>
      <c r="I37" s="87">
        <f>$H$37*I$33-$G$6</f>
        <v>-4.7066231250000214</v>
      </c>
      <c r="J37" s="87">
        <f>$H$37*J$33-$G$6</f>
        <v>85.855876874999922</v>
      </c>
      <c r="K37" s="87">
        <f>$H$37*K$33-$G$6</f>
        <v>146.23087687499992</v>
      </c>
      <c r="L37" s="87">
        <f>$H$37*L$33-$G$6</f>
        <v>206.60587687499992</v>
      </c>
      <c r="M37" s="87">
        <f>$H$37*M$33-$G$6</f>
        <v>297.16837687499992</v>
      </c>
    </row>
    <row r="38" spans="1:13" x14ac:dyDescent="0.15">
      <c r="A38" s="88">
        <f>A36*1.3</f>
        <v>14.950000000000001</v>
      </c>
      <c r="B38" s="89">
        <f>$A$38*B$33-$E$6</f>
        <v>316.84249499999999</v>
      </c>
      <c r="C38" s="89">
        <f>$A$38*C$33-$E$6</f>
        <v>451.39249500000005</v>
      </c>
      <c r="D38" s="89">
        <f>$A$38*D$33-$E$6</f>
        <v>541.0924950000001</v>
      </c>
      <c r="E38" s="89">
        <f>$A$38*E$33-$E$6</f>
        <v>630.79249500000003</v>
      </c>
      <c r="F38" s="89">
        <f>$A$38*F$33-$E$6</f>
        <v>765.34249499999999</v>
      </c>
      <c r="H38" s="88">
        <f>H36*1.3</f>
        <v>9.1</v>
      </c>
      <c r="I38" s="89">
        <f>$H$38*I$33-$G$6</f>
        <v>54.355876875000035</v>
      </c>
      <c r="J38" s="89">
        <f>$H$38*J$33-$G$6</f>
        <v>156.73087687500004</v>
      </c>
      <c r="K38" s="89">
        <f>$H$38*K$33-$G$6</f>
        <v>224.98087687500004</v>
      </c>
      <c r="L38" s="89">
        <f>$H$38*L$33-$G$6</f>
        <v>293.23087687500004</v>
      </c>
      <c r="M38" s="89">
        <f>$H$38*M$33-$G$6</f>
        <v>395.60587687500004</v>
      </c>
    </row>
    <row r="39" spans="1:13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5">
    <mergeCell ref="A10:F10"/>
    <mergeCell ref="A11:F11"/>
    <mergeCell ref="H11:M11"/>
    <mergeCell ref="B1:G1"/>
    <mergeCell ref="H10:M10"/>
    <mergeCell ref="A7:M7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 xml:space="preserve">&amp;L&amp;G&amp;C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Sheet1</vt:lpstr>
      <vt:lpstr>Conventional</vt:lpstr>
      <vt:lpstr>Prices</vt:lpstr>
      <vt:lpstr>Strip-Till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Microsoft Office User</cp:lastModifiedBy>
  <cp:lastPrinted>2019-03-04T16:28:48Z</cp:lastPrinted>
  <dcterms:created xsi:type="dcterms:W3CDTF">2007-11-26T00:37:18Z</dcterms:created>
  <dcterms:modified xsi:type="dcterms:W3CDTF">2022-01-28T21:09:38Z</dcterms:modified>
</cp:coreProperties>
</file>