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ziehl/Desktop/2022 M&amp;B/"/>
    </mc:Choice>
  </mc:AlternateContent>
  <xr:revisionPtr revIDLastSave="0" documentId="13_ncr:1_{3C280E9D-AB22-284D-AE10-D91008BA9A74}" xr6:coauthVersionLast="47" xr6:coauthVersionMax="47" xr10:uidLastSave="{00000000-0000-0000-0000-000000000000}"/>
  <bookViews>
    <workbookView xWindow="11140" yWindow="500" windowWidth="35000" windowHeight="1940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J22" i="2"/>
  <c r="H22" i="2"/>
  <c r="F22" i="2"/>
  <c r="D22" i="2"/>
  <c r="B22" i="2"/>
  <c r="J21" i="1"/>
  <c r="H21" i="1"/>
  <c r="F21" i="1"/>
  <c r="D21" i="1"/>
  <c r="B21" i="1"/>
  <c r="B23" i="17" l="1"/>
  <c r="B36" i="2"/>
  <c r="B21" i="2"/>
  <c r="L16" i="2"/>
  <c r="B16" i="2"/>
  <c r="L35" i="1"/>
  <c r="B35" i="1"/>
  <c r="L20" i="1"/>
  <c r="B20" i="1"/>
  <c r="B15" i="1"/>
  <c r="L15" i="1"/>
  <c r="L13" i="1"/>
  <c r="B13" i="1"/>
  <c r="D36" i="2"/>
  <c r="N36" i="2"/>
  <c r="D21" i="2"/>
  <c r="N21" i="2"/>
  <c r="N16" i="2"/>
  <c r="D16" i="2"/>
  <c r="D14" i="2"/>
  <c r="N14" i="2"/>
  <c r="D35" i="1"/>
  <c r="N35" i="1"/>
  <c r="D20" i="1"/>
  <c r="N20" i="1"/>
  <c r="N19" i="1"/>
  <c r="D19" i="1"/>
  <c r="N15" i="1"/>
  <c r="D15" i="1"/>
  <c r="N13" i="1"/>
  <c r="D13" i="1"/>
  <c r="H36" i="2"/>
  <c r="R36" i="2"/>
  <c r="R21" i="2"/>
  <c r="H21" i="2"/>
  <c r="R16" i="2"/>
  <c r="H16" i="2"/>
  <c r="R11" i="2"/>
  <c r="H11" i="2"/>
  <c r="R35" i="1"/>
  <c r="H35" i="1"/>
  <c r="R20" i="1"/>
  <c r="H20" i="1"/>
  <c r="R15" i="1"/>
  <c r="H15" i="1"/>
  <c r="J15" i="1"/>
  <c r="R13" i="1"/>
  <c r="H13" i="1"/>
  <c r="R11" i="1"/>
  <c r="H11" i="1"/>
  <c r="T35" i="1"/>
  <c r="T20" i="1"/>
  <c r="T15" i="1"/>
  <c r="T13" i="1"/>
  <c r="T21" i="2"/>
  <c r="T16" i="2"/>
  <c r="J36" i="2"/>
  <c r="J23" i="2"/>
  <c r="J21" i="2"/>
  <c r="J16" i="2"/>
  <c r="J35" i="1"/>
  <c r="J20" i="1"/>
  <c r="J13" i="1"/>
  <c r="P36" i="2"/>
  <c r="P21" i="2"/>
  <c r="P16" i="2"/>
  <c r="P35" i="1"/>
  <c r="P22" i="1"/>
  <c r="P20" i="1"/>
  <c r="P15" i="1"/>
  <c r="P13" i="1"/>
  <c r="F36" i="2"/>
  <c r="F21" i="2"/>
  <c r="F16" i="2"/>
  <c r="F11" i="2"/>
  <c r="F35" i="1"/>
  <c r="F20" i="1"/>
  <c r="F15" i="1"/>
  <c r="F13" i="1"/>
  <c r="V35" i="1" l="1"/>
  <c r="V20" i="1"/>
  <c r="V15" i="1"/>
  <c r="V13" i="1"/>
  <c r="X35" i="1"/>
  <c r="X20" i="1"/>
  <c r="X19" i="1"/>
  <c r="X15" i="1"/>
  <c r="X13" i="1"/>
  <c r="X11" i="1"/>
  <c r="T36" i="2"/>
  <c r="L36" i="2"/>
  <c r="A23" i="17" l="1"/>
  <c r="A12" i="17"/>
  <c r="F8" i="2"/>
  <c r="L27" i="1" l="1"/>
  <c r="B27" i="1"/>
  <c r="B28" i="2"/>
  <c r="L28" i="2"/>
  <c r="B19" i="1"/>
  <c r="L19" i="1"/>
  <c r="B12" i="1"/>
  <c r="B26" i="1" l="1"/>
  <c r="J8" i="2" l="1"/>
  <c r="H8" i="2"/>
  <c r="T19" i="1" l="1"/>
  <c r="T26" i="1" s="1"/>
  <c r="H24" i="2" l="1"/>
  <c r="H19" i="1" l="1"/>
  <c r="H26" i="1" s="1"/>
  <c r="R19" i="1"/>
  <c r="R26" i="1" s="1"/>
  <c r="D26" i="1" l="1"/>
  <c r="D48" i="2" l="1"/>
  <c r="N24" i="2" l="1"/>
  <c r="P24" i="2"/>
  <c r="D24" i="2"/>
  <c r="F24" i="2"/>
  <c r="D4" i="9"/>
  <c r="T24" i="2"/>
  <c r="L24" i="2"/>
  <c r="J24" i="2"/>
  <c r="B24" i="2"/>
  <c r="P19" i="1"/>
  <c r="P26" i="1" s="1"/>
  <c r="F19" i="1"/>
  <c r="F26" i="1" s="1"/>
  <c r="X26" i="1"/>
  <c r="V19" i="1"/>
  <c r="V26" i="1" s="1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26" i="1"/>
  <c r="N7" i="1"/>
  <c r="N28" i="1" s="1"/>
  <c r="L12" i="1"/>
  <c r="L26" i="1" s="1"/>
  <c r="L8" i="1"/>
  <c r="L9" i="1" s="1"/>
  <c r="J19" i="1"/>
  <c r="J26" i="1" s="1"/>
  <c r="J28" i="1"/>
  <c r="F28" i="1"/>
  <c r="D7" i="1"/>
  <c r="B269" i="11" s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K13" i="3" s="1"/>
  <c r="I13" i="3" s="1"/>
  <c r="B2" i="3"/>
  <c r="C2" i="3"/>
  <c r="D2" i="3"/>
  <c r="E2" i="3"/>
  <c r="F2" i="3"/>
  <c r="G2" i="3"/>
  <c r="V9" i="1"/>
  <c r="H9" i="1"/>
  <c r="B9" i="1"/>
  <c r="F9" i="1"/>
  <c r="B270" i="16"/>
  <c r="B134" i="11"/>
  <c r="F4" i="7"/>
  <c r="A26" i="7" s="1"/>
  <c r="J9" i="1"/>
  <c r="B371" i="11"/>
  <c r="B202" i="11"/>
  <c r="F9" i="2"/>
  <c r="C25" i="10"/>
  <c r="B32" i="11"/>
  <c r="B133" i="11" l="1"/>
  <c r="B269" i="16"/>
  <c r="B201" i="11"/>
  <c r="C4" i="10"/>
  <c r="C3" i="9"/>
  <c r="K23" i="9" s="1"/>
  <c r="I23" i="9" s="1"/>
  <c r="D28" i="1"/>
  <c r="B167" i="11"/>
  <c r="B371" i="16"/>
  <c r="C3" i="7"/>
  <c r="K23" i="7" s="1"/>
  <c r="L23" i="7" s="1"/>
  <c r="B31" i="11"/>
  <c r="B133" i="16"/>
  <c r="N20" i="2"/>
  <c r="D20" i="2"/>
  <c r="H14" i="2"/>
  <c r="R14" i="2"/>
  <c r="B14" i="2"/>
  <c r="T14" i="2"/>
  <c r="L14" i="2"/>
  <c r="J14" i="2"/>
  <c r="F14" i="2"/>
  <c r="P14" i="2"/>
  <c r="C46" i="10"/>
  <c r="B31" i="16"/>
  <c r="B201" i="16"/>
  <c r="B167" i="16"/>
  <c r="B168" i="16"/>
  <c r="L20" i="2"/>
  <c r="B20" i="2"/>
  <c r="X30" i="1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L30" i="1"/>
  <c r="D29" i="1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B40" i="10" s="1"/>
  <c r="D4" i="8"/>
  <c r="D5" i="8" s="1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E5" i="8"/>
  <c r="N55" i="10"/>
  <c r="N54" i="10" s="1"/>
  <c r="N53" i="10" s="1"/>
  <c r="E5" i="9"/>
  <c r="D5" i="9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T38" i="10"/>
  <c r="R20" i="2"/>
  <c r="P20" i="2"/>
  <c r="J30" i="1"/>
  <c r="H20" i="2"/>
  <c r="N27" i="2"/>
  <c r="V30" i="1"/>
  <c r="F20" i="2"/>
  <c r="J20" i="2"/>
  <c r="D30" i="2"/>
  <c r="B28" i="17"/>
  <c r="R30" i="1"/>
  <c r="T20" i="2"/>
  <c r="I23" i="7" l="1"/>
  <c r="J23" i="7"/>
  <c r="M23" i="7"/>
  <c r="M23" i="9"/>
  <c r="L23" i="9"/>
  <c r="D30" i="1"/>
  <c r="C3" i="10" s="1"/>
  <c r="C18" i="10" s="1"/>
  <c r="J23" i="9"/>
  <c r="P27" i="2"/>
  <c r="P31" i="2" s="1"/>
  <c r="J27" i="2"/>
  <c r="J31" i="2" s="1"/>
  <c r="B27" i="2"/>
  <c r="B31" i="2" s="1"/>
  <c r="D27" i="2"/>
  <c r="D31" i="2" s="1"/>
  <c r="F27" i="2"/>
  <c r="F31" i="2" s="1"/>
  <c r="T27" i="2"/>
  <c r="T31" i="2" s="1"/>
  <c r="R27" i="2"/>
  <c r="R31" i="2" s="1"/>
  <c r="L27" i="2"/>
  <c r="L31" i="2" s="1"/>
  <c r="H27" i="2"/>
  <c r="H31" i="2" s="1"/>
  <c r="B6" i="3"/>
  <c r="I16" i="3" s="1"/>
  <c r="L33" i="1"/>
  <c r="L31" i="1"/>
  <c r="B24" i="10"/>
  <c r="L32" i="1"/>
  <c r="L38" i="1"/>
  <c r="L39" i="1" s="1"/>
  <c r="L41" i="1" s="1"/>
  <c r="L45" i="1" s="1"/>
  <c r="A37" i="3"/>
  <c r="A37" i="8"/>
  <c r="L23" i="8"/>
  <c r="M23" i="8"/>
  <c r="I23" i="8"/>
  <c r="E6" i="7"/>
  <c r="B38" i="7" s="1"/>
  <c r="E3" i="10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B31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10"/>
  <c r="B41" i="10"/>
  <c r="B11" i="10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T61" i="10"/>
  <c r="B19" i="10"/>
  <c r="N10" i="10"/>
  <c r="H45" i="1"/>
  <c r="H42" i="1"/>
  <c r="H44" i="1"/>
  <c r="D9" i="2"/>
  <c r="C4" i="9"/>
  <c r="C5" i="9" s="1"/>
  <c r="T31" i="10"/>
  <c r="F32" i="1"/>
  <c r="F33" i="1"/>
  <c r="D6" i="7"/>
  <c r="B15" i="7" s="1"/>
  <c r="F31" i="1"/>
  <c r="F38" i="1"/>
  <c r="F39" i="1" s="1"/>
  <c r="F41" i="1" s="1"/>
  <c r="D3" i="10"/>
  <c r="N52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C17" i="10" l="1"/>
  <c r="D38" i="1"/>
  <c r="D39" i="1" s="1"/>
  <c r="D41" i="1" s="1"/>
  <c r="D45" i="1" s="1"/>
  <c r="C6" i="7"/>
  <c r="C12" i="10"/>
  <c r="C13" i="10"/>
  <c r="R12" i="10"/>
  <c r="C15" i="10"/>
  <c r="D32" i="1"/>
  <c r="C14" i="10"/>
  <c r="D33" i="1"/>
  <c r="C16" i="10"/>
  <c r="J16" i="3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D42" i="1" l="1"/>
  <c r="D44" i="1"/>
  <c r="R39" i="10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<sst xmlns="http://schemas.openxmlformats.org/spreadsheetml/2006/main" count="793" uniqueCount="196">
  <si>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</si>
  <si>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</si>
  <si>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</si>
  <si>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</si>
  <si>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</si>
  <si>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</si>
  <si>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</si>
  <si>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</si>
  <si>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</si>
  <si>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</si>
  <si>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</si>
  <si>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</si>
  <si>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</si>
  <si>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</si>
  <si>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</si>
  <si>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</si>
  <si>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</si>
  <si>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</si>
  <si>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</si>
  <si>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</si>
  <si>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</si>
  <si>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</si>
  <si>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</si>
  <si>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</si>
  <si>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</si>
  <si>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</si>
  <si>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</si>
  <si>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</si>
  <si>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</si>
  <si>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</si>
  <si>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</si>
  <si>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</si>
  <si>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</si>
  <si>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</si>
  <si>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</si>
  <si>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</si>
  <si>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</si>
  <si>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</si>
  <si>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</si>
  <si>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</si>
  <si>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</si>
  <si>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</si>
  <si>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</si>
  <si>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</si>
  <si>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</si>
  <si>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</si>
  <si>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</si>
  <si>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</si>
  <si>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</si>
  <si>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</si>
  <si>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</si>
  <si>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</si>
  <si>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</si>
  <si>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</si>
  <si>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</si>
  <si>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</si>
  <si>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</si>
  <si>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</si>
  <si>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</si>
  <si>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</si>
  <si>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</si>
  <si>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</si>
  <si>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</si>
  <si>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</si>
  <si>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</si>
  <si>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</si>
  <si>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</si>
  <si>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</si>
  <si>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</si>
  <si>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</si>
  <si>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</si>
  <si>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</si>
  <si>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</si>
  <si>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</si>
  <si>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</si>
  <si>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</si>
  <si>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</si>
  <si>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</si>
  <si>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</si>
  <si>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</si>
  <si>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</si>
  <si>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</si>
  <si>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</si>
  <si>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</si>
  <si>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</si>
  <si>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</si>
  <si>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</si>
  <si>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</si>
  <si>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</si>
  <si>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</si>
  <si>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</si>
  <si>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</si>
  <si>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</si>
  <si>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</si>
  <si>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</si>
  <si>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</si>
  <si>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</si>
  <si>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</si>
  <si>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</si>
  <si>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</si>
  <si>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</si>
  <si>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</si>
  <si>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</si>
  <si>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</si>
  <si>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</si>
  <si>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</si>
  <si>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</si>
  <si>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</si>
  <si>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</si>
  <si>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</si>
  <si>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</si>
  <si>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</si>
  <si>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</si>
  <si>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</si>
  <si>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</si>
  <si>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</si>
  <si>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</si>
  <si>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</si>
  <si>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</si>
  <si>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</si>
  <si>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</si>
  <si>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</si>
  <si>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</si>
  <si>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</si>
  <si>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</si>
  <si>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</si>
  <si>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</si>
  <si>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</si>
  <si>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</si>
  <si>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</si>
  <si>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</si>
  <si>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</si>
  <si>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</si>
  <si>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</si>
  <si>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</si>
  <si>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</si>
  <si>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</si>
  <si>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</si>
  <si>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</si>
  <si>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</si>
  <si>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</si>
  <si>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</si>
  <si>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</si>
  <si>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</si>
  <si>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</si>
  <si>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</si>
  <si>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</si>
  <si>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</si>
  <si>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</si>
  <si>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</si>
  <si>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</si>
  <si>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</si>
  <si>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</si>
  <si>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</si>
  <si>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</si>
  <si>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</si>
  <si>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</si>
  <si>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</si>
  <si>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</si>
  <si>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</si>
  <si>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</si>
  <si>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</si>
  <si>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</si>
  <si>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</si>
  <si>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</si>
  <si>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</si>
  <si>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</si>
  <si>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</si>
  <si>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</si>
  <si>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</si>
  <si>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</si>
  <si>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</si>
  <si>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</si>
  <si>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</si>
  <si>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</si>
  <si>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</si>
  <si>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</si>
  <si>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</si>
  <si>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</si>
  <si>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</si>
  <si>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</si>
  <si>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</si>
  <si>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</si>
  <si>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</si>
  <si>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</si>
  <si>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</si>
  <si>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</si>
  <si>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</si>
  <si>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</si>
  <si>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</si>
  <si>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 and Yangxuan Liu, UGA Extension Economists, Department of Agricultural &amp; Applied Economics</t>
  </si>
  <si>
    <t>Estimate of 2022 Relative Row Crop Costs and Net Returns</t>
  </si>
  <si>
    <t>[[Due to extreme volatility in input markets, prices may change rapidly.  You are encouraged to enter your own prices to best estimate your 2022 cost of production.]]</t>
  </si>
  <si>
    <t>[[Due to extreme volatility in input markets, prices may change rapidly.  You should enter your own prices to best estimate your 2022 cost of production.]]</t>
  </si>
  <si>
    <t>Mar 2022</t>
  </si>
  <si>
    <t>*** Weighted average of diesel and electric irrigation application costs.  Electric is estimated at $7/appl and diesel is estimated at $16.50/appl when diesel cost $4/gal.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</si>
</sst>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3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169" fontId="14" fillId="8" borderId="0" xfId="0" applyNumberFormat="1" applyFont="1" applyFill="1"/>
    <xf numFmtId="0" fontId="13" fillId="8" borderId="0" xfId="0" applyFont="1" applyFill="1" applyAlignment="1">
      <alignment wrapText="1"/>
    </xf>
    <xf numFmtId="0" fontId="13" fillId="8" borderId="10" xfId="0" applyFont="1" applyFill="1" applyBorder="1" applyAlignment="1">
      <alignment wrapText="1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66" fontId="13" fillId="8" borderId="69" xfId="0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12" borderId="0" xfId="0" applyFont="1" applyFill="1" applyAlignment="1">
      <alignment horizontal="center" wrapText="1"/>
    </xf>
    <xf numFmtId="0" fontId="13" fillId="12" borderId="10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11" fillId="12" borderId="0" xfId="0" applyFont="1" applyFill="1" applyAlignment="1">
      <alignment horizontal="center" wrapText="1"/>
    </xf>
    <xf numFmtId="0" fontId="11" fillId="12" borderId="10" xfId="0" applyFont="1" applyFill="1" applyBorder="1" applyAlignment="1">
      <alignment horizontal="center" wrapText="1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392.85013029013527</c:v>
                </c:pt>
                <c:pt idx="1">
                  <c:v>405.61608773694383</c:v>
                </c:pt>
                <c:pt idx="2">
                  <c:v>418.38204518375227</c:v>
                </c:pt>
                <c:pt idx="3">
                  <c:v>431.14800263056088</c:v>
                </c:pt>
                <c:pt idx="4">
                  <c:v>443.91396007736932</c:v>
                </c:pt>
                <c:pt idx="5">
                  <c:v>456.67991752417794</c:v>
                </c:pt>
                <c:pt idx="6">
                  <c:v>469.44587497098644</c:v>
                </c:pt>
                <c:pt idx="7">
                  <c:v>482.21183241779499</c:v>
                </c:pt>
                <c:pt idx="8">
                  <c:v>494.97778986460344</c:v>
                </c:pt>
                <c:pt idx="9">
                  <c:v>507.74374731141194</c:v>
                </c:pt>
                <c:pt idx="10">
                  <c:v>520.50970475822044</c:v>
                </c:pt>
                <c:pt idx="11">
                  <c:v>533.27566220502888</c:v>
                </c:pt>
                <c:pt idx="12">
                  <c:v>546.04161965183744</c:v>
                </c:pt>
                <c:pt idx="13">
                  <c:v>558.80757709864577</c:v>
                </c:pt>
                <c:pt idx="14">
                  <c:v>571.57353454545432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365.5475496991977</c:v>
                </c:pt>
                <c:pt idx="1">
                  <c:v>376.57696146390361</c:v>
                </c:pt>
                <c:pt idx="2">
                  <c:v>387.60637322860953</c:v>
                </c:pt>
                <c:pt idx="3">
                  <c:v>398.63578499331538</c:v>
                </c:pt>
                <c:pt idx="4">
                  <c:v>409.66519675802124</c:v>
                </c:pt>
                <c:pt idx="5">
                  <c:v>420.69460852272715</c:v>
                </c:pt>
                <c:pt idx="6">
                  <c:v>431.72402028743312</c:v>
                </c:pt>
                <c:pt idx="7">
                  <c:v>442.75343205213898</c:v>
                </c:pt>
                <c:pt idx="8">
                  <c:v>453.78284381684489</c:v>
                </c:pt>
                <c:pt idx="9">
                  <c:v>464.81225558155074</c:v>
                </c:pt>
                <c:pt idx="10">
                  <c:v>475.84166734625654</c:v>
                </c:pt>
                <c:pt idx="11">
                  <c:v>486.87107911096246</c:v>
                </c:pt>
                <c:pt idx="12">
                  <c:v>497.90049087566825</c:v>
                </c:pt>
                <c:pt idx="13">
                  <c:v>508.92990264037417</c:v>
                </c:pt>
                <c:pt idx="14">
                  <c:v>519.95931440507991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0.85095635668181824</c:v>
                </c:pt>
                <c:pt idx="1">
                  <c:v>0.8684563566818182</c:v>
                </c:pt>
                <c:pt idx="2">
                  <c:v>0.88595635668181827</c:v>
                </c:pt>
                <c:pt idx="3">
                  <c:v>0.90345635668181823</c:v>
                </c:pt>
                <c:pt idx="4">
                  <c:v>0.92095635668181819</c:v>
                </c:pt>
                <c:pt idx="5">
                  <c:v>0.93845635668181826</c:v>
                </c:pt>
                <c:pt idx="6">
                  <c:v>0.95595635668181822</c:v>
                </c:pt>
                <c:pt idx="7">
                  <c:v>0.97345635668181818</c:v>
                </c:pt>
                <c:pt idx="8">
                  <c:v>0.99095635668181825</c:v>
                </c:pt>
                <c:pt idx="9">
                  <c:v>1.0084563566818183</c:v>
                </c:pt>
                <c:pt idx="10">
                  <c:v>1.0259563566818179</c:v>
                </c:pt>
                <c:pt idx="11">
                  <c:v>1.043456356681818</c:v>
                </c:pt>
                <c:pt idx="12">
                  <c:v>1.0609563566818181</c:v>
                </c:pt>
                <c:pt idx="13">
                  <c:v>1.0784563566818179</c:v>
                </c:pt>
                <c:pt idx="14">
                  <c:v>1.095956356681818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0.83674930698181837</c:v>
                </c:pt>
                <c:pt idx="1">
                  <c:v>0.85074930698181839</c:v>
                </c:pt>
                <c:pt idx="2">
                  <c:v>0.86474930698181829</c:v>
                </c:pt>
                <c:pt idx="3">
                  <c:v>0.8787493069818183</c:v>
                </c:pt>
                <c:pt idx="4">
                  <c:v>0.89274930698181831</c:v>
                </c:pt>
                <c:pt idx="5">
                  <c:v>0.90674930698181833</c:v>
                </c:pt>
                <c:pt idx="6">
                  <c:v>0.92074930698181834</c:v>
                </c:pt>
                <c:pt idx="7">
                  <c:v>0.93474930698181835</c:v>
                </c:pt>
                <c:pt idx="8">
                  <c:v>0.94874930698181836</c:v>
                </c:pt>
                <c:pt idx="9">
                  <c:v>0.96274930698181838</c:v>
                </c:pt>
                <c:pt idx="10">
                  <c:v>0.97674930698181817</c:v>
                </c:pt>
                <c:pt idx="11">
                  <c:v>0.99074930698181818</c:v>
                </c:pt>
                <c:pt idx="12">
                  <c:v>1.0047493069818181</c:v>
                </c:pt>
                <c:pt idx="13">
                  <c:v>1.0187493069818181</c:v>
                </c:pt>
                <c:pt idx="14">
                  <c:v>1.0327493069818181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431.63635497872338</c:v>
                </c:pt>
                <c:pt idx="1">
                  <c:v>440.57252519148938</c:v>
                </c:pt>
                <c:pt idx="2">
                  <c:v>449.50869540425532</c:v>
                </c:pt>
                <c:pt idx="3">
                  <c:v>458.44486561702132</c:v>
                </c:pt>
                <c:pt idx="4">
                  <c:v>467.38103582978727</c:v>
                </c:pt>
                <c:pt idx="5">
                  <c:v>476.31720604255315</c:v>
                </c:pt>
                <c:pt idx="6">
                  <c:v>485.25337625531915</c:v>
                </c:pt>
                <c:pt idx="7">
                  <c:v>494.1895464680851</c:v>
                </c:pt>
                <c:pt idx="8">
                  <c:v>503.12571668085104</c:v>
                </c:pt>
                <c:pt idx="9">
                  <c:v>512.06188689361693</c:v>
                </c:pt>
                <c:pt idx="10">
                  <c:v>520.99805710638293</c:v>
                </c:pt>
                <c:pt idx="11">
                  <c:v>529.93422731914882</c:v>
                </c:pt>
                <c:pt idx="12">
                  <c:v>538.87039753191482</c:v>
                </c:pt>
                <c:pt idx="13">
                  <c:v>547.80656774468071</c:v>
                </c:pt>
                <c:pt idx="14">
                  <c:v>556.74273795744671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392.78989101470592</c:v>
                </c:pt>
                <c:pt idx="1">
                  <c:v>398.96636160294116</c:v>
                </c:pt>
                <c:pt idx="2">
                  <c:v>405.14283219117647</c:v>
                </c:pt>
                <c:pt idx="3">
                  <c:v>411.31930277941177</c:v>
                </c:pt>
                <c:pt idx="4">
                  <c:v>417.49577336764708</c:v>
                </c:pt>
                <c:pt idx="5">
                  <c:v>423.67224395588238</c:v>
                </c:pt>
                <c:pt idx="6">
                  <c:v>429.84871454411768</c:v>
                </c:pt>
                <c:pt idx="7">
                  <c:v>436.02518513235293</c:v>
                </c:pt>
                <c:pt idx="8">
                  <c:v>442.20165572058823</c:v>
                </c:pt>
                <c:pt idx="9">
                  <c:v>448.37812630882354</c:v>
                </c:pt>
                <c:pt idx="10">
                  <c:v>454.55459689705879</c:v>
                </c:pt>
                <c:pt idx="11">
                  <c:v>460.73106748529409</c:v>
                </c:pt>
                <c:pt idx="12">
                  <c:v>466.90753807352934</c:v>
                </c:pt>
                <c:pt idx="13">
                  <c:v>473.08400866176464</c:v>
                </c:pt>
                <c:pt idx="14">
                  <c:v>479.26047924999995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6.0325262710000018</c:v>
                </c:pt>
                <c:pt idx="1">
                  <c:v>6.1375262710000014</c:v>
                </c:pt>
                <c:pt idx="2">
                  <c:v>6.2425262710000018</c:v>
                </c:pt>
                <c:pt idx="3">
                  <c:v>6.3475262710000013</c:v>
                </c:pt>
                <c:pt idx="4">
                  <c:v>6.4525262710000018</c:v>
                </c:pt>
                <c:pt idx="5">
                  <c:v>6.5575262710000004</c:v>
                </c:pt>
                <c:pt idx="6">
                  <c:v>6.6625262710000008</c:v>
                </c:pt>
                <c:pt idx="7">
                  <c:v>6.7675262710000004</c:v>
                </c:pt>
                <c:pt idx="8">
                  <c:v>6.8725262710000008</c:v>
                </c:pt>
                <c:pt idx="9">
                  <c:v>6.9775262710000003</c:v>
                </c:pt>
                <c:pt idx="10">
                  <c:v>7.0825262710000008</c:v>
                </c:pt>
                <c:pt idx="11">
                  <c:v>7.1875262710000003</c:v>
                </c:pt>
                <c:pt idx="12">
                  <c:v>7.2925262710000007</c:v>
                </c:pt>
                <c:pt idx="13">
                  <c:v>7.3975262709999994</c:v>
                </c:pt>
                <c:pt idx="14">
                  <c:v>7.5025262709999989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5.4702336722058833</c:v>
                </c:pt>
                <c:pt idx="1">
                  <c:v>5.5937630839705896</c:v>
                </c:pt>
                <c:pt idx="2">
                  <c:v>5.7172924957352951</c:v>
                </c:pt>
                <c:pt idx="3">
                  <c:v>5.8408219075000014</c:v>
                </c:pt>
                <c:pt idx="4">
                  <c:v>5.9643513192647069</c:v>
                </c:pt>
                <c:pt idx="5">
                  <c:v>6.0878807310294123</c:v>
                </c:pt>
                <c:pt idx="6">
                  <c:v>6.2114101427941186</c:v>
                </c:pt>
                <c:pt idx="7">
                  <c:v>6.3349395545588241</c:v>
                </c:pt>
                <c:pt idx="8">
                  <c:v>6.4584689663235304</c:v>
                </c:pt>
                <c:pt idx="9">
                  <c:v>6.5819983780882358</c:v>
                </c:pt>
                <c:pt idx="10">
                  <c:v>6.7055277898529422</c:v>
                </c:pt>
                <c:pt idx="11">
                  <c:v>6.8290572016176476</c:v>
                </c:pt>
                <c:pt idx="12">
                  <c:v>6.952586613382354</c:v>
                </c:pt>
                <c:pt idx="13">
                  <c:v>7.0761160251470594</c:v>
                </c:pt>
                <c:pt idx="14">
                  <c:v>7.1996454369117657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376.23742284332684</c:v>
                </c:pt>
                <c:pt idx="1">
                  <c:v>389.0033802901354</c:v>
                </c:pt>
                <c:pt idx="2">
                  <c:v>401.76933773694384</c:v>
                </c:pt>
                <c:pt idx="3">
                  <c:v>414.53529518375245</c:v>
                </c:pt>
                <c:pt idx="4">
                  <c:v>427.3012526305609</c:v>
                </c:pt>
                <c:pt idx="5">
                  <c:v>440.06721007736951</c:v>
                </c:pt>
                <c:pt idx="6">
                  <c:v>452.83316752417801</c:v>
                </c:pt>
                <c:pt idx="7">
                  <c:v>465.59912497098657</c:v>
                </c:pt>
                <c:pt idx="8">
                  <c:v>478.36508241779501</c:v>
                </c:pt>
                <c:pt idx="9">
                  <c:v>491.13103986460357</c:v>
                </c:pt>
                <c:pt idx="10">
                  <c:v>503.89699731141201</c:v>
                </c:pt>
                <c:pt idx="11">
                  <c:v>516.66295475822039</c:v>
                </c:pt>
                <c:pt idx="12">
                  <c:v>529.42891220502895</c:v>
                </c:pt>
                <c:pt idx="13">
                  <c:v>542.19486965183739</c:v>
                </c:pt>
                <c:pt idx="14">
                  <c:v>554.96082709864595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330.84222616978604</c:v>
                </c:pt>
                <c:pt idx="1">
                  <c:v>341.87163793449196</c:v>
                </c:pt>
                <c:pt idx="2">
                  <c:v>352.90104969919776</c:v>
                </c:pt>
                <c:pt idx="3">
                  <c:v>363.93046146390367</c:v>
                </c:pt>
                <c:pt idx="4">
                  <c:v>374.95987322860958</c:v>
                </c:pt>
                <c:pt idx="5">
                  <c:v>385.98928499331544</c:v>
                </c:pt>
                <c:pt idx="6">
                  <c:v>397.01869675802135</c:v>
                </c:pt>
                <c:pt idx="7">
                  <c:v>408.04810852272726</c:v>
                </c:pt>
                <c:pt idx="8">
                  <c:v>419.07752028743317</c:v>
                </c:pt>
                <c:pt idx="9">
                  <c:v>430.10693205213903</c:v>
                </c:pt>
                <c:pt idx="10">
                  <c:v>441.13634381684483</c:v>
                </c:pt>
                <c:pt idx="11">
                  <c:v>452.16575558155074</c:v>
                </c:pt>
                <c:pt idx="12">
                  <c:v>463.19516734625654</c:v>
                </c:pt>
                <c:pt idx="13">
                  <c:v>474.22457911096245</c:v>
                </c:pt>
                <c:pt idx="14">
                  <c:v>485.25399087566825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4.5554868458957207</c:v>
                </c:pt>
                <c:pt idx="1">
                  <c:v>4.7760750811898385</c:v>
                </c:pt>
                <c:pt idx="2">
                  <c:v>4.9966633164839562</c:v>
                </c:pt>
                <c:pt idx="3">
                  <c:v>5.217251551778074</c:v>
                </c:pt>
                <c:pt idx="4">
                  <c:v>5.4378397870721917</c:v>
                </c:pt>
                <c:pt idx="5">
                  <c:v>5.6584280223663095</c:v>
                </c:pt>
                <c:pt idx="6">
                  <c:v>5.8790162576604281</c:v>
                </c:pt>
                <c:pt idx="7">
                  <c:v>6.0996044929545459</c:v>
                </c:pt>
                <c:pt idx="8">
                  <c:v>6.3201927282486636</c:v>
                </c:pt>
                <c:pt idx="9">
                  <c:v>6.5407809635427814</c:v>
                </c:pt>
                <c:pt idx="10">
                  <c:v>6.7613691988368974</c:v>
                </c:pt>
                <c:pt idx="11">
                  <c:v>6.9819574341310151</c:v>
                </c:pt>
                <c:pt idx="12">
                  <c:v>7.2025456694251311</c:v>
                </c:pt>
                <c:pt idx="13">
                  <c:v>7.4231339047192488</c:v>
                </c:pt>
                <c:pt idx="14">
                  <c:v>7.6437221400133657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5.5454236934090897</c:v>
                </c:pt>
                <c:pt idx="1">
                  <c:v>5.69542369340909</c:v>
                </c:pt>
                <c:pt idx="2">
                  <c:v>5.8454236934090895</c:v>
                </c:pt>
                <c:pt idx="3">
                  <c:v>5.9954236934090908</c:v>
                </c:pt>
                <c:pt idx="4">
                  <c:v>6.1454236934090893</c:v>
                </c:pt>
                <c:pt idx="5">
                  <c:v>6.2954236934090906</c:v>
                </c:pt>
                <c:pt idx="6">
                  <c:v>6.4454236934090909</c:v>
                </c:pt>
                <c:pt idx="7">
                  <c:v>6.5954236934090913</c:v>
                </c:pt>
                <c:pt idx="8">
                  <c:v>6.7454236934090908</c:v>
                </c:pt>
                <c:pt idx="9">
                  <c:v>6.8954236934090911</c:v>
                </c:pt>
                <c:pt idx="10">
                  <c:v>7.0454236934090906</c:v>
                </c:pt>
                <c:pt idx="11">
                  <c:v>7.19542369340909</c:v>
                </c:pt>
                <c:pt idx="12">
                  <c:v>7.3454236934090895</c:v>
                </c:pt>
                <c:pt idx="13">
                  <c:v>7.495423693409089</c:v>
                </c:pt>
                <c:pt idx="14">
                  <c:v>7.6454236934090885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7.4121867004545434</c:v>
                </c:pt>
                <c:pt idx="1">
                  <c:v>8.0371867004545443</c:v>
                </c:pt>
                <c:pt idx="2">
                  <c:v>8.6621867004545443</c:v>
                </c:pt>
                <c:pt idx="3">
                  <c:v>9.2871867004545443</c:v>
                </c:pt>
                <c:pt idx="4">
                  <c:v>9.9121867004545443</c:v>
                </c:pt>
                <c:pt idx="5">
                  <c:v>10.537186700454544</c:v>
                </c:pt>
                <c:pt idx="6">
                  <c:v>11.162186700454548</c:v>
                </c:pt>
                <c:pt idx="7">
                  <c:v>11.787186700454548</c:v>
                </c:pt>
                <c:pt idx="8">
                  <c:v>12.412186700454548</c:v>
                </c:pt>
                <c:pt idx="9">
                  <c:v>13.037186700454548</c:v>
                </c:pt>
                <c:pt idx="10">
                  <c:v>13.662186700454544</c:v>
                </c:pt>
                <c:pt idx="11">
                  <c:v>14.287186700454544</c:v>
                </c:pt>
                <c:pt idx="12">
                  <c:v>14.912186700454539</c:v>
                </c:pt>
                <c:pt idx="13">
                  <c:v>15.537186700454539</c:v>
                </c:pt>
                <c:pt idx="14">
                  <c:v>16.162186700454537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8.4568856788636335</c:v>
                </c:pt>
                <c:pt idx="1">
                  <c:v>8.9568856788636335</c:v>
                </c:pt>
                <c:pt idx="2">
                  <c:v>9.4568856788636335</c:v>
                </c:pt>
                <c:pt idx="3">
                  <c:v>9.9568856788636371</c:v>
                </c:pt>
                <c:pt idx="4">
                  <c:v>10.456885678863634</c:v>
                </c:pt>
                <c:pt idx="5">
                  <c:v>10.956885678863637</c:v>
                </c:pt>
                <c:pt idx="6">
                  <c:v>11.456885678863637</c:v>
                </c:pt>
                <c:pt idx="7">
                  <c:v>11.956885678863637</c:v>
                </c:pt>
                <c:pt idx="8">
                  <c:v>12.456885678863637</c:v>
                </c:pt>
                <c:pt idx="9">
                  <c:v>12.956885678863637</c:v>
                </c:pt>
                <c:pt idx="10">
                  <c:v>13.456885678863637</c:v>
                </c:pt>
                <c:pt idx="11">
                  <c:v>13.956885678863634</c:v>
                </c:pt>
                <c:pt idx="12">
                  <c:v>14.456885678863634</c:v>
                </c:pt>
                <c:pt idx="13">
                  <c:v>14.95688567886363</c:v>
                </c:pt>
                <c:pt idx="14">
                  <c:v>15.45688567886363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0.94309095401515153</c:v>
                </c:pt>
                <c:pt idx="1">
                  <c:v>0.96575762068181814</c:v>
                </c:pt>
                <c:pt idx="2">
                  <c:v>0.98842428734848486</c:v>
                </c:pt>
                <c:pt idx="3">
                  <c:v>1.0110909540151516</c:v>
                </c:pt>
                <c:pt idx="4">
                  <c:v>1.0337576206818182</c:v>
                </c:pt>
                <c:pt idx="5">
                  <c:v>1.0564242873484848</c:v>
                </c:pt>
                <c:pt idx="6">
                  <c:v>1.0790909540151514</c:v>
                </c:pt>
                <c:pt idx="7">
                  <c:v>1.1017576206818183</c:v>
                </c:pt>
                <c:pt idx="8">
                  <c:v>1.1244242873484849</c:v>
                </c:pt>
                <c:pt idx="9">
                  <c:v>1.1470909540151515</c:v>
                </c:pt>
                <c:pt idx="10">
                  <c:v>1.1697576206818181</c:v>
                </c:pt>
                <c:pt idx="11">
                  <c:v>1.1924242873484849</c:v>
                </c:pt>
                <c:pt idx="12">
                  <c:v>1.2150909540151515</c:v>
                </c:pt>
                <c:pt idx="13">
                  <c:v>1.2377576206818182</c:v>
                </c:pt>
                <c:pt idx="14">
                  <c:v>1.2604242873484848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0.83132671359848476</c:v>
                </c:pt>
                <c:pt idx="1">
                  <c:v>0.85091004693181804</c:v>
                </c:pt>
                <c:pt idx="2">
                  <c:v>0.87049338026515144</c:v>
                </c:pt>
                <c:pt idx="3">
                  <c:v>0.89007671359848473</c:v>
                </c:pt>
                <c:pt idx="4">
                  <c:v>0.90966004693181801</c:v>
                </c:pt>
                <c:pt idx="5">
                  <c:v>0.92924338026515141</c:v>
                </c:pt>
                <c:pt idx="6">
                  <c:v>0.94882671359848469</c:v>
                </c:pt>
                <c:pt idx="7">
                  <c:v>0.96841004693181809</c:v>
                </c:pt>
                <c:pt idx="8">
                  <c:v>0.98799338026515138</c:v>
                </c:pt>
                <c:pt idx="9">
                  <c:v>1.0075767135984848</c:v>
                </c:pt>
                <c:pt idx="10">
                  <c:v>1.0271600469318181</c:v>
                </c:pt>
                <c:pt idx="11">
                  <c:v>1.0467433802651513</c:v>
                </c:pt>
                <c:pt idx="12">
                  <c:v>1.0663267135984846</c:v>
                </c:pt>
                <c:pt idx="13">
                  <c:v>1.0859100469318181</c:v>
                </c:pt>
                <c:pt idx="14">
                  <c:v>1.1054933802651514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6.0386423225000003</c:v>
                </c:pt>
                <c:pt idx="1">
                  <c:v>6.2386423225000005</c:v>
                </c:pt>
                <c:pt idx="2">
                  <c:v>6.4386423225000007</c:v>
                </c:pt>
                <c:pt idx="3">
                  <c:v>6.6386423225</c:v>
                </c:pt>
                <c:pt idx="4">
                  <c:v>6.8386423225000001</c:v>
                </c:pt>
                <c:pt idx="5">
                  <c:v>7.0386423225000003</c:v>
                </c:pt>
                <c:pt idx="6">
                  <c:v>7.2386423225000005</c:v>
                </c:pt>
                <c:pt idx="7">
                  <c:v>7.4386423225000007</c:v>
                </c:pt>
                <c:pt idx="8">
                  <c:v>7.6386423225</c:v>
                </c:pt>
                <c:pt idx="9">
                  <c:v>7.8386423225000001</c:v>
                </c:pt>
                <c:pt idx="10">
                  <c:v>8.0386423225000012</c:v>
                </c:pt>
                <c:pt idx="11">
                  <c:v>8.2386423225000005</c:v>
                </c:pt>
                <c:pt idx="12">
                  <c:v>8.4386423224999998</c:v>
                </c:pt>
                <c:pt idx="13">
                  <c:v>8.6386423225000009</c:v>
                </c:pt>
                <c:pt idx="14">
                  <c:v>8.8386423225000001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5.8833839749999992</c:v>
                </c:pt>
                <c:pt idx="1">
                  <c:v>6.0008839749999989</c:v>
                </c:pt>
                <c:pt idx="2">
                  <c:v>6.1183839749999995</c:v>
                </c:pt>
                <c:pt idx="3">
                  <c:v>6.2358839749999992</c:v>
                </c:pt>
                <c:pt idx="4">
                  <c:v>6.353383974999999</c:v>
                </c:pt>
                <c:pt idx="5">
                  <c:v>6.4708839749999996</c:v>
                </c:pt>
                <c:pt idx="6">
                  <c:v>6.5883839749999993</c:v>
                </c:pt>
                <c:pt idx="7">
                  <c:v>6.705883974999999</c:v>
                </c:pt>
                <c:pt idx="8">
                  <c:v>6.8233839749999996</c:v>
                </c:pt>
                <c:pt idx="9">
                  <c:v>6.9408839749999993</c:v>
                </c:pt>
                <c:pt idx="10">
                  <c:v>7.058383974999999</c:v>
                </c:pt>
                <c:pt idx="11">
                  <c:v>7.1758839749999996</c:v>
                </c:pt>
                <c:pt idx="12">
                  <c:v>7.2933839749999994</c:v>
                </c:pt>
                <c:pt idx="13">
                  <c:v>7.4108839749999991</c:v>
                </c:pt>
                <c:pt idx="14">
                  <c:v>7.5283839749999997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11.614460550833336</c:v>
                </c:pt>
                <c:pt idx="1">
                  <c:v>12.181127217500002</c:v>
                </c:pt>
                <c:pt idx="2">
                  <c:v>12.747793884166668</c:v>
                </c:pt>
                <c:pt idx="3">
                  <c:v>13.314460550833335</c:v>
                </c:pt>
                <c:pt idx="4">
                  <c:v>13.881127217500001</c:v>
                </c:pt>
                <c:pt idx="5">
                  <c:v>14.447793884166668</c:v>
                </c:pt>
                <c:pt idx="6">
                  <c:v>15.014460550833336</c:v>
                </c:pt>
                <c:pt idx="7">
                  <c:v>15.581127217500002</c:v>
                </c:pt>
                <c:pt idx="8">
                  <c:v>16.147793884166667</c:v>
                </c:pt>
                <c:pt idx="9">
                  <c:v>16.714460550833333</c:v>
                </c:pt>
                <c:pt idx="10">
                  <c:v>17.281127217500003</c:v>
                </c:pt>
                <c:pt idx="11">
                  <c:v>17.84779388416667</c:v>
                </c:pt>
                <c:pt idx="12">
                  <c:v>18.414460550833336</c:v>
                </c:pt>
                <c:pt idx="13">
                  <c:v>18.981127217500003</c:v>
                </c:pt>
                <c:pt idx="14">
                  <c:v>19.547793884166669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9.5834199508333313</c:v>
                </c:pt>
                <c:pt idx="1">
                  <c:v>9.9750866174999988</c:v>
                </c:pt>
                <c:pt idx="2">
                  <c:v>10.366753284166665</c:v>
                </c:pt>
                <c:pt idx="3">
                  <c:v>10.758419950833332</c:v>
                </c:pt>
                <c:pt idx="4">
                  <c:v>11.150086617499998</c:v>
                </c:pt>
                <c:pt idx="5">
                  <c:v>11.541753284166665</c:v>
                </c:pt>
                <c:pt idx="6">
                  <c:v>11.933419950833331</c:v>
                </c:pt>
                <c:pt idx="7">
                  <c:v>12.325086617499998</c:v>
                </c:pt>
                <c:pt idx="8">
                  <c:v>12.716753284166664</c:v>
                </c:pt>
                <c:pt idx="9">
                  <c:v>13.108419950833332</c:v>
                </c:pt>
                <c:pt idx="10">
                  <c:v>13.500086617499997</c:v>
                </c:pt>
                <c:pt idx="11">
                  <c:v>13.891753284166665</c:v>
                </c:pt>
                <c:pt idx="12">
                  <c:v>14.283419950833331</c:v>
                </c:pt>
                <c:pt idx="13">
                  <c:v>14.675086617499998</c:v>
                </c:pt>
                <c:pt idx="14">
                  <c:v>15.066753284166664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0.75909605109848444</c:v>
                </c:pt>
                <c:pt idx="1">
                  <c:v>0.78409605109848446</c:v>
                </c:pt>
                <c:pt idx="2">
                  <c:v>0.80909605109848448</c:v>
                </c:pt>
                <c:pt idx="3">
                  <c:v>0.83409605109848461</c:v>
                </c:pt>
                <c:pt idx="4">
                  <c:v>0.85909605109848464</c:v>
                </c:pt>
                <c:pt idx="5">
                  <c:v>0.88409605109848466</c:v>
                </c:pt>
                <c:pt idx="6">
                  <c:v>0.9090960510984849</c:v>
                </c:pt>
                <c:pt idx="7">
                  <c:v>0.93409605109848481</c:v>
                </c:pt>
                <c:pt idx="8">
                  <c:v>0.95909605109848484</c:v>
                </c:pt>
                <c:pt idx="9">
                  <c:v>0.98409605109848508</c:v>
                </c:pt>
                <c:pt idx="10">
                  <c:v>1.009096051098485</c:v>
                </c:pt>
                <c:pt idx="11">
                  <c:v>1.0340960510984851</c:v>
                </c:pt>
                <c:pt idx="12">
                  <c:v>1.0590960510984853</c:v>
                </c:pt>
                <c:pt idx="13">
                  <c:v>1.0840960510984852</c:v>
                </c:pt>
                <c:pt idx="14">
                  <c:v>1.1090960510984853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0.87637815746515113</c:v>
                </c:pt>
                <c:pt idx="1">
                  <c:v>0.89337815746515115</c:v>
                </c:pt>
                <c:pt idx="2">
                  <c:v>0.91037815746515116</c:v>
                </c:pt>
                <c:pt idx="3">
                  <c:v>0.92737815746515129</c:v>
                </c:pt>
                <c:pt idx="4">
                  <c:v>0.9443781574651513</c:v>
                </c:pt>
                <c:pt idx="5">
                  <c:v>0.96137815746515132</c:v>
                </c:pt>
                <c:pt idx="6">
                  <c:v>0.97837815746515144</c:v>
                </c:pt>
                <c:pt idx="7">
                  <c:v>0.99537815746515146</c:v>
                </c:pt>
                <c:pt idx="8">
                  <c:v>1.0123781574651514</c:v>
                </c:pt>
                <c:pt idx="9">
                  <c:v>1.0293781574651517</c:v>
                </c:pt>
                <c:pt idx="10">
                  <c:v>1.0463781574651516</c:v>
                </c:pt>
                <c:pt idx="11">
                  <c:v>1.0633781574651515</c:v>
                </c:pt>
                <c:pt idx="12">
                  <c:v>1.0803781574651516</c:v>
                </c:pt>
                <c:pt idx="13">
                  <c:v>1.0973781574651518</c:v>
                </c:pt>
                <c:pt idx="14">
                  <c:v>1.1143781574651517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4.9253868458957202</c:v>
                </c:pt>
                <c:pt idx="1">
                  <c:v>5.1459750811898379</c:v>
                </c:pt>
                <c:pt idx="2">
                  <c:v>5.3665633164839557</c:v>
                </c:pt>
                <c:pt idx="3">
                  <c:v>5.5871515517780734</c:v>
                </c:pt>
                <c:pt idx="4">
                  <c:v>5.8077397870721912</c:v>
                </c:pt>
                <c:pt idx="5">
                  <c:v>6.0283280223663098</c:v>
                </c:pt>
                <c:pt idx="6">
                  <c:v>6.2489162576604276</c:v>
                </c:pt>
                <c:pt idx="7">
                  <c:v>6.4695044929545444</c:v>
                </c:pt>
                <c:pt idx="8">
                  <c:v>6.6900927282486622</c:v>
                </c:pt>
                <c:pt idx="9">
                  <c:v>6.9106809635427799</c:v>
                </c:pt>
                <c:pt idx="10">
                  <c:v>7.1312691988368977</c:v>
                </c:pt>
                <c:pt idx="11">
                  <c:v>7.3518574341310154</c:v>
                </c:pt>
                <c:pt idx="12">
                  <c:v>7.5724456694251305</c:v>
                </c:pt>
                <c:pt idx="13">
                  <c:v>7.7930339047192483</c:v>
                </c:pt>
                <c:pt idx="14">
                  <c:v>8.013622140013366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5.5767881309090903</c:v>
                </c:pt>
                <c:pt idx="1">
                  <c:v>5.7267881309090898</c:v>
                </c:pt>
                <c:pt idx="2">
                  <c:v>5.8767881309090901</c:v>
                </c:pt>
                <c:pt idx="3">
                  <c:v>6.0267881309090914</c:v>
                </c:pt>
                <c:pt idx="4">
                  <c:v>6.17678813090909</c:v>
                </c:pt>
                <c:pt idx="5">
                  <c:v>6.3267881309090921</c:v>
                </c:pt>
                <c:pt idx="6">
                  <c:v>6.4767881309090924</c:v>
                </c:pt>
                <c:pt idx="7">
                  <c:v>6.6267881309090919</c:v>
                </c:pt>
                <c:pt idx="8">
                  <c:v>6.7767881309090923</c:v>
                </c:pt>
                <c:pt idx="9">
                  <c:v>6.9267881309090917</c:v>
                </c:pt>
                <c:pt idx="10">
                  <c:v>7.0767881309090921</c:v>
                </c:pt>
                <c:pt idx="11">
                  <c:v>7.2267881309090898</c:v>
                </c:pt>
                <c:pt idx="12">
                  <c:v>7.3767881309090901</c:v>
                </c:pt>
                <c:pt idx="13">
                  <c:v>7.5267881309090896</c:v>
                </c:pt>
                <c:pt idx="14">
                  <c:v>7.67678813090909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368.11625744680839</c:v>
                </c:pt>
                <c:pt idx="1">
                  <c:v>380.88221489361689</c:v>
                </c:pt>
                <c:pt idx="2">
                  <c:v>393.64817234042539</c:v>
                </c:pt>
                <c:pt idx="3">
                  <c:v>406.414129787234</c:v>
                </c:pt>
                <c:pt idx="4">
                  <c:v>419.18008723404256</c:v>
                </c:pt>
                <c:pt idx="5">
                  <c:v>431.946044680851</c:v>
                </c:pt>
                <c:pt idx="6">
                  <c:v>444.71200212765967</c:v>
                </c:pt>
                <c:pt idx="7">
                  <c:v>457.47795957446812</c:v>
                </c:pt>
                <c:pt idx="8">
                  <c:v>470.24391702127667</c:v>
                </c:pt>
                <c:pt idx="9">
                  <c:v>483.00987446808523</c:v>
                </c:pt>
                <c:pt idx="10">
                  <c:v>495.77583191489379</c:v>
                </c:pt>
                <c:pt idx="11">
                  <c:v>508.54178936170223</c:v>
                </c:pt>
                <c:pt idx="12">
                  <c:v>521.30774680851084</c:v>
                </c:pt>
                <c:pt idx="13">
                  <c:v>534.0737042553194</c:v>
                </c:pt>
                <c:pt idx="14">
                  <c:v>546.83966170212796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375.56788387499984</c:v>
                </c:pt>
                <c:pt idx="1">
                  <c:v>383.06788387499984</c:v>
                </c:pt>
                <c:pt idx="2">
                  <c:v>390.56788387499984</c:v>
                </c:pt>
                <c:pt idx="3">
                  <c:v>398.06788387499989</c:v>
                </c:pt>
                <c:pt idx="4">
                  <c:v>405.56788387499995</c:v>
                </c:pt>
                <c:pt idx="5">
                  <c:v>413.06788387499995</c:v>
                </c:pt>
                <c:pt idx="6">
                  <c:v>420.56788387500001</c:v>
                </c:pt>
                <c:pt idx="7">
                  <c:v>428.06788387500001</c:v>
                </c:pt>
                <c:pt idx="8">
                  <c:v>435.56788387500001</c:v>
                </c:pt>
                <c:pt idx="9">
                  <c:v>443.06788387500006</c:v>
                </c:pt>
                <c:pt idx="10">
                  <c:v>450.56788387500001</c:v>
                </c:pt>
                <c:pt idx="11">
                  <c:v>458.06788387500001</c:v>
                </c:pt>
                <c:pt idx="12">
                  <c:v>465.56788387500001</c:v>
                </c:pt>
                <c:pt idx="13">
                  <c:v>473.06788387500012</c:v>
                </c:pt>
                <c:pt idx="14">
                  <c:v>480.56788387500012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8.1388067008333262</c:v>
                </c:pt>
                <c:pt idx="1">
                  <c:v>8.6388067008333262</c:v>
                </c:pt>
                <c:pt idx="2">
                  <c:v>9.1388067008333262</c:v>
                </c:pt>
                <c:pt idx="3">
                  <c:v>9.6388067008333298</c:v>
                </c:pt>
                <c:pt idx="4">
                  <c:v>10.13880670083333</c:v>
                </c:pt>
                <c:pt idx="5">
                  <c:v>10.63880670083333</c:v>
                </c:pt>
                <c:pt idx="6">
                  <c:v>11.138806700833333</c:v>
                </c:pt>
                <c:pt idx="7">
                  <c:v>11.638806700833333</c:v>
                </c:pt>
                <c:pt idx="8">
                  <c:v>12.138806700833333</c:v>
                </c:pt>
                <c:pt idx="9">
                  <c:v>12.638806700833337</c:v>
                </c:pt>
                <c:pt idx="10">
                  <c:v>13.138806700833337</c:v>
                </c:pt>
                <c:pt idx="11">
                  <c:v>13.638806700833337</c:v>
                </c:pt>
                <c:pt idx="12">
                  <c:v>14.13880670083334</c:v>
                </c:pt>
                <c:pt idx="13">
                  <c:v>14.63880670083334</c:v>
                </c:pt>
                <c:pt idx="14">
                  <c:v>15.13880670083334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9.9466406370833269</c:v>
                </c:pt>
                <c:pt idx="1">
                  <c:v>10.371640637083328</c:v>
                </c:pt>
                <c:pt idx="2">
                  <c:v>10.796640637083328</c:v>
                </c:pt>
                <c:pt idx="3">
                  <c:v>11.221640637083331</c:v>
                </c:pt>
                <c:pt idx="4">
                  <c:v>11.64664063708333</c:v>
                </c:pt>
                <c:pt idx="5">
                  <c:v>12.07164063708333</c:v>
                </c:pt>
                <c:pt idx="6">
                  <c:v>12.496640637083335</c:v>
                </c:pt>
                <c:pt idx="7">
                  <c:v>12.921640637083334</c:v>
                </c:pt>
                <c:pt idx="8">
                  <c:v>13.346640637083334</c:v>
                </c:pt>
                <c:pt idx="9">
                  <c:v>13.771640637083339</c:v>
                </c:pt>
                <c:pt idx="10">
                  <c:v>14.196640637083338</c:v>
                </c:pt>
                <c:pt idx="11">
                  <c:v>14.621640637083338</c:v>
                </c:pt>
                <c:pt idx="12">
                  <c:v>15.046640637083337</c:v>
                </c:pt>
                <c:pt idx="13">
                  <c:v>15.471640637083341</c:v>
                </c:pt>
                <c:pt idx="14">
                  <c:v>15.896640637083342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0.87965571605681814</c:v>
                </c:pt>
                <c:pt idx="1">
                  <c:v>0.89715571605681821</c:v>
                </c:pt>
                <c:pt idx="2">
                  <c:v>0.91465571605681817</c:v>
                </c:pt>
                <c:pt idx="3">
                  <c:v>0.93215571605681813</c:v>
                </c:pt>
                <c:pt idx="4">
                  <c:v>0.9496557160568182</c:v>
                </c:pt>
                <c:pt idx="5">
                  <c:v>0.96715571605681816</c:v>
                </c:pt>
                <c:pt idx="6">
                  <c:v>0.98465571605681812</c:v>
                </c:pt>
                <c:pt idx="7">
                  <c:v>1.0021557160568182</c:v>
                </c:pt>
                <c:pt idx="8">
                  <c:v>1.0196557160568183</c:v>
                </c:pt>
                <c:pt idx="9">
                  <c:v>1.0371557160568181</c:v>
                </c:pt>
                <c:pt idx="10">
                  <c:v>1.054655716056818</c:v>
                </c:pt>
                <c:pt idx="11">
                  <c:v>1.072155716056818</c:v>
                </c:pt>
                <c:pt idx="12">
                  <c:v>1.0896557160568179</c:v>
                </c:pt>
                <c:pt idx="13">
                  <c:v>1.107155716056818</c:v>
                </c:pt>
                <c:pt idx="14">
                  <c:v>1.124655716056818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0.90051253198181813</c:v>
                </c:pt>
                <c:pt idx="1">
                  <c:v>0.91451253198181814</c:v>
                </c:pt>
                <c:pt idx="2">
                  <c:v>0.92851253198181816</c:v>
                </c:pt>
                <c:pt idx="3">
                  <c:v>0.94251253198181817</c:v>
                </c:pt>
                <c:pt idx="4">
                  <c:v>0.95651253198181818</c:v>
                </c:pt>
                <c:pt idx="5">
                  <c:v>0.97051253198181808</c:v>
                </c:pt>
                <c:pt idx="6">
                  <c:v>0.98451253198181798</c:v>
                </c:pt>
                <c:pt idx="7">
                  <c:v>0.998512531981818</c:v>
                </c:pt>
                <c:pt idx="8">
                  <c:v>1.012512531981818</c:v>
                </c:pt>
                <c:pt idx="9">
                  <c:v>1.026512531981818</c:v>
                </c:pt>
                <c:pt idx="10">
                  <c:v>1.040512531981818</c:v>
                </c:pt>
                <c:pt idx="11">
                  <c:v>1.054512531981818</c:v>
                </c:pt>
                <c:pt idx="12">
                  <c:v>1.0685125319818181</c:v>
                </c:pt>
                <c:pt idx="13">
                  <c:v>1.0825125319818181</c:v>
                </c:pt>
                <c:pt idx="14">
                  <c:v>1.0965125319818181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429.67863955319154</c:v>
                </c:pt>
                <c:pt idx="1">
                  <c:v>438.61480976595749</c:v>
                </c:pt>
                <c:pt idx="2">
                  <c:v>447.55097997872343</c:v>
                </c:pt>
                <c:pt idx="3">
                  <c:v>456.48715019148938</c:v>
                </c:pt>
                <c:pt idx="4">
                  <c:v>465.42332040425538</c:v>
                </c:pt>
                <c:pt idx="5">
                  <c:v>474.35949061702132</c:v>
                </c:pt>
                <c:pt idx="6">
                  <c:v>483.29566082978732</c:v>
                </c:pt>
                <c:pt idx="7">
                  <c:v>492.23183104255327</c:v>
                </c:pt>
                <c:pt idx="8">
                  <c:v>501.16800125531927</c:v>
                </c:pt>
                <c:pt idx="9">
                  <c:v>510.10417146808516</c:v>
                </c:pt>
                <c:pt idx="10">
                  <c:v>519.04034168085104</c:v>
                </c:pt>
                <c:pt idx="11">
                  <c:v>527.97651189361693</c:v>
                </c:pt>
                <c:pt idx="12">
                  <c:v>536.91268210638304</c:v>
                </c:pt>
                <c:pt idx="13">
                  <c:v>545.84885231914893</c:v>
                </c:pt>
                <c:pt idx="14">
                  <c:v>554.78502253191482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386.21540204411764</c:v>
                </c:pt>
                <c:pt idx="1">
                  <c:v>392.39187263235294</c:v>
                </c:pt>
                <c:pt idx="2">
                  <c:v>398.56834322058825</c:v>
                </c:pt>
                <c:pt idx="3">
                  <c:v>404.74481380882355</c:v>
                </c:pt>
                <c:pt idx="4">
                  <c:v>410.92128439705886</c:v>
                </c:pt>
                <c:pt idx="5">
                  <c:v>417.09775498529405</c:v>
                </c:pt>
                <c:pt idx="6">
                  <c:v>423.27422557352935</c:v>
                </c:pt>
                <c:pt idx="7">
                  <c:v>429.4506961617646</c:v>
                </c:pt>
                <c:pt idx="8">
                  <c:v>435.62716674999996</c:v>
                </c:pt>
                <c:pt idx="9">
                  <c:v>441.80363733823526</c:v>
                </c:pt>
                <c:pt idx="10">
                  <c:v>447.98010792647051</c:v>
                </c:pt>
                <c:pt idx="11">
                  <c:v>454.15657851470581</c:v>
                </c:pt>
                <c:pt idx="12">
                  <c:v>460.33304910294112</c:v>
                </c:pt>
                <c:pt idx="13">
                  <c:v>466.50951969117637</c:v>
                </c:pt>
                <c:pt idx="14">
                  <c:v>472.68599027941173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6.1733579897499995</c:v>
                </c:pt>
                <c:pt idx="1">
                  <c:v>6.2783579897499999</c:v>
                </c:pt>
                <c:pt idx="2">
                  <c:v>6.3833579897499995</c:v>
                </c:pt>
                <c:pt idx="3">
                  <c:v>6.4883579897499999</c:v>
                </c:pt>
                <c:pt idx="4">
                  <c:v>6.5933579897500003</c:v>
                </c:pt>
                <c:pt idx="5">
                  <c:v>6.6983579897499999</c:v>
                </c:pt>
                <c:pt idx="6">
                  <c:v>6.8033579897500003</c:v>
                </c:pt>
                <c:pt idx="7">
                  <c:v>6.9083579897499998</c:v>
                </c:pt>
                <c:pt idx="8">
                  <c:v>7.0133579897500002</c:v>
                </c:pt>
                <c:pt idx="9">
                  <c:v>7.1183579897499998</c:v>
                </c:pt>
                <c:pt idx="10">
                  <c:v>7.2233579897499984</c:v>
                </c:pt>
                <c:pt idx="11">
                  <c:v>7.3283579897499989</c:v>
                </c:pt>
                <c:pt idx="12">
                  <c:v>7.4333579897499984</c:v>
                </c:pt>
                <c:pt idx="13">
                  <c:v>7.5383579897499988</c:v>
                </c:pt>
                <c:pt idx="14">
                  <c:v>7.6433579897499984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10.550000000000002</c:v>
                </c:pt>
                <c:pt idx="1">
                  <c:v>10.900000000000002</c:v>
                </c:pt>
                <c:pt idx="2">
                  <c:v>11.250000000000002</c:v>
                </c:pt>
                <c:pt idx="3">
                  <c:v>11.600000000000001</c:v>
                </c:pt>
                <c:pt idx="4">
                  <c:v>11.950000000000001</c:v>
                </c:pt>
                <c:pt idx="5">
                  <c:v>12.3</c:v>
                </c:pt>
                <c:pt idx="6">
                  <c:v>12.65</c:v>
                </c:pt>
                <c:pt idx="7">
                  <c:v>13</c:v>
                </c:pt>
                <c:pt idx="8">
                  <c:v>13.35</c:v>
                </c:pt>
                <c:pt idx="9">
                  <c:v>13.7</c:v>
                </c:pt>
                <c:pt idx="10">
                  <c:v>14.049999999999999</c:v>
                </c:pt>
                <c:pt idx="11">
                  <c:v>14.399999999999999</c:v>
                </c:pt>
                <c:pt idx="12">
                  <c:v>14.749999999999998</c:v>
                </c:pt>
                <c:pt idx="13">
                  <c:v>15.099999999999998</c:v>
                </c:pt>
                <c:pt idx="14">
                  <c:v>15.449999999999998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5.662950363382353</c:v>
                </c:pt>
                <c:pt idx="1">
                  <c:v>5.7864797751470594</c:v>
                </c:pt>
                <c:pt idx="2">
                  <c:v>5.9100091869117648</c:v>
                </c:pt>
                <c:pt idx="3">
                  <c:v>6.0335385986764711</c:v>
                </c:pt>
                <c:pt idx="4">
                  <c:v>6.1570680104411766</c:v>
                </c:pt>
                <c:pt idx="5">
                  <c:v>6.2805974222058811</c:v>
                </c:pt>
                <c:pt idx="6">
                  <c:v>6.4041268339705875</c:v>
                </c:pt>
                <c:pt idx="7">
                  <c:v>6.5276562457352929</c:v>
                </c:pt>
                <c:pt idx="8">
                  <c:v>6.6511856574999992</c:v>
                </c:pt>
                <c:pt idx="9">
                  <c:v>6.7747150692647047</c:v>
                </c:pt>
                <c:pt idx="10">
                  <c:v>6.898244481029411</c:v>
                </c:pt>
                <c:pt idx="11">
                  <c:v>7.0217738927941165</c:v>
                </c:pt>
                <c:pt idx="12">
                  <c:v>7.1453033045588228</c:v>
                </c:pt>
                <c:pt idx="13">
                  <c:v>7.2688327163235282</c:v>
                </c:pt>
                <c:pt idx="14">
                  <c:v>7.3923621280882346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9.0062673254545391</c:v>
                </c:pt>
                <c:pt idx="1">
                  <c:v>9.6312673254545391</c:v>
                </c:pt>
                <c:pt idx="2">
                  <c:v>10.256267325454539</c:v>
                </c:pt>
                <c:pt idx="3">
                  <c:v>10.881267325454539</c:v>
                </c:pt>
                <c:pt idx="4">
                  <c:v>11.506267325454539</c:v>
                </c:pt>
                <c:pt idx="5">
                  <c:v>12.131267325454539</c:v>
                </c:pt>
                <c:pt idx="6">
                  <c:v>12.756267325454543</c:v>
                </c:pt>
                <c:pt idx="7">
                  <c:v>13.381267325454543</c:v>
                </c:pt>
                <c:pt idx="8">
                  <c:v>14.006267325454543</c:v>
                </c:pt>
                <c:pt idx="9">
                  <c:v>14.631267325454543</c:v>
                </c:pt>
                <c:pt idx="10">
                  <c:v>15.256267325454539</c:v>
                </c:pt>
                <c:pt idx="11">
                  <c:v>15.881267325454539</c:v>
                </c:pt>
                <c:pt idx="12">
                  <c:v>16.506267325454537</c:v>
                </c:pt>
                <c:pt idx="13">
                  <c:v>17.131267325454534</c:v>
                </c:pt>
                <c:pt idx="14">
                  <c:v>17.756267325454534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0.7749999999999998</c:v>
                </c:pt>
                <c:pt idx="1">
                  <c:v>0.79999999999999982</c:v>
                </c:pt>
                <c:pt idx="2">
                  <c:v>0.82499999999999984</c:v>
                </c:pt>
                <c:pt idx="3">
                  <c:v>0.84999999999999987</c:v>
                </c:pt>
                <c:pt idx="4">
                  <c:v>0.87499999999999989</c:v>
                </c:pt>
                <c:pt idx="5">
                  <c:v>0.89999999999999991</c:v>
                </c:pt>
                <c:pt idx="6">
                  <c:v>0.92499999999999993</c:v>
                </c:pt>
                <c:pt idx="7">
                  <c:v>0.95</c:v>
                </c:pt>
                <c:pt idx="8">
                  <c:v>0.97499999999999998</c:v>
                </c:pt>
                <c:pt idx="9">
                  <c:v>1</c:v>
                </c:pt>
                <c:pt idx="10">
                  <c:v>1.0249999999999999</c:v>
                </c:pt>
                <c:pt idx="11">
                  <c:v>1.0499999999999998</c:v>
                </c:pt>
                <c:pt idx="12">
                  <c:v>1.0749999999999997</c:v>
                </c:pt>
                <c:pt idx="13">
                  <c:v>1.0999999999999996</c:v>
                </c:pt>
                <c:pt idx="14">
                  <c:v>1.1249999999999996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9.030872866363632</c:v>
                </c:pt>
                <c:pt idx="1">
                  <c:v>9.530872866363632</c:v>
                </c:pt>
                <c:pt idx="2">
                  <c:v>10.030872866363632</c:v>
                </c:pt>
                <c:pt idx="3">
                  <c:v>10.530872866363636</c:v>
                </c:pt>
                <c:pt idx="4">
                  <c:v>11.030872866363632</c:v>
                </c:pt>
                <c:pt idx="5">
                  <c:v>11.530872866363636</c:v>
                </c:pt>
                <c:pt idx="6">
                  <c:v>12.030872866363636</c:v>
                </c:pt>
                <c:pt idx="7">
                  <c:v>12.530872866363636</c:v>
                </c:pt>
                <c:pt idx="8">
                  <c:v>13.030872866363636</c:v>
                </c:pt>
                <c:pt idx="9">
                  <c:v>13.530872866363636</c:v>
                </c:pt>
                <c:pt idx="10">
                  <c:v>14.030872866363636</c:v>
                </c:pt>
                <c:pt idx="11">
                  <c:v>14.530872866363632</c:v>
                </c:pt>
                <c:pt idx="12">
                  <c:v>15.030872866363632</c:v>
                </c:pt>
                <c:pt idx="13">
                  <c:v>15.530872866363628</c:v>
                </c:pt>
                <c:pt idx="14">
                  <c:v>16.030872866363627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0.86442555401515164</c:v>
                </c:pt>
                <c:pt idx="1">
                  <c:v>0.88709222068181837</c:v>
                </c:pt>
                <c:pt idx="2">
                  <c:v>0.90975888734848498</c:v>
                </c:pt>
                <c:pt idx="3">
                  <c:v>0.93242555401515159</c:v>
                </c:pt>
                <c:pt idx="4">
                  <c:v>0.95509222068181832</c:v>
                </c:pt>
                <c:pt idx="5">
                  <c:v>0.97775888734848493</c:v>
                </c:pt>
                <c:pt idx="6">
                  <c:v>1.0004255540151517</c:v>
                </c:pt>
                <c:pt idx="7">
                  <c:v>1.0230922206818183</c:v>
                </c:pt>
                <c:pt idx="8">
                  <c:v>1.0457588873484849</c:v>
                </c:pt>
                <c:pt idx="9">
                  <c:v>1.0684255540151517</c:v>
                </c:pt>
                <c:pt idx="10">
                  <c:v>1.0910922206818183</c:v>
                </c:pt>
                <c:pt idx="11">
                  <c:v>1.1137588873484849</c:v>
                </c:pt>
                <c:pt idx="12">
                  <c:v>1.1364255540151516</c:v>
                </c:pt>
                <c:pt idx="13">
                  <c:v>1.1590922206818184</c:v>
                </c:pt>
                <c:pt idx="14">
                  <c:v>1.181758887348485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0.79879349484848494</c:v>
                </c:pt>
                <c:pt idx="1">
                  <c:v>0.81837682818181823</c:v>
                </c:pt>
                <c:pt idx="2">
                  <c:v>0.83796016151515151</c:v>
                </c:pt>
                <c:pt idx="3">
                  <c:v>0.85754349484848491</c:v>
                </c:pt>
                <c:pt idx="4">
                  <c:v>0.8771268281818182</c:v>
                </c:pt>
                <c:pt idx="5">
                  <c:v>0.89671016151515159</c:v>
                </c:pt>
                <c:pt idx="6">
                  <c:v>0.91629349484848488</c:v>
                </c:pt>
                <c:pt idx="7">
                  <c:v>0.93587682818181828</c:v>
                </c:pt>
                <c:pt idx="8">
                  <c:v>0.95546016151515156</c:v>
                </c:pt>
                <c:pt idx="9">
                  <c:v>0.97504349484848485</c:v>
                </c:pt>
                <c:pt idx="10">
                  <c:v>0.99462682818181825</c:v>
                </c:pt>
                <c:pt idx="11">
                  <c:v>1.0142101615151515</c:v>
                </c:pt>
                <c:pt idx="12">
                  <c:v>1.0337934948484848</c:v>
                </c:pt>
                <c:pt idx="13">
                  <c:v>1.0533768281818183</c:v>
                </c:pt>
                <c:pt idx="14">
                  <c:v>1.0729601615151516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5.714435851911766</c:v>
                </c:pt>
                <c:pt idx="1">
                  <c:v>5.9144358519117661</c:v>
                </c:pt>
                <c:pt idx="2">
                  <c:v>6.1144358519117654</c:v>
                </c:pt>
                <c:pt idx="3">
                  <c:v>6.3144358519117656</c:v>
                </c:pt>
                <c:pt idx="4">
                  <c:v>6.5144358519117649</c:v>
                </c:pt>
                <c:pt idx="5">
                  <c:v>6.7144358519117651</c:v>
                </c:pt>
                <c:pt idx="6">
                  <c:v>6.9144358519117652</c:v>
                </c:pt>
                <c:pt idx="7">
                  <c:v>7.1144358519117654</c:v>
                </c:pt>
                <c:pt idx="8">
                  <c:v>7.3144358519117656</c:v>
                </c:pt>
                <c:pt idx="9">
                  <c:v>7.5144358519117649</c:v>
                </c:pt>
                <c:pt idx="10">
                  <c:v>7.7144358519117651</c:v>
                </c:pt>
                <c:pt idx="11">
                  <c:v>7.9144358519117652</c:v>
                </c:pt>
                <c:pt idx="12">
                  <c:v>8.1144358519117645</c:v>
                </c:pt>
                <c:pt idx="13">
                  <c:v>8.3144358519117656</c:v>
                </c:pt>
                <c:pt idx="14">
                  <c:v>8.5144358519117649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5.7195491000000018</c:v>
                </c:pt>
                <c:pt idx="1">
                  <c:v>5.8370491000000015</c:v>
                </c:pt>
                <c:pt idx="2">
                  <c:v>5.9545491000000013</c:v>
                </c:pt>
                <c:pt idx="3">
                  <c:v>6.0720491000000019</c:v>
                </c:pt>
                <c:pt idx="4">
                  <c:v>6.1895491000000016</c:v>
                </c:pt>
                <c:pt idx="5">
                  <c:v>6.3070491000000013</c:v>
                </c:pt>
                <c:pt idx="6">
                  <c:v>6.4245491000000019</c:v>
                </c:pt>
                <c:pt idx="7">
                  <c:v>6.5420491000000016</c:v>
                </c:pt>
                <c:pt idx="8">
                  <c:v>6.6595491000000013</c:v>
                </c:pt>
                <c:pt idx="9">
                  <c:v>6.7770491000000019</c:v>
                </c:pt>
                <c:pt idx="10">
                  <c:v>6.8945491000000017</c:v>
                </c:pt>
                <c:pt idx="11">
                  <c:v>7.0120491000000014</c:v>
                </c:pt>
                <c:pt idx="12">
                  <c:v>7.129549100000002</c:v>
                </c:pt>
                <c:pt idx="13">
                  <c:v>7.2470491000000017</c:v>
                </c:pt>
                <c:pt idx="14">
                  <c:v>7.3645491000000014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11.241906175833334</c:v>
                </c:pt>
                <c:pt idx="1">
                  <c:v>11.808572842500002</c:v>
                </c:pt>
                <c:pt idx="2">
                  <c:v>12.375239509166668</c:v>
                </c:pt>
                <c:pt idx="3">
                  <c:v>12.941906175833335</c:v>
                </c:pt>
                <c:pt idx="4">
                  <c:v>13.508572842500001</c:v>
                </c:pt>
                <c:pt idx="5">
                  <c:v>14.075239509166668</c:v>
                </c:pt>
                <c:pt idx="6">
                  <c:v>14.641906175833334</c:v>
                </c:pt>
                <c:pt idx="7">
                  <c:v>15.208572842500001</c:v>
                </c:pt>
                <c:pt idx="8">
                  <c:v>15.775239509166669</c:v>
                </c:pt>
                <c:pt idx="9">
                  <c:v>16.341906175833333</c:v>
                </c:pt>
                <c:pt idx="10">
                  <c:v>16.9085728425</c:v>
                </c:pt>
                <c:pt idx="11">
                  <c:v>17.475239509166666</c:v>
                </c:pt>
                <c:pt idx="12">
                  <c:v>18.041906175833333</c:v>
                </c:pt>
                <c:pt idx="13">
                  <c:v>18.608572842499999</c:v>
                </c:pt>
                <c:pt idx="14">
                  <c:v>19.175239509166666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9.5067427633333335</c:v>
                </c:pt>
                <c:pt idx="1">
                  <c:v>9.8984094299999992</c:v>
                </c:pt>
                <c:pt idx="2">
                  <c:v>10.290076096666667</c:v>
                </c:pt>
                <c:pt idx="3">
                  <c:v>10.681742763333334</c:v>
                </c:pt>
                <c:pt idx="4">
                  <c:v>11.07340943</c:v>
                </c:pt>
                <c:pt idx="5">
                  <c:v>11.465076096666667</c:v>
                </c:pt>
                <c:pt idx="6">
                  <c:v>11.856742763333333</c:v>
                </c:pt>
                <c:pt idx="7">
                  <c:v>12.248409430000001</c:v>
                </c:pt>
                <c:pt idx="8">
                  <c:v>12.640076096666666</c:v>
                </c:pt>
                <c:pt idx="9">
                  <c:v>13.031742763333334</c:v>
                </c:pt>
                <c:pt idx="10">
                  <c:v>13.42340943</c:v>
                </c:pt>
                <c:pt idx="11">
                  <c:v>13.815076096666667</c:v>
                </c:pt>
                <c:pt idx="12">
                  <c:v>14.206742763333333</c:v>
                </c:pt>
                <c:pt idx="13">
                  <c:v>14.59840943</c:v>
                </c:pt>
                <c:pt idx="14">
                  <c:v>14.990076096666666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0.75386864484848437</c:v>
                </c:pt>
                <c:pt idx="1">
                  <c:v>0.77886864484848439</c:v>
                </c:pt>
                <c:pt idx="2">
                  <c:v>0.8038686448484843</c:v>
                </c:pt>
                <c:pt idx="3">
                  <c:v>0.82886864484848455</c:v>
                </c:pt>
                <c:pt idx="4">
                  <c:v>0.85386864484848468</c:v>
                </c:pt>
                <c:pt idx="5">
                  <c:v>0.87886864484848459</c:v>
                </c:pt>
                <c:pt idx="6">
                  <c:v>0.90386864484848461</c:v>
                </c:pt>
                <c:pt idx="7">
                  <c:v>0.92886864484848464</c:v>
                </c:pt>
                <c:pt idx="8">
                  <c:v>0.95386864484848466</c:v>
                </c:pt>
                <c:pt idx="9">
                  <c:v>0.97886864484848501</c:v>
                </c:pt>
                <c:pt idx="10">
                  <c:v>1.003868644848485</c:v>
                </c:pt>
                <c:pt idx="11">
                  <c:v>1.0288686448484849</c:v>
                </c:pt>
                <c:pt idx="12">
                  <c:v>1.0538686448484851</c:v>
                </c:pt>
                <c:pt idx="13">
                  <c:v>1.078868644848485</c:v>
                </c:pt>
                <c:pt idx="14">
                  <c:v>1.1038686448484851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0.83445615746515134</c:v>
                </c:pt>
                <c:pt idx="1">
                  <c:v>0.85145615746515124</c:v>
                </c:pt>
                <c:pt idx="2">
                  <c:v>0.86845615746515126</c:v>
                </c:pt>
                <c:pt idx="3">
                  <c:v>0.88545615746515127</c:v>
                </c:pt>
                <c:pt idx="4">
                  <c:v>0.90245615746515129</c:v>
                </c:pt>
                <c:pt idx="5">
                  <c:v>0.9194561574651513</c:v>
                </c:pt>
                <c:pt idx="6">
                  <c:v>0.93645615746515154</c:v>
                </c:pt>
                <c:pt idx="7">
                  <c:v>0.95345615746515155</c:v>
                </c:pt>
                <c:pt idx="8">
                  <c:v>0.97045615746515157</c:v>
                </c:pt>
                <c:pt idx="9">
                  <c:v>0.98745615746515158</c:v>
                </c:pt>
                <c:pt idx="10">
                  <c:v>1.0044561574651516</c:v>
                </c:pt>
                <c:pt idx="11">
                  <c:v>1.0214561574651515</c:v>
                </c:pt>
                <c:pt idx="12">
                  <c:v>1.0384561574651516</c:v>
                </c:pt>
                <c:pt idx="13">
                  <c:v>1.055456157465152</c:v>
                </c:pt>
                <c:pt idx="14">
                  <c:v>1.0724561574651519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382.05965106382951</c:v>
                </c:pt>
                <c:pt idx="1">
                  <c:v>394.82560851063801</c:v>
                </c:pt>
                <c:pt idx="2">
                  <c:v>407.59156595744656</c:v>
                </c:pt>
                <c:pt idx="3">
                  <c:v>420.35752340425512</c:v>
                </c:pt>
                <c:pt idx="4">
                  <c:v>433.12348085106368</c:v>
                </c:pt>
                <c:pt idx="5">
                  <c:v>445.88943829787218</c:v>
                </c:pt>
                <c:pt idx="6">
                  <c:v>458.65539574468073</c:v>
                </c:pt>
                <c:pt idx="7">
                  <c:v>471.42135319148923</c:v>
                </c:pt>
                <c:pt idx="8">
                  <c:v>484.18731063829773</c:v>
                </c:pt>
                <c:pt idx="9">
                  <c:v>496.9532680851064</c:v>
                </c:pt>
                <c:pt idx="10">
                  <c:v>509.71922553191496</c:v>
                </c:pt>
                <c:pt idx="11">
                  <c:v>522.48518297872351</c:v>
                </c:pt>
                <c:pt idx="12">
                  <c:v>535.25114042553196</c:v>
                </c:pt>
                <c:pt idx="13">
                  <c:v>548.01709787234051</c:v>
                </c:pt>
                <c:pt idx="14">
                  <c:v>560.78305531914896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391.7782074044116</c:v>
                </c:pt>
                <c:pt idx="1">
                  <c:v>399.2782074044116</c:v>
                </c:pt>
                <c:pt idx="2">
                  <c:v>406.7782074044116</c:v>
                </c:pt>
                <c:pt idx="3">
                  <c:v>414.2782074044116</c:v>
                </c:pt>
                <c:pt idx="4">
                  <c:v>421.77820740441166</c:v>
                </c:pt>
                <c:pt idx="5">
                  <c:v>429.2782074044116</c:v>
                </c:pt>
                <c:pt idx="6">
                  <c:v>436.77820740441177</c:v>
                </c:pt>
                <c:pt idx="7">
                  <c:v>444.27820740441177</c:v>
                </c:pt>
                <c:pt idx="8">
                  <c:v>451.77820740441172</c:v>
                </c:pt>
                <c:pt idx="9">
                  <c:v>459.27820740441172</c:v>
                </c:pt>
                <c:pt idx="10">
                  <c:v>466.77820740441172</c:v>
                </c:pt>
                <c:pt idx="11">
                  <c:v>474.27820740441172</c:v>
                </c:pt>
                <c:pt idx="12">
                  <c:v>481.77820740441172</c:v>
                </c:pt>
                <c:pt idx="13">
                  <c:v>489.27820740441183</c:v>
                </c:pt>
                <c:pt idx="14">
                  <c:v>496.77820740441189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8.6082457633333238</c:v>
                </c:pt>
                <c:pt idx="1">
                  <c:v>9.1082457633333238</c:v>
                </c:pt>
                <c:pt idx="2">
                  <c:v>9.6082457633333238</c:v>
                </c:pt>
                <c:pt idx="3">
                  <c:v>10.108245763333327</c:v>
                </c:pt>
                <c:pt idx="4">
                  <c:v>10.608245763333327</c:v>
                </c:pt>
                <c:pt idx="5">
                  <c:v>11.108245763333327</c:v>
                </c:pt>
                <c:pt idx="6">
                  <c:v>11.608245763333333</c:v>
                </c:pt>
                <c:pt idx="7">
                  <c:v>12.108245763333333</c:v>
                </c:pt>
                <c:pt idx="8">
                  <c:v>12.608245763333333</c:v>
                </c:pt>
                <c:pt idx="9">
                  <c:v>13.108245763333336</c:v>
                </c:pt>
                <c:pt idx="10">
                  <c:v>13.608245763333336</c:v>
                </c:pt>
                <c:pt idx="11">
                  <c:v>14.108245763333336</c:v>
                </c:pt>
                <c:pt idx="12">
                  <c:v>14.60824576333334</c:v>
                </c:pt>
                <c:pt idx="13">
                  <c:v>15.10824576333334</c:v>
                </c:pt>
                <c:pt idx="14">
                  <c:v>15.60824576333334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5.4499999999999975</c:v>
                </c:pt>
                <c:pt idx="1">
                  <c:v>5.5999999999999979</c:v>
                </c:pt>
                <c:pt idx="2">
                  <c:v>5.7499999999999982</c:v>
                </c:pt>
                <c:pt idx="3">
                  <c:v>5.8999999999999986</c:v>
                </c:pt>
                <c:pt idx="4">
                  <c:v>6.0499999999999989</c:v>
                </c:pt>
                <c:pt idx="5">
                  <c:v>6.1999999999999993</c:v>
                </c:pt>
                <c:pt idx="6">
                  <c:v>6.35</c:v>
                </c:pt>
                <c:pt idx="7">
                  <c:v>6.5</c:v>
                </c:pt>
                <c:pt idx="8">
                  <c:v>6.65</c:v>
                </c:pt>
                <c:pt idx="9">
                  <c:v>6.8000000000000007</c:v>
                </c:pt>
                <c:pt idx="10">
                  <c:v>6.9500000000000011</c:v>
                </c:pt>
                <c:pt idx="11">
                  <c:v>7.1000000000000014</c:v>
                </c:pt>
                <c:pt idx="12">
                  <c:v>7.2500000000000018</c:v>
                </c:pt>
                <c:pt idx="13">
                  <c:v>7.4000000000000021</c:v>
                </c:pt>
                <c:pt idx="14">
                  <c:v>7.5500000000000025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10.492671262083324</c:v>
                </c:pt>
                <c:pt idx="1">
                  <c:v>10.917671262083326</c:v>
                </c:pt>
                <c:pt idx="2">
                  <c:v>11.342671262083325</c:v>
                </c:pt>
                <c:pt idx="3">
                  <c:v>11.767671262083327</c:v>
                </c:pt>
                <c:pt idx="4">
                  <c:v>12.192671262083328</c:v>
                </c:pt>
                <c:pt idx="5">
                  <c:v>12.617671262083327</c:v>
                </c:pt>
                <c:pt idx="6">
                  <c:v>13.042671262083331</c:v>
                </c:pt>
                <c:pt idx="7">
                  <c:v>13.467671262083332</c:v>
                </c:pt>
                <c:pt idx="8">
                  <c:v>13.892671262083331</c:v>
                </c:pt>
                <c:pt idx="9">
                  <c:v>14.317671262083335</c:v>
                </c:pt>
                <c:pt idx="10">
                  <c:v>14.742671262083336</c:v>
                </c:pt>
                <c:pt idx="11">
                  <c:v>15.167671262083335</c:v>
                </c:pt>
                <c:pt idx="12">
                  <c:v>15.592671262083336</c:v>
                </c:pt>
                <c:pt idx="13">
                  <c:v>16.01767126208334</c:v>
                </c:pt>
                <c:pt idx="14">
                  <c:v>16.442671262083341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 x14ac:dyDescent="0.15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 x14ac:dyDescent="0.1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1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15">
      <c r="A3" s="319">
        <f>AVERAGE(600, 586)</f>
        <v>593</v>
      </c>
      <c r="B3" s="319">
        <f>AVERAGE(537,551)</f>
        <v>544</v>
      </c>
      <c r="C3" s="319">
        <f>AVERAGE(311,301)</f>
        <v>306</v>
      </c>
      <c r="D3" s="319">
        <f>AVERAGE(617,597)</f>
        <v>607</v>
      </c>
      <c r="E3" s="319">
        <f>AVERAGE(268, 273)</f>
        <v>270.5</v>
      </c>
      <c r="F3" t="s">
        <v>185</v>
      </c>
    </row>
    <row r="4" spans="1:6" x14ac:dyDescent="0.15">
      <c r="A4" s="319">
        <f>A2-A3</f>
        <v>257</v>
      </c>
      <c r="B4" s="319">
        <f>B2-B3</f>
        <v>296</v>
      </c>
      <c r="C4" s="319">
        <f>C2-C3</f>
        <v>98</v>
      </c>
      <c r="D4" s="319">
        <f>D2-D3</f>
        <v>262</v>
      </c>
      <c r="E4" s="319">
        <f>E2-E3</f>
        <v>245.5</v>
      </c>
      <c r="F4" t="s">
        <v>187</v>
      </c>
    </row>
    <row r="5" spans="1:6" x14ac:dyDescent="0.15">
      <c r="A5" s="319">
        <f>A4-185</f>
        <v>72</v>
      </c>
      <c r="B5" s="319">
        <f>B4-185</f>
        <v>111</v>
      </c>
      <c r="C5" s="319">
        <f>C4-185</f>
        <v>-87</v>
      </c>
      <c r="D5" s="319">
        <f>D4-185</f>
        <v>77</v>
      </c>
      <c r="E5" s="319">
        <f>E4-185</f>
        <v>60.5</v>
      </c>
      <c r="F5" t="s">
        <v>188</v>
      </c>
    </row>
    <row r="8" spans="1:6" x14ac:dyDescent="0.1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1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15">
      <c r="A10" s="319">
        <f>AVERAGE(293,298)</f>
        <v>295.5</v>
      </c>
      <c r="B10" s="319">
        <f>AVERAGE(424, 445)</f>
        <v>434.5</v>
      </c>
      <c r="C10" s="319">
        <f>AVERAGE(199,198)</f>
        <v>198.5</v>
      </c>
      <c r="D10" s="319">
        <f>AVERAGE(537, 528)</f>
        <v>532.5</v>
      </c>
      <c r="E10" s="319">
        <f>AVERAGE(196, 208)</f>
        <v>202</v>
      </c>
      <c r="F10" t="s">
        <v>185</v>
      </c>
    </row>
    <row r="11" spans="1:6" x14ac:dyDescent="0.15">
      <c r="A11" s="319">
        <f>A9-A10</f>
        <v>65.5</v>
      </c>
      <c r="B11" s="319">
        <f>B9-B10</f>
        <v>90.5</v>
      </c>
      <c r="C11" s="319">
        <f>C9-C10</f>
        <v>64.5</v>
      </c>
      <c r="D11" s="319">
        <f>D9-D10</f>
        <v>97.5</v>
      </c>
      <c r="E11" s="319">
        <f>E9-E10</f>
        <v>56</v>
      </c>
      <c r="F11" t="s">
        <v>187</v>
      </c>
    </row>
    <row r="12" spans="1:6" x14ac:dyDescent="0.15">
      <c r="A12" s="319">
        <f>A11-75</f>
        <v>-9.5</v>
      </c>
      <c r="B12" s="319">
        <f>B11-75</f>
        <v>15.5</v>
      </c>
      <c r="C12" s="319">
        <f>C11-75</f>
        <v>-10.5</v>
      </c>
      <c r="D12" s="319">
        <f>D11-75</f>
        <v>22.5</v>
      </c>
      <c r="E12" s="319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16384" width="9.33203125" style="75"/>
  </cols>
  <sheetData>
    <row r="1" spans="1:13" s="62" customFormat="1" ht="12" hidden="1" x14ac:dyDescent="0.15">
      <c r="B1" s="468" t="s">
        <v>46</v>
      </c>
      <c r="C1" s="468"/>
      <c r="D1" s="468"/>
      <c r="E1" s="468"/>
      <c r="F1" s="468"/>
      <c r="G1" s="468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 x14ac:dyDescent="0.15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 x14ac:dyDescent="0.15">
      <c r="A4" s="62" t="s">
        <v>42</v>
      </c>
      <c r="B4" s="67">
        <f>Conventional!L8</f>
        <v>0.95</v>
      </c>
      <c r="C4" s="68">
        <f>Conventional!N8</f>
        <v>475</v>
      </c>
      <c r="D4" s="69">
        <f>Conventional!P8</f>
        <v>6.5</v>
      </c>
      <c r="E4" s="69">
        <f>Conventional!R8</f>
        <v>13</v>
      </c>
      <c r="F4" s="69">
        <f>Conventional!T8</f>
        <v>6</v>
      </c>
      <c r="G4" s="69">
        <f>Conventional!X8</f>
        <v>8</v>
      </c>
    </row>
    <row r="5" spans="1:13" s="62" customFormat="1" ht="12" hidden="1" x14ac:dyDescent="0.15">
      <c r="A5" s="70" t="s">
        <v>44</v>
      </c>
      <c r="B5" s="71">
        <f t="shared" ref="B5:G5" si="0">B3*B4</f>
        <v>712.5</v>
      </c>
      <c r="C5" s="71">
        <f>C3*C4/2000</f>
        <v>807.5</v>
      </c>
      <c r="D5" s="71">
        <f t="shared" si="0"/>
        <v>552.5</v>
      </c>
      <c r="E5" s="71">
        <f t="shared" si="0"/>
        <v>390</v>
      </c>
      <c r="F5" s="71">
        <f t="shared" si="0"/>
        <v>390</v>
      </c>
      <c r="G5" s="71">
        <f t="shared" si="0"/>
        <v>440</v>
      </c>
    </row>
    <row r="6" spans="1:13" s="62" customFormat="1" ht="12" hidden="1" x14ac:dyDescent="0.15">
      <c r="A6" s="70" t="s">
        <v>43</v>
      </c>
      <c r="B6" s="73">
        <f>Conventional!L30</f>
        <v>622.91851551136369</v>
      </c>
      <c r="C6" s="73">
        <f>Conventional!N30</f>
        <v>663.09934999999996</v>
      </c>
      <c r="D6" s="73">
        <f>Conventional!P30</f>
        <v>460.32639741250006</v>
      </c>
      <c r="E6" s="73">
        <f>Conventional!R30</f>
        <v>311.856535275</v>
      </c>
      <c r="F6" s="73">
        <f>Conventional!T30</f>
        <v>349.87827646249997</v>
      </c>
      <c r="G6" s="73">
        <f>Conventional!X30</f>
        <v>345.90490336249997</v>
      </c>
    </row>
    <row r="7" spans="1:13" s="62" customFormat="1" ht="16" x14ac:dyDescent="0.2">
      <c r="A7" s="471" t="s">
        <v>128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0" t="s">
        <v>153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</row>
    <row r="10" spans="1:13" x14ac:dyDescent="0.15">
      <c r="A10" s="464" t="s">
        <v>51</v>
      </c>
      <c r="B10" s="464"/>
      <c r="C10" s="464"/>
      <c r="D10" s="464"/>
      <c r="E10" s="464"/>
      <c r="F10" s="464"/>
      <c r="H10" s="464" t="s">
        <v>52</v>
      </c>
      <c r="I10" s="464"/>
      <c r="J10" s="464"/>
      <c r="K10" s="464"/>
      <c r="L10" s="464"/>
      <c r="M10" s="464"/>
    </row>
    <row r="11" spans="1:13" s="62" customFormat="1" ht="12" x14ac:dyDescent="0.15">
      <c r="A11" s="463" t="s">
        <v>36</v>
      </c>
      <c r="B11" s="463"/>
      <c r="C11" s="463"/>
      <c r="D11" s="463"/>
      <c r="E11" s="463"/>
      <c r="F11" s="463"/>
      <c r="H11" s="467" t="s">
        <v>36</v>
      </c>
      <c r="I11" s="467"/>
      <c r="J11" s="467"/>
      <c r="K11" s="467"/>
      <c r="L11" s="467"/>
      <c r="M11" s="467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4.55</v>
      </c>
      <c r="B14" s="85">
        <f>$A$14*B$13-$D$6</f>
        <v>-170.26389741250006</v>
      </c>
      <c r="C14" s="85">
        <f>$A$14*C$13-$D$6</f>
        <v>-112.25139741250007</v>
      </c>
      <c r="D14" s="85">
        <f>$A$14*D$13-$D$6</f>
        <v>-73.576397412500057</v>
      </c>
      <c r="E14" s="85">
        <f>$A$14*E$13-$D$6</f>
        <v>-34.901397412499989</v>
      </c>
      <c r="F14" s="85">
        <f>$A$14*F$13-$D$6</f>
        <v>23.111102587499943</v>
      </c>
      <c r="H14" s="84">
        <f>Irrigated!H14</f>
        <v>0.66499999999999992</v>
      </c>
      <c r="I14" s="85">
        <f>$H$14*I$13-$B$6</f>
        <v>-248.85601551136375</v>
      </c>
      <c r="J14" s="85">
        <f>$H$14*J$13-$B$6</f>
        <v>-174.04351551136375</v>
      </c>
      <c r="K14" s="85">
        <f>$H$14*K$13-$B$6</f>
        <v>-124.16851551136375</v>
      </c>
      <c r="L14" s="85">
        <f>$H$14*L$13-$B$6</f>
        <v>-74.293515511363694</v>
      </c>
      <c r="M14" s="85">
        <f>$H$14*M$13-$B$6</f>
        <v>0.51898448863619251</v>
      </c>
    </row>
    <row r="15" spans="1:13" x14ac:dyDescent="0.15">
      <c r="A15" s="86">
        <f>Irrigated!A15</f>
        <v>5.5249999999999995</v>
      </c>
      <c r="B15" s="87">
        <f>$A$15*B$13-$D$6</f>
        <v>-108.10764741250011</v>
      </c>
      <c r="C15" s="87">
        <f>$A$15*C$13-$D$6</f>
        <v>-37.663897412500091</v>
      </c>
      <c r="D15" s="87">
        <f>$A$15*D$13-$D$6</f>
        <v>9.2986025874998859</v>
      </c>
      <c r="E15" s="87">
        <f>$A$15*E$13-$D$6</f>
        <v>56.26110258749992</v>
      </c>
      <c r="F15" s="87">
        <f>$A$15*F$13-$D$6</f>
        <v>126.70485258749994</v>
      </c>
      <c r="H15" s="86">
        <f>Irrigated!H15</f>
        <v>0.8075</v>
      </c>
      <c r="I15" s="87">
        <f>$H$15*I$13-$B$6</f>
        <v>-168.69976551136369</v>
      </c>
      <c r="J15" s="87">
        <f>$H$15*J$13-$B$6</f>
        <v>-77.856015511363694</v>
      </c>
      <c r="K15" s="87">
        <f>$H$15*K$13-$B$6</f>
        <v>-17.293515511363694</v>
      </c>
      <c r="L15" s="87">
        <f>$H$15*L$13-$B$6</f>
        <v>43.26898448863642</v>
      </c>
      <c r="M15" s="87">
        <f>$H$15*M$13-$B$6</f>
        <v>134.11273448863631</v>
      </c>
    </row>
    <row r="16" spans="1:13" x14ac:dyDescent="0.15">
      <c r="A16" s="86">
        <f>Irrigated!A16</f>
        <v>6.5</v>
      </c>
      <c r="B16" s="87">
        <f>$A$16*B$13-$D$6</f>
        <v>-45.951397412500057</v>
      </c>
      <c r="C16" s="87">
        <f>$A$16*C$13-$D$6</f>
        <v>36.923602587499943</v>
      </c>
      <c r="D16" s="87">
        <f>$A$16*D$13-$D$6</f>
        <v>92.173602587499943</v>
      </c>
      <c r="E16" s="87">
        <f>$A$16*E$13-$D$6</f>
        <v>147.42360258750006</v>
      </c>
      <c r="F16" s="87">
        <f>$A$16*F$13-$D$6</f>
        <v>230.29860258749994</v>
      </c>
      <c r="H16" s="86">
        <f>Irrigated!H16</f>
        <v>0.95</v>
      </c>
      <c r="I16" s="87">
        <f>$H$16*I$13-$B$6</f>
        <v>-88.543515511363694</v>
      </c>
      <c r="J16" s="87">
        <f>$H$16*J$13-$B$6</f>
        <v>18.331484488636306</v>
      </c>
      <c r="K16" s="87">
        <f>$H$16*K$13-$B$6</f>
        <v>89.581484488636306</v>
      </c>
      <c r="L16" s="87">
        <f>$H$16*L$13-$B$6</f>
        <v>160.83148448863642</v>
      </c>
      <c r="M16" s="87">
        <f>$H$16*M$13-$B$6</f>
        <v>267.70648448863631</v>
      </c>
    </row>
    <row r="17" spans="1:13" x14ac:dyDescent="0.15">
      <c r="A17" s="86">
        <f>Irrigated!A17</f>
        <v>7.4749999999999996</v>
      </c>
      <c r="B17" s="87">
        <f>$A$17*B$13-$D$6</f>
        <v>16.204852587499943</v>
      </c>
      <c r="C17" s="87">
        <f>$A$17*C$13-$D$6</f>
        <v>111.51110258749992</v>
      </c>
      <c r="D17" s="87">
        <f>$A$17*D$13-$D$6</f>
        <v>175.04860258749994</v>
      </c>
      <c r="E17" s="87">
        <f>$A$17*E$13-$D$6</f>
        <v>238.58610258749997</v>
      </c>
      <c r="F17" s="87">
        <f>$A$17*F$13-$D$6</f>
        <v>333.89235258749994</v>
      </c>
      <c r="H17" s="86">
        <f>Irrigated!H17</f>
        <v>1.0924999999999998</v>
      </c>
      <c r="I17" s="87">
        <f>$H$17*I$13-$B$6</f>
        <v>-8.3872655113638075</v>
      </c>
      <c r="J17" s="87">
        <f>$H$17*J$13-$B$6</f>
        <v>114.51898448863619</v>
      </c>
      <c r="K17" s="87">
        <f>$H$17*K$13-$B$6</f>
        <v>196.45648448863619</v>
      </c>
      <c r="L17" s="87">
        <f>$H$17*L$13-$B$6</f>
        <v>278.39398448863631</v>
      </c>
      <c r="M17" s="87">
        <f>$H$17*M$13-$B$6</f>
        <v>401.30023448863608</v>
      </c>
    </row>
    <row r="18" spans="1:13" x14ac:dyDescent="0.15">
      <c r="A18" s="88">
        <f>Irrigated!A18</f>
        <v>8.4500000000000011</v>
      </c>
      <c r="B18" s="89">
        <f>$A$18*B$13-$D$6</f>
        <v>78.361102587500056</v>
      </c>
      <c r="C18" s="89">
        <f>$A$18*C$13-$D$6</f>
        <v>186.09860258750001</v>
      </c>
      <c r="D18" s="89">
        <f>$A$18*D$13-$D$6</f>
        <v>257.92360258750006</v>
      </c>
      <c r="E18" s="89">
        <f>$A$18*E$13-$D$6</f>
        <v>329.74860258750022</v>
      </c>
      <c r="F18" s="89">
        <f>$A$18*F$13-$D$6</f>
        <v>437.48610258750006</v>
      </c>
      <c r="H18" s="88">
        <f>Irrigated!H18</f>
        <v>1.2349999999999999</v>
      </c>
      <c r="I18" s="89">
        <f>$H$18*I$13-$B$6</f>
        <v>71.768984488636193</v>
      </c>
      <c r="J18" s="89">
        <f>$H$18*J$13-$B$6</f>
        <v>210.70648448863619</v>
      </c>
      <c r="K18" s="89">
        <f>$H$18*K$13-$B$6</f>
        <v>303.33148448863619</v>
      </c>
      <c r="L18" s="89">
        <f>$H$18*L$13-$B$6</f>
        <v>395.95648448863631</v>
      </c>
      <c r="M18" s="89">
        <f>$H$18*M$13-$B$6</f>
        <v>534.89398448863608</v>
      </c>
    </row>
    <row r="20" spans="1:13" x14ac:dyDescent="0.15">
      <c r="A20" s="464" t="s">
        <v>54</v>
      </c>
      <c r="B20" s="464"/>
      <c r="C20" s="464"/>
      <c r="D20" s="464"/>
      <c r="E20" s="464"/>
      <c r="F20" s="464"/>
      <c r="H20" s="465" t="s">
        <v>121</v>
      </c>
      <c r="I20" s="465"/>
      <c r="J20" s="465"/>
      <c r="K20" s="465"/>
      <c r="L20" s="465"/>
      <c r="M20" s="465"/>
    </row>
    <row r="21" spans="1:13" s="62" customFormat="1" ht="12" x14ac:dyDescent="0.15">
      <c r="A21" s="463" t="s">
        <v>36</v>
      </c>
      <c r="B21" s="463"/>
      <c r="C21" s="463"/>
      <c r="D21" s="463"/>
      <c r="E21" s="463"/>
      <c r="F21" s="463"/>
      <c r="H21" s="466" t="s">
        <v>36</v>
      </c>
      <c r="I21" s="466"/>
      <c r="J21" s="466"/>
      <c r="K21" s="466"/>
      <c r="L21" s="466"/>
      <c r="M21" s="466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4.1999999999999993</v>
      </c>
      <c r="B24" s="85">
        <f>$A$24*B$23-$F$6</f>
        <v>-145.1282764625</v>
      </c>
      <c r="C24" s="85">
        <f>$A$24*C$23-$F$6</f>
        <v>-104.17827646250001</v>
      </c>
      <c r="D24" s="85">
        <f>$A$24*D$23-$F$6</f>
        <v>-76.878276462500025</v>
      </c>
      <c r="E24" s="85">
        <f>$A$24*E$23-$F$6</f>
        <v>-49.578276462500014</v>
      </c>
      <c r="F24" s="85">
        <f>$A$24*F$23-$F$6</f>
        <v>-8.6282764625000254</v>
      </c>
      <c r="H24" s="90">
        <f>Irrigated!H24</f>
        <v>332.5</v>
      </c>
      <c r="I24" s="85">
        <f>$H$24*I$23/2000-$C$6</f>
        <v>-239.16184999999996</v>
      </c>
      <c r="J24" s="85">
        <f>$H$24*J$23/2000-$C$6</f>
        <v>-154.37434999999994</v>
      </c>
      <c r="K24" s="85">
        <f>$H$24*K$23/2000-$C$6</f>
        <v>-97.849349999999959</v>
      </c>
      <c r="L24" s="85">
        <f>$H$24*L$23/2000-$C$6</f>
        <v>-41.324349999999868</v>
      </c>
      <c r="M24" s="85">
        <f>$H$24*M$23/2000-$C$6</f>
        <v>43.463150000000041</v>
      </c>
    </row>
    <row r="25" spans="1:13" x14ac:dyDescent="0.15">
      <c r="A25" s="86">
        <f>Irrigated!A25</f>
        <v>5.0999999999999996</v>
      </c>
      <c r="B25" s="87">
        <f>$A$25*B$23-$F$6</f>
        <v>-101.2532764625</v>
      </c>
      <c r="C25" s="87">
        <f>$A$25*C$23-$F$6</f>
        <v>-51.528276462500003</v>
      </c>
      <c r="D25" s="87">
        <f>$A$25*D$23-$F$6</f>
        <v>-18.378276462499969</v>
      </c>
      <c r="E25" s="87">
        <f>$A$25*E$23-$F$6</f>
        <v>14.771723537500009</v>
      </c>
      <c r="F25" s="87">
        <f>$A$25*F$23-$F$6</f>
        <v>64.496723537499975</v>
      </c>
      <c r="H25" s="91">
        <f>Irrigated!H25</f>
        <v>403.75</v>
      </c>
      <c r="I25" s="87">
        <f>$H$25*I$23/2000-$C$6</f>
        <v>-148.31809999999996</v>
      </c>
      <c r="J25" s="87">
        <f>$H$25*J$23/2000-$C$6</f>
        <v>-45.361850000000004</v>
      </c>
      <c r="K25" s="87">
        <f>$H$25*K$23/2000-$C$6</f>
        <v>23.275650000000041</v>
      </c>
      <c r="L25" s="87">
        <f>$H$25*L$23/2000-$C$6</f>
        <v>91.913150000000201</v>
      </c>
      <c r="M25" s="87">
        <f>$H$25*M$23/2000-$C$6</f>
        <v>194.86940000000004</v>
      </c>
    </row>
    <row r="26" spans="1:13" x14ac:dyDescent="0.15">
      <c r="A26" s="86">
        <f>Irrigated!A26</f>
        <v>6</v>
      </c>
      <c r="B26" s="87">
        <f>$A$26*B$23-$F$6</f>
        <v>-57.378276462499969</v>
      </c>
      <c r="C26" s="87">
        <f>$A$26*C$23-$F$6</f>
        <v>1.1217235375000314</v>
      </c>
      <c r="D26" s="87">
        <f>$A$26*D$23-$F$6</f>
        <v>40.121723537500031</v>
      </c>
      <c r="E26" s="87">
        <f>$A$26*E$23-$F$6</f>
        <v>79.121723537500031</v>
      </c>
      <c r="F26" s="87">
        <f>$A$26*F$23-$F$6</f>
        <v>137.62172353750003</v>
      </c>
      <c r="H26" s="91">
        <f>Irrigated!H26</f>
        <v>475</v>
      </c>
      <c r="I26" s="87">
        <f>$H$26*I$23/2000-$C$6</f>
        <v>-57.474349999999959</v>
      </c>
      <c r="J26" s="87">
        <f>$H$26*J$23/2000-$C$6</f>
        <v>63.650650000000041</v>
      </c>
      <c r="K26" s="87">
        <f>$H$26*K$23/2000-$C$6</f>
        <v>144.40065000000004</v>
      </c>
      <c r="L26" s="87">
        <f>$H$26*L$23/2000-$C$6</f>
        <v>225.15065000000016</v>
      </c>
      <c r="M26" s="87">
        <f>$H$26*M$23/2000-$C$6</f>
        <v>346.27565000000004</v>
      </c>
    </row>
    <row r="27" spans="1:13" x14ac:dyDescent="0.15">
      <c r="A27" s="86">
        <f>Irrigated!A27</f>
        <v>6.8999999999999995</v>
      </c>
      <c r="B27" s="87">
        <f>$A$27*B$23-$F$6</f>
        <v>-13.503276462499969</v>
      </c>
      <c r="C27" s="87">
        <f>$A$27*C$23-$F$6</f>
        <v>53.771723537500009</v>
      </c>
      <c r="D27" s="87">
        <f>$A$27*D$23-$F$6</f>
        <v>98.621723537499975</v>
      </c>
      <c r="E27" s="87">
        <f>$A$27*E$23-$F$6</f>
        <v>143.4717235375</v>
      </c>
      <c r="F27" s="87">
        <f>$A$27*F$23-$F$6</f>
        <v>210.74672353750003</v>
      </c>
      <c r="H27" s="91">
        <f>Irrigated!H27</f>
        <v>546.25</v>
      </c>
      <c r="I27" s="87">
        <f>$H$27*I$23/2000-$C$6</f>
        <v>33.369400000000041</v>
      </c>
      <c r="J27" s="87">
        <f>$H$27*J$23/2000-$C$6</f>
        <v>172.66315000000009</v>
      </c>
      <c r="K27" s="87">
        <f>$H$27*K$23/2000-$C$6</f>
        <v>265.52565000000004</v>
      </c>
      <c r="L27" s="87">
        <f>$H$27*L$23/2000-$C$6</f>
        <v>358.38815000000011</v>
      </c>
      <c r="M27" s="87">
        <f>$H$27*M$23/2000-$C$6</f>
        <v>497.68190000000004</v>
      </c>
    </row>
    <row r="28" spans="1:13" x14ac:dyDescent="0.15">
      <c r="A28" s="88">
        <f>Irrigated!A28</f>
        <v>7.8000000000000007</v>
      </c>
      <c r="B28" s="89">
        <f>$A$28*B$23-$F$6</f>
        <v>30.371723537500088</v>
      </c>
      <c r="C28" s="89">
        <f>$A$28*C$23-$F$6</f>
        <v>106.4217235375001</v>
      </c>
      <c r="D28" s="89">
        <f>$A$28*D$23-$F$6</f>
        <v>157.12172353750009</v>
      </c>
      <c r="E28" s="89">
        <f>$A$28*E$23-$F$6</f>
        <v>207.82172353750008</v>
      </c>
      <c r="F28" s="89">
        <f>$A$28*F$23-$F$6</f>
        <v>283.87172353750015</v>
      </c>
      <c r="H28" s="92">
        <f>Irrigated!H28</f>
        <v>617.5</v>
      </c>
      <c r="I28" s="89">
        <f>$H$28*I$23/2000-$C$6</f>
        <v>124.21315000000004</v>
      </c>
      <c r="J28" s="89">
        <f>$H$28*J$23/2000-$C$6</f>
        <v>281.67565000000002</v>
      </c>
      <c r="K28" s="89">
        <f>$H$28*K$23/2000-$C$6</f>
        <v>386.65065000000004</v>
      </c>
      <c r="L28" s="89">
        <f>$H$28*L$23/2000-$C$6</f>
        <v>491.62565000000018</v>
      </c>
      <c r="M28" s="89">
        <f>$H$28*M$23/2000-$C$6</f>
        <v>649.08815000000004</v>
      </c>
    </row>
    <row r="30" spans="1:13" x14ac:dyDescent="0.15">
      <c r="A30" s="464" t="s">
        <v>53</v>
      </c>
      <c r="B30" s="464"/>
      <c r="C30" s="464"/>
      <c r="D30" s="464"/>
      <c r="E30" s="464"/>
      <c r="F30" s="464"/>
      <c r="H30" s="464" t="s">
        <v>63</v>
      </c>
      <c r="I30" s="464"/>
      <c r="J30" s="464"/>
      <c r="K30" s="464"/>
      <c r="L30" s="464"/>
      <c r="M30" s="464"/>
    </row>
    <row r="31" spans="1:13" s="62" customFormat="1" ht="12" x14ac:dyDescent="0.15">
      <c r="A31" s="463" t="s">
        <v>36</v>
      </c>
      <c r="B31" s="463"/>
      <c r="C31" s="463"/>
      <c r="D31" s="463"/>
      <c r="E31" s="463"/>
      <c r="F31" s="463"/>
      <c r="H31" s="463" t="s">
        <v>36</v>
      </c>
      <c r="I31" s="463"/>
      <c r="J31" s="463"/>
      <c r="K31" s="463"/>
      <c r="L31" s="463"/>
      <c r="M31" s="463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15">
      <c r="A34" s="84">
        <f>Irrigated!A34</f>
        <v>9.1</v>
      </c>
      <c r="B34" s="85">
        <f>$A$34*B$33-$E$6</f>
        <v>-107.106535275</v>
      </c>
      <c r="C34" s="85">
        <f>$A$34*C$33-$E$6</f>
        <v>-66.15653527500001</v>
      </c>
      <c r="D34" s="85">
        <f>$A$34*D$33-$E$6</f>
        <v>-38.856535274999999</v>
      </c>
      <c r="E34" s="85">
        <f>$A$34*E$33-$E$6</f>
        <v>-11.556535274999987</v>
      </c>
      <c r="F34" s="85">
        <f>$A$34*F$33-$E$6</f>
        <v>29.393464725000001</v>
      </c>
      <c r="H34" s="84">
        <f>Irrigated!H34</f>
        <v>5.6</v>
      </c>
      <c r="I34" s="85">
        <f>$H$34*I$33-$G$6</f>
        <v>-114.90490336249999</v>
      </c>
      <c r="J34" s="85">
        <f>$H$34*J$33-$G$6</f>
        <v>-68.704903362499977</v>
      </c>
      <c r="K34" s="85">
        <f>$H$34*K$33-$G$6</f>
        <v>-37.904903362499965</v>
      </c>
      <c r="L34" s="85">
        <f>$H$34*L$33-$G$6</f>
        <v>-7.1049033624999538</v>
      </c>
      <c r="M34" s="85">
        <f>$H$34*M$33-$G$6</f>
        <v>39.095096637500035</v>
      </c>
    </row>
    <row r="35" spans="1:13" x14ac:dyDescent="0.15">
      <c r="A35" s="86">
        <f>Irrigated!A35</f>
        <v>11.049999999999999</v>
      </c>
      <c r="B35" s="87">
        <f>$A$35*B$33-$E$6</f>
        <v>-63.231535275000027</v>
      </c>
      <c r="C35" s="87">
        <f>$A$35*C$33-$E$6</f>
        <v>-13.506535275000033</v>
      </c>
      <c r="D35" s="87">
        <f>$A$35*D$33-$E$6</f>
        <v>19.643464724999944</v>
      </c>
      <c r="E35" s="87">
        <f>$A$35*E$33-$E$6</f>
        <v>52.793464724999978</v>
      </c>
      <c r="F35" s="87">
        <f>$A$35*F$33-$E$6</f>
        <v>102.51846472499994</v>
      </c>
      <c r="H35" s="86">
        <f>Irrigated!H35</f>
        <v>6.8</v>
      </c>
      <c r="I35" s="87">
        <f>$H$35*I$33-$G$6</f>
        <v>-65.404903362499965</v>
      </c>
      <c r="J35" s="87">
        <f>$H$35*J$33-$G$6</f>
        <v>-9.3049033624999993</v>
      </c>
      <c r="K35" s="87">
        <f>$H$35*K$33-$G$6</f>
        <v>28.095096637500035</v>
      </c>
      <c r="L35" s="87">
        <f>$H$35*L$33-$G$6</f>
        <v>65.495096637500069</v>
      </c>
      <c r="M35" s="87">
        <f>$H$35*M$33-$G$6</f>
        <v>121.59509663750003</v>
      </c>
    </row>
    <row r="36" spans="1:13" x14ac:dyDescent="0.15">
      <c r="A36" s="86">
        <f>Irrigated!A36</f>
        <v>13</v>
      </c>
      <c r="B36" s="87">
        <f>$A$36*B$33-$E$6</f>
        <v>-19.356535274999999</v>
      </c>
      <c r="C36" s="87">
        <f>$A$36*C$33-$E$6</f>
        <v>39.143464725000001</v>
      </c>
      <c r="D36" s="87">
        <f>$A$36*D$33-$E$6</f>
        <v>78.143464725000001</v>
      </c>
      <c r="E36" s="87">
        <f>$A$36*E$33-$E$6</f>
        <v>117.143464725</v>
      </c>
      <c r="F36" s="87">
        <f>$A$36*F$33-$E$6</f>
        <v>175.643464725</v>
      </c>
      <c r="H36" s="86">
        <f>Irrigated!H36</f>
        <v>8</v>
      </c>
      <c r="I36" s="87">
        <f>$H$36*I$33-$G$6</f>
        <v>-15.904903362499965</v>
      </c>
      <c r="J36" s="87">
        <f>$H$36*J$33-$G$6</f>
        <v>50.095096637500035</v>
      </c>
      <c r="K36" s="87">
        <f>$H$36*K$33-$G$6</f>
        <v>94.095096637500035</v>
      </c>
      <c r="L36" s="87">
        <f>$H$36*L$33-$G$6</f>
        <v>138.09509663750009</v>
      </c>
      <c r="M36" s="87">
        <f>$H$36*M$33-$G$6</f>
        <v>204.09509663750003</v>
      </c>
    </row>
    <row r="37" spans="1:13" x14ac:dyDescent="0.15">
      <c r="A37" s="86">
        <f>Irrigated!A37</f>
        <v>14.95</v>
      </c>
      <c r="B37" s="87">
        <f>$A$37*B$33-$E$6</f>
        <v>24.518464725000001</v>
      </c>
      <c r="C37" s="87">
        <f>$A$37*C$33-$E$6</f>
        <v>91.793464724999978</v>
      </c>
      <c r="D37" s="87">
        <f>$A$37*D$33-$E$6</f>
        <v>136.643464725</v>
      </c>
      <c r="E37" s="87">
        <f>$A$37*E$33-$E$6</f>
        <v>181.49346472499997</v>
      </c>
      <c r="F37" s="87">
        <f>$A$37*F$33-$E$6</f>
        <v>248.768464725</v>
      </c>
      <c r="H37" s="86">
        <f>Irrigated!H37</f>
        <v>9.1999999999999993</v>
      </c>
      <c r="I37" s="87">
        <f>$H$37*I$33-$G$6</f>
        <v>33.595096637499978</v>
      </c>
      <c r="J37" s="87">
        <f>$H$37*J$33-$G$6</f>
        <v>109.49509663750001</v>
      </c>
      <c r="K37" s="87">
        <f>$H$37*K$33-$G$6</f>
        <v>160.09509663749998</v>
      </c>
      <c r="L37" s="87">
        <f>$H$37*L$33-$G$6</f>
        <v>210.69509663750006</v>
      </c>
      <c r="M37" s="87">
        <f>$H$37*M$33-$G$6</f>
        <v>286.59509663750003</v>
      </c>
    </row>
    <row r="38" spans="1:13" x14ac:dyDescent="0.15">
      <c r="A38" s="88">
        <f>Irrigated!A38</f>
        <v>16.900000000000002</v>
      </c>
      <c r="B38" s="89">
        <f>$A$38*B$33-$E$6</f>
        <v>68.393464725000058</v>
      </c>
      <c r="C38" s="89">
        <f>$A$38*C$33-$E$6</f>
        <v>144.44346472500007</v>
      </c>
      <c r="D38" s="89">
        <f>$A$38*D$33-$E$6</f>
        <v>195.14346472500006</v>
      </c>
      <c r="E38" s="89">
        <f>$A$38*E$33-$E$6</f>
        <v>245.84346472500005</v>
      </c>
      <c r="F38" s="89">
        <f>$A$38*F$33-$E$6</f>
        <v>321.89346472500011</v>
      </c>
      <c r="H38" s="88">
        <f>Irrigated!H38</f>
        <v>10.4</v>
      </c>
      <c r="I38" s="89">
        <f>$H$38*I$33-$G$6</f>
        <v>83.095096637500035</v>
      </c>
      <c r="J38" s="89">
        <f>$H$38*J$33-$G$6</f>
        <v>168.8950966375001</v>
      </c>
      <c r="K38" s="89">
        <f>$H$38*K$33-$G$6</f>
        <v>226.09509663750003</v>
      </c>
      <c r="L38" s="89">
        <f>$H$38*L$33-$G$6</f>
        <v>283.29509663750008</v>
      </c>
      <c r="M38" s="89">
        <f>$H$38*M$33-$G$6</f>
        <v>369.09509663750003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4" width="6.5" style="75" bestFit="1" customWidth="1"/>
    <col min="15" max="16384" width="9.6640625" style="75"/>
  </cols>
  <sheetData>
    <row r="1" spans="1:13" s="62" customFormat="1" ht="12" hidden="1" x14ac:dyDescent="0.15">
      <c r="A1" s="61"/>
      <c r="B1" s="472" t="s">
        <v>45</v>
      </c>
      <c r="C1" s="472"/>
      <c r="D1" s="472"/>
      <c r="E1" s="472"/>
      <c r="F1" s="472"/>
      <c r="G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15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15">
      <c r="A4" s="62" t="s">
        <v>42</v>
      </c>
      <c r="B4" s="67">
        <f>'Strip-Till'!B8</f>
        <v>0.95</v>
      </c>
      <c r="C4" s="68">
        <f>'Strip-Till'!D8</f>
        <v>475</v>
      </c>
      <c r="D4" s="69">
        <f>'Strip-Till'!F8</f>
        <v>6.5</v>
      </c>
      <c r="E4" s="69">
        <f>'Strip-Till'!H8</f>
        <v>13</v>
      </c>
      <c r="F4" s="69">
        <f>'Strip-Till'!J8</f>
        <v>6</v>
      </c>
      <c r="G4" s="69"/>
    </row>
    <row r="5" spans="1:13" s="62" customFormat="1" ht="12" hidden="1" x14ac:dyDescent="0.15">
      <c r="A5" s="70" t="s">
        <v>44</v>
      </c>
      <c r="B5" s="71">
        <f>B3*B4</f>
        <v>1140</v>
      </c>
      <c r="C5" s="71">
        <f>C3*C4/2000</f>
        <v>1116.25</v>
      </c>
      <c r="D5" s="71">
        <f>D3*D4</f>
        <v>1300</v>
      </c>
      <c r="E5" s="71">
        <f>E3*E4</f>
        <v>780</v>
      </c>
      <c r="F5" s="71">
        <f>F3*F4</f>
        <v>600</v>
      </c>
      <c r="G5" s="72"/>
    </row>
    <row r="6" spans="1:13" s="62" customFormat="1" ht="12" hidden="1" x14ac:dyDescent="0.15">
      <c r="A6" s="70" t="s">
        <v>43</v>
      </c>
      <c r="B6" s="73">
        <f>'Strip-Till'!B31</f>
        <v>776.6681063181818</v>
      </c>
      <c r="C6" s="73">
        <f>'Strip-Till'!D31</f>
        <v>730.82605000000012</v>
      </c>
      <c r="D6" s="73">
        <f>'Strip-Till'!F31</f>
        <v>955.75284499999998</v>
      </c>
      <c r="E6" s="73">
        <f>'Strip-Till'!H31</f>
        <v>354.08124705000006</v>
      </c>
      <c r="F6" s="73">
        <f>'Strip-Till'!J31</f>
        <v>502.20042999999998</v>
      </c>
      <c r="G6" s="68"/>
    </row>
    <row r="7" spans="1:13" s="62" customFormat="1" ht="16" x14ac:dyDescent="0.2">
      <c r="A7" s="471" t="s">
        <v>129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0" t="s">
        <v>153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</row>
    <row r="10" spans="1:13" x14ac:dyDescent="0.15">
      <c r="A10" s="464" t="s">
        <v>55</v>
      </c>
      <c r="B10" s="464"/>
      <c r="C10" s="464"/>
      <c r="D10" s="464"/>
      <c r="E10" s="464"/>
      <c r="F10" s="464"/>
      <c r="H10" s="464" t="s">
        <v>56</v>
      </c>
      <c r="I10" s="464"/>
      <c r="J10" s="464"/>
      <c r="K10" s="464"/>
      <c r="L10" s="464"/>
      <c r="M10" s="464"/>
    </row>
    <row r="11" spans="1:13" s="62" customFormat="1" ht="12" x14ac:dyDescent="0.15">
      <c r="A11" s="463" t="s">
        <v>36</v>
      </c>
      <c r="B11" s="463"/>
      <c r="C11" s="463"/>
      <c r="D11" s="463"/>
      <c r="E11" s="463"/>
      <c r="F11" s="463"/>
      <c r="H11" s="467" t="s">
        <v>36</v>
      </c>
      <c r="I11" s="467"/>
      <c r="J11" s="467"/>
      <c r="K11" s="467"/>
      <c r="L11" s="467"/>
      <c r="M11" s="467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Irrigated!A14</f>
        <v>4.55</v>
      </c>
      <c r="B14" s="85">
        <f>$A$14*B$13-$D$6</f>
        <v>-273.25284499999998</v>
      </c>
      <c r="C14" s="85">
        <f>$A$14*C$13-$D$6</f>
        <v>-136.75284499999998</v>
      </c>
      <c r="D14" s="85">
        <f>$A$14*D$13-$D$6</f>
        <v>-45.752844999999979</v>
      </c>
      <c r="E14" s="85">
        <f>$A$14*E$13-$D$6</f>
        <v>45.247155000000134</v>
      </c>
      <c r="F14" s="85">
        <f>$A$14*F$13-$D$6</f>
        <v>181.74715500000002</v>
      </c>
      <c r="H14" s="84">
        <f>Irrigated!H14</f>
        <v>0.66499999999999992</v>
      </c>
      <c r="I14" s="87">
        <f>$H$14*$I$13-$B$6</f>
        <v>-178.16810631818191</v>
      </c>
      <c r="J14" s="87">
        <f>$H$14*J13-$B$6</f>
        <v>-58.468106318181867</v>
      </c>
      <c r="K14" s="87">
        <f>$H$14*K13-$B$6</f>
        <v>21.331893681818087</v>
      </c>
      <c r="L14" s="87">
        <f>$H$14*L13-$B$6</f>
        <v>101.13189368181816</v>
      </c>
      <c r="M14" s="87">
        <f>$H$14*M13-$B$6</f>
        <v>220.83189368181809</v>
      </c>
    </row>
    <row r="15" spans="1:13" x14ac:dyDescent="0.15">
      <c r="A15" s="86">
        <f>Irrigated!A15</f>
        <v>5.5249999999999995</v>
      </c>
      <c r="B15" s="87">
        <f>$A$15*B$13-$D$6</f>
        <v>-127.00284500000009</v>
      </c>
      <c r="C15" s="87">
        <f>$A$15*C$13-$D$6</f>
        <v>38.747154999999907</v>
      </c>
      <c r="D15" s="87">
        <f>$A$15*D$13-$D$6</f>
        <v>149.24715500000002</v>
      </c>
      <c r="E15" s="87">
        <f>$A$15*E$13-$D$6</f>
        <v>259.74715500000002</v>
      </c>
      <c r="F15" s="87">
        <f>$A$15*F$13-$D$6</f>
        <v>425.49715499999979</v>
      </c>
      <c r="H15" s="86">
        <f>Irrigated!H15</f>
        <v>0.8075</v>
      </c>
      <c r="I15" s="87">
        <f>$H$15*$I$13-$B$6</f>
        <v>-49.918106318181799</v>
      </c>
      <c r="J15" s="87">
        <f>$H$15*J13-$B$6</f>
        <v>95.431893681818224</v>
      </c>
      <c r="K15" s="87">
        <f>$H$15*K13-$B$6</f>
        <v>192.3318936818182</v>
      </c>
      <c r="L15" s="87">
        <f>$H$15*L13-$B$6</f>
        <v>289.23189368181829</v>
      </c>
      <c r="M15" s="87">
        <f>$H$15*M13-$B$6</f>
        <v>434.5818936818182</v>
      </c>
    </row>
    <row r="16" spans="1:13" x14ac:dyDescent="0.15">
      <c r="A16" s="86">
        <f>Irrigated!A16</f>
        <v>6.5</v>
      </c>
      <c r="B16" s="87">
        <f>$A$16*B$13-$D$6</f>
        <v>19.247155000000021</v>
      </c>
      <c r="C16" s="87">
        <f>$A$16*C$13-$D$6</f>
        <v>214.24715500000002</v>
      </c>
      <c r="D16" s="87">
        <f>$A$16*D$13-$D$6</f>
        <v>344.24715500000002</v>
      </c>
      <c r="E16" s="87">
        <f>$A$16*E$13-$D$6</f>
        <v>474.24715500000025</v>
      </c>
      <c r="F16" s="87">
        <f>$A$16*F$13-$D$6</f>
        <v>669.24715500000002</v>
      </c>
      <c r="H16" s="86">
        <f>Irrigated!H16</f>
        <v>0.95</v>
      </c>
      <c r="I16" s="87">
        <f>$H$16*$I$13-$B$6</f>
        <v>78.331893681818201</v>
      </c>
      <c r="J16" s="87">
        <f>$H$16*J13-$B$6</f>
        <v>249.3318936818182</v>
      </c>
      <c r="K16" s="87">
        <f>$H$16*K13-$B$6</f>
        <v>363.3318936818182</v>
      </c>
      <c r="L16" s="87">
        <f>$H$16*L13-$B$6</f>
        <v>477.3318936818182</v>
      </c>
      <c r="M16" s="87">
        <f>$H$16*M13-$B$6</f>
        <v>648.3318936818182</v>
      </c>
    </row>
    <row r="17" spans="1:13" x14ac:dyDescent="0.15">
      <c r="A17" s="86">
        <f>Irrigated!A17</f>
        <v>7.4749999999999996</v>
      </c>
      <c r="B17" s="87">
        <f>$A$17*B$13-$D$6</f>
        <v>165.49715500000002</v>
      </c>
      <c r="C17" s="87">
        <f>$A$17*C$13-$D$6</f>
        <v>389.74715500000002</v>
      </c>
      <c r="D17" s="87">
        <f>$A$17*D$13-$D$6</f>
        <v>539.24715500000002</v>
      </c>
      <c r="E17" s="87">
        <f>$A$17*E$13-$D$6</f>
        <v>688.74715500000025</v>
      </c>
      <c r="F17" s="87">
        <f>$A$17*F$13-$D$6</f>
        <v>912.99715500000002</v>
      </c>
      <c r="H17" s="86">
        <f>Irrigated!H17</f>
        <v>1.0924999999999998</v>
      </c>
      <c r="I17" s="87">
        <f>$H$17*$I$13-$B$6</f>
        <v>206.58189368181797</v>
      </c>
      <c r="J17" s="87">
        <f>$H$17*J13-$B$6</f>
        <v>403.23189368181806</v>
      </c>
      <c r="K17" s="87">
        <f>$H$17*K13-$B$6</f>
        <v>534.33189368181797</v>
      </c>
      <c r="L17" s="87">
        <f>$H$17*L13-$B$6</f>
        <v>665.43189368181788</v>
      </c>
      <c r="M17" s="87">
        <f>$H$17*M13-$B$6</f>
        <v>862.08189368181797</v>
      </c>
    </row>
    <row r="18" spans="1:13" x14ac:dyDescent="0.15">
      <c r="A18" s="88">
        <f>Irrigated!A18</f>
        <v>8.4500000000000011</v>
      </c>
      <c r="B18" s="89">
        <f>$A$18*B$13-$D$6</f>
        <v>311.74715500000025</v>
      </c>
      <c r="C18" s="89">
        <f>$A$18*C$13-$D$6</f>
        <v>565.24715500000025</v>
      </c>
      <c r="D18" s="89">
        <f>$A$18*D$13-$D$6</f>
        <v>734.24715500000025</v>
      </c>
      <c r="E18" s="89">
        <f>$A$18*E$13-$D$6</f>
        <v>903.24715500000048</v>
      </c>
      <c r="F18" s="89">
        <f>$A$18*F$13-$D$6</f>
        <v>1156.7471550000005</v>
      </c>
      <c r="H18" s="88">
        <f>Irrigated!H18</f>
        <v>1.2349999999999999</v>
      </c>
      <c r="I18" s="89">
        <f>$H$18*$I$13-$B$6</f>
        <v>334.8318936818182</v>
      </c>
      <c r="J18" s="89">
        <f>$H$18*J13-$B$6</f>
        <v>557.13189368181816</v>
      </c>
      <c r="K18" s="89">
        <f>$H$18*K13-$B$6</f>
        <v>705.33189368181797</v>
      </c>
      <c r="L18" s="89">
        <f>$H$18*L13-$B$6</f>
        <v>853.53189368181802</v>
      </c>
      <c r="M18" s="89">
        <f>$H$18*M13-$B$6</f>
        <v>1075.831893681818</v>
      </c>
    </row>
    <row r="20" spans="1:13" x14ac:dyDescent="0.15">
      <c r="A20" s="464" t="s">
        <v>57</v>
      </c>
      <c r="B20" s="464"/>
      <c r="C20" s="464"/>
      <c r="D20" s="464"/>
      <c r="E20" s="464"/>
      <c r="F20" s="464"/>
      <c r="H20" s="465" t="s">
        <v>122</v>
      </c>
      <c r="I20" s="465"/>
      <c r="J20" s="465"/>
      <c r="K20" s="465"/>
      <c r="L20" s="465"/>
      <c r="M20" s="465"/>
    </row>
    <row r="21" spans="1:13" s="62" customFormat="1" ht="12" x14ac:dyDescent="0.15">
      <c r="A21" s="463" t="s">
        <v>36</v>
      </c>
      <c r="B21" s="463"/>
      <c r="C21" s="463"/>
      <c r="D21" s="463"/>
      <c r="E21" s="463"/>
      <c r="F21" s="463"/>
      <c r="H21" s="466" t="s">
        <v>36</v>
      </c>
      <c r="I21" s="466"/>
      <c r="J21" s="466"/>
      <c r="K21" s="466"/>
      <c r="L21" s="466"/>
      <c r="M21" s="466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Irrigated!A24</f>
        <v>4.1999999999999993</v>
      </c>
      <c r="B24" s="85">
        <f>$A$24*B$23-$F$6</f>
        <v>-187.20043000000004</v>
      </c>
      <c r="C24" s="85">
        <f>$A$24*C$23-$F$6</f>
        <v>-124.20043000000004</v>
      </c>
      <c r="D24" s="85">
        <f>$A$24*D$23-$F$6</f>
        <v>-82.20043000000004</v>
      </c>
      <c r="E24" s="85">
        <f>$A$24*E$23-$F$6</f>
        <v>-40.200429999999983</v>
      </c>
      <c r="F24" s="85">
        <f>$A$24*F$23-$F$6</f>
        <v>22.799569999999903</v>
      </c>
      <c r="H24" s="90">
        <f>Irrigated!H24</f>
        <v>332.5</v>
      </c>
      <c r="I24" s="85">
        <f>$H$24*I$23/2000-$C$6</f>
        <v>-144.79480000000012</v>
      </c>
      <c r="J24" s="85">
        <f>$H$24*J$23/2000-$C$6</f>
        <v>-27.588550000000168</v>
      </c>
      <c r="K24" s="85">
        <f>$H$24*K$23/2000-$C$6</f>
        <v>50.548949999999877</v>
      </c>
      <c r="L24" s="85">
        <f>$H$24*L$23/2000-$C$6</f>
        <v>128.68644999999992</v>
      </c>
      <c r="M24" s="85">
        <f>$H$24*M$23/2000-$C$6</f>
        <v>245.89269999999988</v>
      </c>
    </row>
    <row r="25" spans="1:13" x14ac:dyDescent="0.15">
      <c r="A25" s="86">
        <f>Irrigated!A25</f>
        <v>5.0999999999999996</v>
      </c>
      <c r="B25" s="87">
        <f>$A$25*B$23-$F$6</f>
        <v>-119.70042999999998</v>
      </c>
      <c r="C25" s="87">
        <f>$A$25*C$23-$F$6</f>
        <v>-43.20043000000004</v>
      </c>
      <c r="D25" s="87">
        <f>$A$25*D$23-$F$6</f>
        <v>7.7995699999999601</v>
      </c>
      <c r="E25" s="87">
        <f>$A$25*E$23-$F$6</f>
        <v>58.799570000000017</v>
      </c>
      <c r="F25" s="87">
        <f>$A$25*F$23-$F$6</f>
        <v>135.29957000000002</v>
      </c>
      <c r="H25" s="91">
        <f>Irrigated!H25</f>
        <v>403.75</v>
      </c>
      <c r="I25" s="87">
        <f>$H$25*I$23/2000-$C$6</f>
        <v>-19.216675000000123</v>
      </c>
      <c r="J25" s="87">
        <f>$H$25*J$23/2000-$C$6</f>
        <v>123.10519999999985</v>
      </c>
      <c r="K25" s="87">
        <f>$H$25*K$23/2000-$C$6</f>
        <v>217.98644999999988</v>
      </c>
      <c r="L25" s="87">
        <f>$H$25*L$23/2000-$C$6</f>
        <v>312.86769999999979</v>
      </c>
      <c r="M25" s="87">
        <f>$H$25*M$23/2000-$C$6</f>
        <v>455.18957499999988</v>
      </c>
    </row>
    <row r="26" spans="1:13" x14ac:dyDescent="0.15">
      <c r="A26" s="86">
        <f>Irrigated!A26</f>
        <v>6</v>
      </c>
      <c r="B26" s="87">
        <f>$A$26*B$23-$F$6</f>
        <v>-52.200429999999983</v>
      </c>
      <c r="C26" s="87">
        <f>$A$26*C$23-$F$6</f>
        <v>37.799570000000017</v>
      </c>
      <c r="D26" s="87">
        <f>$A$26*D$23-$F$6</f>
        <v>97.799570000000017</v>
      </c>
      <c r="E26" s="87">
        <f>$A$26*E$23-$F$6</f>
        <v>157.79957000000013</v>
      </c>
      <c r="F26" s="87">
        <f>$A$26*F$23-$F$6</f>
        <v>247.79957000000002</v>
      </c>
      <c r="H26" s="91">
        <f>Irrigated!H26</f>
        <v>475</v>
      </c>
      <c r="I26" s="87">
        <f>$H$26*I$23/2000-$C$6</f>
        <v>106.36144999999988</v>
      </c>
      <c r="J26" s="87">
        <f>$H$26*J$23/2000-$C$6</f>
        <v>273.79894999999988</v>
      </c>
      <c r="K26" s="87">
        <f>$H$26*K$23/2000-$C$6</f>
        <v>385.42394999999988</v>
      </c>
      <c r="L26" s="87">
        <f>$H$26*L$23/2000-$C$6</f>
        <v>497.04894999999988</v>
      </c>
      <c r="M26" s="87">
        <f>$H$26*M$23/2000-$C$6</f>
        <v>664.48644999999988</v>
      </c>
    </row>
    <row r="27" spans="1:13" x14ac:dyDescent="0.15">
      <c r="A27" s="86">
        <f>Irrigated!A27</f>
        <v>6.8999999999999995</v>
      </c>
      <c r="B27" s="87">
        <f>$A$27*B$23-$F$6</f>
        <v>15.299570000000017</v>
      </c>
      <c r="C27" s="87">
        <f>$A$27*C$23-$F$6</f>
        <v>118.79957000000002</v>
      </c>
      <c r="D27" s="87">
        <f>$A$27*D$23-$F$6</f>
        <v>187.79957000000002</v>
      </c>
      <c r="E27" s="87">
        <f>$A$27*E$23-$F$6</f>
        <v>256.79957000000002</v>
      </c>
      <c r="F27" s="87">
        <f>$A$27*F$23-$F$6</f>
        <v>360.2995699999999</v>
      </c>
      <c r="H27" s="91">
        <f>Irrigated!H27</f>
        <v>546.25</v>
      </c>
      <c r="I27" s="87">
        <f>$H$27*I$23/2000-$C$6</f>
        <v>231.93957499999988</v>
      </c>
      <c r="J27" s="87">
        <f>$H$27*J$23/2000-$C$6</f>
        <v>424.49269999999979</v>
      </c>
      <c r="K27" s="87">
        <f>$H$27*K$23/2000-$C$6</f>
        <v>552.86144999999988</v>
      </c>
      <c r="L27" s="87">
        <f>$H$27*L$23/2000-$C$6</f>
        <v>681.23019999999997</v>
      </c>
      <c r="M27" s="87">
        <f>$H$27*M$23/2000-$C$6</f>
        <v>873.78332499999988</v>
      </c>
    </row>
    <row r="28" spans="1:13" x14ac:dyDescent="0.15">
      <c r="A28" s="88">
        <f>Irrigated!A28</f>
        <v>7.8000000000000007</v>
      </c>
      <c r="B28" s="89">
        <f>$A$28*B$23-$F$6</f>
        <v>82.799570000000017</v>
      </c>
      <c r="C28" s="89">
        <f>$A$28*C$23-$F$6</f>
        <v>199.79957000000013</v>
      </c>
      <c r="D28" s="89">
        <f>$A$28*D$23-$F$6</f>
        <v>277.79957000000013</v>
      </c>
      <c r="E28" s="89">
        <f>$A$28*E$23-$F$6</f>
        <v>355.79957000000024</v>
      </c>
      <c r="F28" s="89">
        <f>$A$28*F$23-$F$6</f>
        <v>472.79957000000013</v>
      </c>
      <c r="H28" s="92">
        <f>Irrigated!H28</f>
        <v>617.5</v>
      </c>
      <c r="I28" s="89">
        <f>$H$28*I$23/2000-$C$6</f>
        <v>357.51769999999988</v>
      </c>
      <c r="J28" s="89">
        <f>$H$28*J$23/2000-$C$6</f>
        <v>575.18644999999992</v>
      </c>
      <c r="K28" s="89">
        <f>$H$28*K$23/2000-$C$6</f>
        <v>720.29894999999988</v>
      </c>
      <c r="L28" s="89">
        <f>$H$28*L$23/2000-$C$6</f>
        <v>865.41144999999983</v>
      </c>
      <c r="M28" s="89">
        <f>$H$28*M$23/2000-$C$6</f>
        <v>1083.0801999999999</v>
      </c>
    </row>
    <row r="30" spans="1:13" x14ac:dyDescent="0.15">
      <c r="A30" s="464" t="s">
        <v>58</v>
      </c>
      <c r="B30" s="464"/>
      <c r="C30" s="464"/>
      <c r="D30" s="464"/>
      <c r="E30" s="464"/>
      <c r="F30" s="464"/>
    </row>
    <row r="31" spans="1:13" s="62" customFormat="1" ht="12" x14ac:dyDescent="0.15">
      <c r="A31" s="463" t="s">
        <v>36</v>
      </c>
      <c r="B31" s="463"/>
      <c r="C31" s="463"/>
      <c r="D31" s="463"/>
      <c r="E31" s="463"/>
      <c r="F31" s="463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15">
      <c r="A34" s="84">
        <f>Irrigated!A34</f>
        <v>9.1</v>
      </c>
      <c r="B34" s="85">
        <f>$A$34*B$33-$E$6</f>
        <v>55.418752949999941</v>
      </c>
      <c r="C34" s="85">
        <f>$A$34*C$33-$E$6</f>
        <v>137.31875294999992</v>
      </c>
      <c r="D34" s="85">
        <f>$A$34*D$33-$E$6</f>
        <v>191.91875294999994</v>
      </c>
      <c r="E34" s="85">
        <f>$A$34*E$33-$E$6</f>
        <v>246.51875294999996</v>
      </c>
      <c r="F34" s="85">
        <f>$A$34*F$33-$E$6</f>
        <v>328.41875294999994</v>
      </c>
    </row>
    <row r="35" spans="1:6" x14ac:dyDescent="0.15">
      <c r="A35" s="86">
        <f>Irrigated!A35</f>
        <v>11.049999999999999</v>
      </c>
      <c r="B35" s="87">
        <f>$A$35*B$33-$E$6</f>
        <v>143.16875294999988</v>
      </c>
      <c r="C35" s="87">
        <f>$A$35*C$33-$E$6</f>
        <v>242.61875294999987</v>
      </c>
      <c r="D35" s="87">
        <f>$A$35*D$33-$E$6</f>
        <v>308.91875294999983</v>
      </c>
      <c r="E35" s="87">
        <f>$A$35*E$33-$E$6</f>
        <v>375.2187529499999</v>
      </c>
      <c r="F35" s="87">
        <f>$A$35*F$33-$E$6</f>
        <v>474.66875294999983</v>
      </c>
    </row>
    <row r="36" spans="1:6" x14ac:dyDescent="0.15">
      <c r="A36" s="86">
        <f>Irrigated!A36</f>
        <v>13</v>
      </c>
      <c r="B36" s="87">
        <f>$A$36*B$33-$E$6</f>
        <v>230.91875294999994</v>
      </c>
      <c r="C36" s="87">
        <f>$A$36*C$33-$E$6</f>
        <v>347.91875294999994</v>
      </c>
      <c r="D36" s="87">
        <f>$A$36*D$33-$E$6</f>
        <v>425.91875294999994</v>
      </c>
      <c r="E36" s="87">
        <f>$A$36*E$33-$E$6</f>
        <v>503.91875294999994</v>
      </c>
      <c r="F36" s="87">
        <f>$A$36*F$33-$E$6</f>
        <v>620.91875295</v>
      </c>
    </row>
    <row r="37" spans="1:6" x14ac:dyDescent="0.15">
      <c r="A37" s="86">
        <f>Irrigated!A37</f>
        <v>14.95</v>
      </c>
      <c r="B37" s="87">
        <f>$A$37*B$33-$E$6</f>
        <v>318.66875294999994</v>
      </c>
      <c r="C37" s="87">
        <f>$A$37*C$33-$E$6</f>
        <v>453.2187529499999</v>
      </c>
      <c r="D37" s="87">
        <f>$A$37*D$33-$E$6</f>
        <v>542.91875295</v>
      </c>
      <c r="E37" s="87">
        <f>$A$37*E$33-$E$6</f>
        <v>632.61875294999982</v>
      </c>
      <c r="F37" s="87">
        <f>$A$37*F$33-$E$6</f>
        <v>767.16875295</v>
      </c>
    </row>
    <row r="38" spans="1:6" x14ac:dyDescent="0.15">
      <c r="A38" s="88">
        <f>Irrigated!A38</f>
        <v>16.900000000000002</v>
      </c>
      <c r="B38" s="89">
        <f>$A$38*B$33-$E$6</f>
        <v>406.41875295000006</v>
      </c>
      <c r="C38" s="89">
        <f>$A$38*C$33-$E$6</f>
        <v>558.51875295000013</v>
      </c>
      <c r="D38" s="89">
        <f>$A$38*D$33-$E$6</f>
        <v>659.91875295</v>
      </c>
      <c r="E38" s="89">
        <f>$A$38*E$33-$E$6</f>
        <v>761.31875295000009</v>
      </c>
      <c r="F38" s="89">
        <f>$A$38*F$33-$E$6</f>
        <v>913.41875295000023</v>
      </c>
    </row>
    <row r="39" spans="1:6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75" customWidth="1"/>
    <col min="14" max="16384" width="9.6640625" style="75"/>
  </cols>
  <sheetData>
    <row r="1" spans="1:13" s="62" customFormat="1" ht="12" hidden="1" x14ac:dyDescent="0.15">
      <c r="B1" s="472" t="s">
        <v>46</v>
      </c>
      <c r="C1" s="472"/>
      <c r="D1" s="472"/>
      <c r="E1" s="472"/>
      <c r="F1" s="472"/>
      <c r="G1" s="93"/>
    </row>
    <row r="2" spans="1:13" s="62" customFormat="1" ht="12" hidden="1" x14ac:dyDescent="0.15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 x14ac:dyDescent="0.15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15">
      <c r="A4" s="62" t="s">
        <v>42</v>
      </c>
      <c r="B4" s="67">
        <f>'Strip-Till'!L8</f>
        <v>0.95</v>
      </c>
      <c r="C4" s="68">
        <f>'Strip-Till'!N8</f>
        <v>475</v>
      </c>
      <c r="D4" s="69">
        <f>'Strip-Till'!P8</f>
        <v>6.5</v>
      </c>
      <c r="E4" s="69">
        <f>'Strip-Till'!R8</f>
        <v>13</v>
      </c>
      <c r="F4" s="69">
        <f>'Strip-Till'!T8</f>
        <v>6</v>
      </c>
    </row>
    <row r="5" spans="1:13" s="62" customFormat="1" ht="12" hidden="1" x14ac:dyDescent="0.15">
      <c r="A5" s="70" t="s">
        <v>44</v>
      </c>
      <c r="B5" s="71">
        <f>B3*B4</f>
        <v>712.5</v>
      </c>
      <c r="C5" s="71">
        <f>C3*C4/2000</f>
        <v>807.5</v>
      </c>
      <c r="D5" s="71">
        <f>D3*D4</f>
        <v>552.5</v>
      </c>
      <c r="E5" s="71">
        <f>E3*E4</f>
        <v>390</v>
      </c>
      <c r="F5" s="71">
        <f>F3*F4</f>
        <v>390</v>
      </c>
    </row>
    <row r="6" spans="1:13" s="62" customFormat="1" ht="12" hidden="1" x14ac:dyDescent="0.15">
      <c r="A6" s="70" t="s">
        <v>43</v>
      </c>
      <c r="B6" s="73">
        <f>'Strip-Till'!L31</f>
        <v>660.77161551136362</v>
      </c>
      <c r="C6" s="73">
        <f>'Strip-Till'!N31</f>
        <v>641.95339999999999</v>
      </c>
      <c r="D6" s="73">
        <f>'Strip-Till'!P31</f>
        <v>466.73799741250002</v>
      </c>
      <c r="E6" s="73">
        <f>'Strip-Till'!R31</f>
        <v>301.88721652500004</v>
      </c>
      <c r="F6" s="73">
        <f>'Strip-Till'!T31</f>
        <v>336.60297646249995</v>
      </c>
    </row>
    <row r="7" spans="1:13" s="62" customFormat="1" ht="16" x14ac:dyDescent="0.2">
      <c r="A7" s="471" t="s">
        <v>130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0" t="s">
        <v>153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</row>
    <row r="10" spans="1:13" x14ac:dyDescent="0.15">
      <c r="A10" s="464" t="s">
        <v>59</v>
      </c>
      <c r="B10" s="464"/>
      <c r="C10" s="464"/>
      <c r="D10" s="464"/>
      <c r="E10" s="464"/>
      <c r="F10" s="464"/>
      <c r="H10" s="464" t="s">
        <v>62</v>
      </c>
      <c r="I10" s="464"/>
      <c r="J10" s="464"/>
      <c r="K10" s="464"/>
      <c r="L10" s="464"/>
      <c r="M10" s="464"/>
    </row>
    <row r="11" spans="1:13" s="62" customFormat="1" ht="12" x14ac:dyDescent="0.15">
      <c r="A11" s="463" t="s">
        <v>36</v>
      </c>
      <c r="B11" s="463"/>
      <c r="C11" s="463"/>
      <c r="D11" s="463"/>
      <c r="E11" s="463"/>
      <c r="F11" s="463"/>
      <c r="H11" s="467" t="s">
        <v>36</v>
      </c>
      <c r="I11" s="467"/>
      <c r="J11" s="467"/>
      <c r="K11" s="467"/>
      <c r="L11" s="467"/>
      <c r="M11" s="467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15">
      <c r="A14" s="84">
        <f>Irrigated!A14</f>
        <v>4.55</v>
      </c>
      <c r="B14" s="85">
        <f>$A$14*B$13-$D$6</f>
        <v>-176.67549741250002</v>
      </c>
      <c r="C14" s="85">
        <f>$A$14*C$13-$D$6</f>
        <v>-118.66299741250003</v>
      </c>
      <c r="D14" s="85">
        <f>$A$14*D$13-$D$6</f>
        <v>-79.987997412500022</v>
      </c>
      <c r="E14" s="85">
        <f>$A$14*E$13-$D$6</f>
        <v>-41.312997412499953</v>
      </c>
      <c r="F14" s="85">
        <f>$A$14*F$13-$D$6</f>
        <v>16.699502587499978</v>
      </c>
      <c r="H14" s="84">
        <f>Irrigated!H14</f>
        <v>0.66499999999999992</v>
      </c>
      <c r="I14" s="85">
        <f>$H$14*I$13-$B$6</f>
        <v>-286.70911551136368</v>
      </c>
      <c r="J14" s="85">
        <f>$H$14*J$13-$B$6</f>
        <v>-211.89661551136368</v>
      </c>
      <c r="K14" s="85">
        <f>$H$14*K$13-$B$6</f>
        <v>-162.02161551136368</v>
      </c>
      <c r="L14" s="85">
        <f>$H$14*L$13-$B$6</f>
        <v>-112.14661551136362</v>
      </c>
      <c r="M14" s="85">
        <f>$H$14*M$13-$B$6</f>
        <v>-37.334115511363734</v>
      </c>
    </row>
    <row r="15" spans="1:13" x14ac:dyDescent="0.15">
      <c r="A15" s="86">
        <f>Irrigated!A15</f>
        <v>5.5249999999999995</v>
      </c>
      <c r="B15" s="87">
        <f>$A$15*B$13-$D$6</f>
        <v>-114.51924741250008</v>
      </c>
      <c r="C15" s="87">
        <f>$A$15*C$13-$D$6</f>
        <v>-44.075497412500056</v>
      </c>
      <c r="D15" s="87">
        <f>$A$15*D$13-$D$6</f>
        <v>2.8870025874999214</v>
      </c>
      <c r="E15" s="87">
        <f>$A$15*E$13-$D$6</f>
        <v>49.849502587499956</v>
      </c>
      <c r="F15" s="87">
        <f>$A$15*F$13-$D$6</f>
        <v>120.29325258749998</v>
      </c>
      <c r="H15" s="86">
        <f>Irrigated!H15</f>
        <v>0.8075</v>
      </c>
      <c r="I15" s="87">
        <f>$H$15*I$13-$B$6</f>
        <v>-206.55286551136362</v>
      </c>
      <c r="J15" s="87">
        <f>$H$15*J$13-$B$6</f>
        <v>-115.70911551136362</v>
      </c>
      <c r="K15" s="87">
        <f>$H$15*K$13-$B$6</f>
        <v>-55.14661551136362</v>
      </c>
      <c r="L15" s="87">
        <f>$H$15*L$13-$B$6</f>
        <v>5.4158844886364932</v>
      </c>
      <c r="M15" s="87">
        <f>$H$15*M$13-$B$6</f>
        <v>96.25963448863638</v>
      </c>
    </row>
    <row r="16" spans="1:13" x14ac:dyDescent="0.15">
      <c r="A16" s="86">
        <f>Irrigated!A16</f>
        <v>6.5</v>
      </c>
      <c r="B16" s="87">
        <f>$A$16*B$13-$D$6</f>
        <v>-52.362997412500022</v>
      </c>
      <c r="C16" s="87">
        <f>$A$16*C$13-$D$6</f>
        <v>30.512002587499978</v>
      </c>
      <c r="D16" s="87">
        <f>$A$16*D$13-$D$6</f>
        <v>85.762002587499978</v>
      </c>
      <c r="E16" s="87">
        <f>$A$16*E$13-$D$6</f>
        <v>141.01200258750009</v>
      </c>
      <c r="F16" s="87">
        <f>$A$16*F$13-$D$6</f>
        <v>223.88700258749998</v>
      </c>
      <c r="H16" s="86">
        <f>Irrigated!H16</f>
        <v>0.95</v>
      </c>
      <c r="I16" s="87">
        <f>$H$16*I$13-$B$6</f>
        <v>-126.39661551136362</v>
      </c>
      <c r="J16" s="87">
        <f>$H$16*J$13-$B$6</f>
        <v>-19.52161551136362</v>
      </c>
      <c r="K16" s="87">
        <f>$H$16*K$13-$B$6</f>
        <v>51.72838448863638</v>
      </c>
      <c r="L16" s="87">
        <f>$H$16*L$13-$B$6</f>
        <v>122.97838448863649</v>
      </c>
      <c r="M16" s="87">
        <f>$H$16*M$13-$B$6</f>
        <v>229.85338448863638</v>
      </c>
    </row>
    <row r="17" spans="1:13" x14ac:dyDescent="0.15">
      <c r="A17" s="86">
        <f>Irrigated!A17</f>
        <v>7.4749999999999996</v>
      </c>
      <c r="B17" s="87">
        <f>$A$17*B$13-$D$6</f>
        <v>9.7932525874999783</v>
      </c>
      <c r="C17" s="87">
        <f>$A$17*C$13-$D$6</f>
        <v>105.09950258749996</v>
      </c>
      <c r="D17" s="87">
        <f>$A$17*D$13-$D$6</f>
        <v>168.63700258749998</v>
      </c>
      <c r="E17" s="87">
        <f>$A$17*E$13-$D$6</f>
        <v>232.1745025875</v>
      </c>
      <c r="F17" s="87">
        <f>$A$17*F$13-$D$6</f>
        <v>327.48075258749998</v>
      </c>
      <c r="H17" s="86">
        <f>Irrigated!H17</f>
        <v>1.0924999999999998</v>
      </c>
      <c r="I17" s="87">
        <f>$H$17*I$13-$B$6</f>
        <v>-46.240365511363734</v>
      </c>
      <c r="J17" s="87">
        <f>$H$17*J$13-$B$6</f>
        <v>76.665884488636266</v>
      </c>
      <c r="K17" s="87">
        <f>$H$17*K$13-$B$6</f>
        <v>158.60338448863627</v>
      </c>
      <c r="L17" s="87">
        <f>$H$17*L$13-$B$6</f>
        <v>240.54088448863638</v>
      </c>
      <c r="M17" s="87">
        <f>$H$17*M$13-$B$6</f>
        <v>363.44713448863615</v>
      </c>
    </row>
    <row r="18" spans="1:13" x14ac:dyDescent="0.15">
      <c r="A18" s="88">
        <f>Irrigated!A18</f>
        <v>8.4500000000000011</v>
      </c>
      <c r="B18" s="89">
        <f>$A$18*B$13-$D$6</f>
        <v>71.949502587500092</v>
      </c>
      <c r="C18" s="89">
        <f>$A$18*C$13-$D$6</f>
        <v>179.68700258750005</v>
      </c>
      <c r="D18" s="89">
        <f>$A$18*D$13-$D$6</f>
        <v>251.51200258750009</v>
      </c>
      <c r="E18" s="89">
        <f>$A$18*E$13-$D$6</f>
        <v>323.33700258750025</v>
      </c>
      <c r="F18" s="89">
        <f>$A$18*F$13-$D$6</f>
        <v>431.07450258750009</v>
      </c>
      <c r="H18" s="88">
        <f>Irrigated!H18</f>
        <v>1.2349999999999999</v>
      </c>
      <c r="I18" s="89">
        <f>$H$18*I$13-$B$6</f>
        <v>33.915884488636266</v>
      </c>
      <c r="J18" s="89">
        <f>$H$18*J$13-$B$6</f>
        <v>172.85338448863627</v>
      </c>
      <c r="K18" s="89">
        <f>$H$18*K$13-$B$6</f>
        <v>265.47838448863627</v>
      </c>
      <c r="L18" s="89">
        <f>$H$18*L$13-$B$6</f>
        <v>358.10338448863638</v>
      </c>
      <c r="M18" s="89">
        <f>$H$18*M$13-$B$6</f>
        <v>497.04088448863615</v>
      </c>
    </row>
    <row r="20" spans="1:13" x14ac:dyDescent="0.15">
      <c r="A20" s="464" t="s">
        <v>60</v>
      </c>
      <c r="B20" s="464"/>
      <c r="C20" s="464"/>
      <c r="D20" s="464"/>
      <c r="E20" s="464"/>
      <c r="F20" s="464"/>
      <c r="H20" s="465" t="s">
        <v>123</v>
      </c>
      <c r="I20" s="465"/>
      <c r="J20" s="465"/>
      <c r="K20" s="465"/>
      <c r="L20" s="465"/>
      <c r="M20" s="465"/>
    </row>
    <row r="21" spans="1:13" s="62" customFormat="1" ht="12" x14ac:dyDescent="0.15">
      <c r="A21" s="463" t="s">
        <v>36</v>
      </c>
      <c r="B21" s="463"/>
      <c r="C21" s="463"/>
      <c r="D21" s="463"/>
      <c r="E21" s="463"/>
      <c r="F21" s="463"/>
      <c r="H21" s="466" t="s">
        <v>36</v>
      </c>
      <c r="I21" s="466"/>
      <c r="J21" s="466"/>
      <c r="K21" s="466"/>
      <c r="L21" s="466"/>
      <c r="M21" s="466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15">
      <c r="A24" s="84">
        <f>Irrigated!A24</f>
        <v>4.1999999999999993</v>
      </c>
      <c r="B24" s="85">
        <f>$A$24*B$23-$F$6</f>
        <v>-131.85297646249998</v>
      </c>
      <c r="C24" s="85">
        <f>$A$24*C$23-$F$6</f>
        <v>-90.902976462499993</v>
      </c>
      <c r="D24" s="85">
        <f>$A$24*D$23-$F$6</f>
        <v>-63.60297646250001</v>
      </c>
      <c r="E24" s="85">
        <f>$A$24*E$23-$F$6</f>
        <v>-36.302976462499998</v>
      </c>
      <c r="F24" s="85">
        <f>$A$24*F$23-$F$6</f>
        <v>4.6470235374999902</v>
      </c>
      <c r="H24" s="90">
        <f>Irrigated!H24</f>
        <v>332.5</v>
      </c>
      <c r="I24" s="85">
        <f>$H$24*I$23/2000-$C$6</f>
        <v>-218.01589999999999</v>
      </c>
      <c r="J24" s="85">
        <f>$H$24*J$23/2000-$C$6</f>
        <v>-133.22839999999997</v>
      </c>
      <c r="K24" s="85">
        <f>$H$24*K$23/2000-$C$6</f>
        <v>-76.703399999999988</v>
      </c>
      <c r="L24" s="85">
        <f>$H$24*L$23/2000-$C$6</f>
        <v>-20.178399999999897</v>
      </c>
      <c r="M24" s="85">
        <f>$H$24*M$23/2000-$C$6</f>
        <v>64.609100000000012</v>
      </c>
    </row>
    <row r="25" spans="1:13" x14ac:dyDescent="0.15">
      <c r="A25" s="86">
        <f>Irrigated!A25</f>
        <v>5.0999999999999996</v>
      </c>
      <c r="B25" s="87">
        <f>$A$25*B$23-$F$6</f>
        <v>-87.977976462499981</v>
      </c>
      <c r="C25" s="87">
        <f>$A$25*C$23-$F$6</f>
        <v>-38.252976462499987</v>
      </c>
      <c r="D25" s="87">
        <f>$A$25*D$23-$F$6</f>
        <v>-5.102976462499953</v>
      </c>
      <c r="E25" s="87">
        <f>$A$25*E$23-$F$6</f>
        <v>28.047023537500024</v>
      </c>
      <c r="F25" s="87">
        <f>$A$25*F$23-$F$6</f>
        <v>77.77202353749999</v>
      </c>
      <c r="H25" s="91">
        <f>Irrigated!H25</f>
        <v>403.75</v>
      </c>
      <c r="I25" s="87">
        <f>$H$25*I$23/2000-$C$6</f>
        <v>-127.17214999999999</v>
      </c>
      <c r="J25" s="87">
        <f>$H$25*J$23/2000-$C$6</f>
        <v>-24.215900000000033</v>
      </c>
      <c r="K25" s="87">
        <f>$H$25*K$23/2000-$C$6</f>
        <v>44.421600000000012</v>
      </c>
      <c r="L25" s="87">
        <f>$H$25*L$23/2000-$C$6</f>
        <v>113.05910000000017</v>
      </c>
      <c r="M25" s="87">
        <f>$H$25*M$23/2000-$C$6</f>
        <v>216.01535000000001</v>
      </c>
    </row>
    <row r="26" spans="1:13" x14ac:dyDescent="0.15">
      <c r="A26" s="86">
        <f>Irrigated!A26</f>
        <v>6</v>
      </c>
      <c r="B26" s="87">
        <f>$A$26*B$23-$F$6</f>
        <v>-44.102976462499953</v>
      </c>
      <c r="C26" s="87">
        <f>$A$26*C$23-$F$6</f>
        <v>14.397023537500047</v>
      </c>
      <c r="D26" s="87">
        <f>$A$26*D$23-$F$6</f>
        <v>53.397023537500047</v>
      </c>
      <c r="E26" s="87">
        <f>$A$26*E$23-$F$6</f>
        <v>92.397023537500047</v>
      </c>
      <c r="F26" s="87">
        <f>$A$26*F$23-$F$6</f>
        <v>150.89702353750005</v>
      </c>
      <c r="H26" s="91">
        <f>Irrigated!H26</f>
        <v>475</v>
      </c>
      <c r="I26" s="87">
        <f>$H$26*I$23/2000-$C$6</f>
        <v>-36.328399999999988</v>
      </c>
      <c r="J26" s="87">
        <f>$H$26*J$23/2000-$C$6</f>
        <v>84.796600000000012</v>
      </c>
      <c r="K26" s="87">
        <f>$H$26*K$23/2000-$C$6</f>
        <v>165.54660000000001</v>
      </c>
      <c r="L26" s="87">
        <f>$H$26*L$23/2000-$C$6</f>
        <v>246.29660000000013</v>
      </c>
      <c r="M26" s="87">
        <f>$H$26*M$23/2000-$C$6</f>
        <v>367.42160000000001</v>
      </c>
    </row>
    <row r="27" spans="1:13" x14ac:dyDescent="0.15">
      <c r="A27" s="86">
        <f>Irrigated!A27</f>
        <v>6.8999999999999995</v>
      </c>
      <c r="B27" s="87">
        <f>$A$27*B$23-$F$6</f>
        <v>-0.22797646249995296</v>
      </c>
      <c r="C27" s="87">
        <f>$A$27*C$23-$F$6</f>
        <v>67.047023537500024</v>
      </c>
      <c r="D27" s="87">
        <f>$A$27*D$23-$F$6</f>
        <v>111.89702353749999</v>
      </c>
      <c r="E27" s="87">
        <f>$A$27*E$23-$F$6</f>
        <v>156.74702353750001</v>
      </c>
      <c r="F27" s="87">
        <f>$A$27*F$23-$F$6</f>
        <v>224.02202353750005</v>
      </c>
      <c r="H27" s="91">
        <f>Irrigated!H27</f>
        <v>546.25</v>
      </c>
      <c r="I27" s="87">
        <f>$H$27*I$23/2000-$C$6</f>
        <v>54.515350000000012</v>
      </c>
      <c r="J27" s="87">
        <f>$H$27*J$23/2000-$C$6</f>
        <v>193.80910000000006</v>
      </c>
      <c r="K27" s="87">
        <f>$H$27*K$23/2000-$C$6</f>
        <v>286.67160000000001</v>
      </c>
      <c r="L27" s="87">
        <f>$H$27*L$23/2000-$C$6</f>
        <v>379.53410000000008</v>
      </c>
      <c r="M27" s="87">
        <f>$H$27*M$23/2000-$C$6</f>
        <v>518.82785000000001</v>
      </c>
    </row>
    <row r="28" spans="1:13" x14ac:dyDescent="0.15">
      <c r="A28" s="88">
        <f>Irrigated!A28</f>
        <v>7.8000000000000007</v>
      </c>
      <c r="B28" s="89">
        <f>$A$28*B$23-$F$6</f>
        <v>43.647023537500104</v>
      </c>
      <c r="C28" s="89">
        <f>$A$28*C$23-$F$6</f>
        <v>119.69702353750012</v>
      </c>
      <c r="D28" s="89">
        <f>$A$28*D$23-$F$6</f>
        <v>170.3970235375001</v>
      </c>
      <c r="E28" s="89">
        <f>$A$28*E$23-$F$6</f>
        <v>221.09702353750009</v>
      </c>
      <c r="F28" s="89">
        <f>$A$28*F$23-$F$6</f>
        <v>297.14702353750016</v>
      </c>
      <c r="H28" s="92">
        <f>Irrigated!H28</f>
        <v>617.5</v>
      </c>
      <c r="I28" s="89">
        <f>$H$28*I$23/2000-$C$6</f>
        <v>145.35910000000001</v>
      </c>
      <c r="J28" s="89">
        <f>$H$28*J$23/2000-$C$6</f>
        <v>302.82159999999999</v>
      </c>
      <c r="K28" s="89">
        <f>$H$28*K$23/2000-$C$6</f>
        <v>407.79660000000001</v>
      </c>
      <c r="L28" s="89">
        <f>$H$28*L$23/2000-$C$6</f>
        <v>512.77160000000015</v>
      </c>
      <c r="M28" s="89">
        <f>$H$28*M$23/2000-$C$6</f>
        <v>670.23410000000001</v>
      </c>
    </row>
    <row r="30" spans="1:13" x14ac:dyDescent="0.15">
      <c r="A30" s="464" t="s">
        <v>61</v>
      </c>
      <c r="B30" s="464"/>
      <c r="C30" s="464"/>
      <c r="D30" s="464"/>
      <c r="E30" s="464"/>
      <c r="F30" s="464"/>
    </row>
    <row r="31" spans="1:13" s="62" customFormat="1" ht="12" x14ac:dyDescent="0.15">
      <c r="A31" s="463" t="s">
        <v>36</v>
      </c>
      <c r="B31" s="463"/>
      <c r="C31" s="463"/>
      <c r="D31" s="463"/>
      <c r="E31" s="463"/>
      <c r="F31" s="463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 x14ac:dyDescent="0.15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15">
      <c r="A34" s="84">
        <f>Irrigated!A34</f>
        <v>9.1</v>
      </c>
      <c r="B34" s="85">
        <f>$A$34*B$33-$E$6</f>
        <v>-97.137216525000042</v>
      </c>
      <c r="C34" s="85">
        <f>$A$34*C$33-$E$6</f>
        <v>-56.187216525000053</v>
      </c>
      <c r="D34" s="85">
        <f>$A$34*D$33-$E$6</f>
        <v>-28.887216525000042</v>
      </c>
      <c r="E34" s="85">
        <f>$A$34*E$33-$E$6</f>
        <v>-1.5872165250000307</v>
      </c>
      <c r="F34" s="85">
        <f>$A$34*F$33-$E$6</f>
        <v>39.362783474999958</v>
      </c>
      <c r="I34" s="62"/>
    </row>
    <row r="35" spans="1:9" x14ac:dyDescent="0.15">
      <c r="A35" s="86">
        <f>Irrigated!A35</f>
        <v>11.049999999999999</v>
      </c>
      <c r="B35" s="87">
        <f>$A$35*B$33-$E$6</f>
        <v>-53.262216525000071</v>
      </c>
      <c r="C35" s="87">
        <f>$A$35*C$33-$E$6</f>
        <v>-3.5372165250000762</v>
      </c>
      <c r="D35" s="87">
        <f>$A$35*D$33-$E$6</f>
        <v>29.612783474999901</v>
      </c>
      <c r="E35" s="87">
        <f>$A$35*E$33-$E$6</f>
        <v>62.762783474999935</v>
      </c>
      <c r="F35" s="87">
        <f>$A$35*F$33-$E$6</f>
        <v>112.4877834749999</v>
      </c>
      <c r="I35" s="62"/>
    </row>
    <row r="36" spans="1:9" x14ac:dyDescent="0.15">
      <c r="A36" s="86">
        <f>Irrigated!A36</f>
        <v>13</v>
      </c>
      <c r="B36" s="87">
        <f>$A$36*B$33-$E$6</f>
        <v>-9.3872165250000421</v>
      </c>
      <c r="C36" s="87">
        <f>$A$36*C$33-$E$6</f>
        <v>49.112783474999958</v>
      </c>
      <c r="D36" s="87">
        <f>$A$36*D$33-$E$6</f>
        <v>88.112783474999958</v>
      </c>
      <c r="E36" s="87">
        <f>$A$36*E$33-$E$6</f>
        <v>127.11278347499996</v>
      </c>
      <c r="F36" s="87">
        <f>$A$36*F$33-$E$6</f>
        <v>185.61278347499996</v>
      </c>
      <c r="I36" s="62"/>
    </row>
    <row r="37" spans="1:9" x14ac:dyDescent="0.15">
      <c r="A37" s="86">
        <f>Irrigated!A37</f>
        <v>14.95</v>
      </c>
      <c r="B37" s="87">
        <f>$A$37*B$33-$E$6</f>
        <v>34.487783474999958</v>
      </c>
      <c r="C37" s="87">
        <f>$A$37*C$33-$E$6</f>
        <v>101.76278347499994</v>
      </c>
      <c r="D37" s="87">
        <f>$A$37*D$33-$E$6</f>
        <v>146.61278347499996</v>
      </c>
      <c r="E37" s="87">
        <f>$A$37*E$33-$E$6</f>
        <v>191.46278347499992</v>
      </c>
      <c r="F37" s="87">
        <f>$A$37*F$33-$E$6</f>
        <v>258.73778347499996</v>
      </c>
      <c r="I37" s="62"/>
    </row>
    <row r="38" spans="1:9" x14ac:dyDescent="0.15">
      <c r="A38" s="88">
        <f>Irrigated!A38</f>
        <v>16.900000000000002</v>
      </c>
      <c r="B38" s="89">
        <f>$A$38*B$33-$E$6</f>
        <v>78.362783475000015</v>
      </c>
      <c r="C38" s="89">
        <f>$A$38*C$33-$E$6</f>
        <v>154.41278347500003</v>
      </c>
      <c r="D38" s="89">
        <f>$A$38*D$33-$E$6</f>
        <v>205.11278347500001</v>
      </c>
      <c r="E38" s="89">
        <f>$A$38*E$33-$E$6</f>
        <v>255.812783475</v>
      </c>
      <c r="F38" s="89">
        <f>$A$38*F$33-$E$6</f>
        <v>331.86278347500007</v>
      </c>
      <c r="I38" s="62"/>
    </row>
    <row r="39" spans="1:9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50" zoomScaleNormal="150" zoomScaleSheetLayoutView="87" zoomScalePageLayoutView="170" workbookViewId="0">
      <pane xSplit="1" ySplit="9" topLeftCell="B12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baseColWidth="10" defaultColWidth="8.83203125" defaultRowHeight="14" x14ac:dyDescent="0.2"/>
  <cols>
    <col min="1" max="1" width="29.16406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8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6640625" style="101" bestFit="1" customWidth="1"/>
    <col min="13" max="13" width="3.5" style="101" customWidth="1"/>
    <col min="14" max="14" width="5.5" style="101" bestFit="1" customWidth="1"/>
    <col min="15" max="15" width="3" style="101" bestFit="1" customWidth="1"/>
    <col min="16" max="16" width="5.5" style="101" bestFit="1" customWidth="1"/>
    <col min="17" max="17" width="4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5.5" style="101" bestFit="1" customWidth="1"/>
    <col min="23" max="23" width="3.5" style="101" bestFit="1" customWidth="1"/>
    <col min="24" max="24" width="5.5" style="101" bestFit="1" customWidth="1"/>
    <col min="25" max="25" width="3.5" style="101" customWidth="1"/>
    <col min="26" max="26" width="5.5" style="101" bestFit="1" customWidth="1"/>
    <col min="27" max="27" width="3.5" style="101" customWidth="1"/>
    <col min="28" max="28" width="5.5" style="101" bestFit="1" customWidth="1"/>
    <col min="29" max="29" width="6.5" style="101" bestFit="1" customWidth="1"/>
    <col min="30" max="30" width="8.83203125" style="101"/>
    <col min="31" max="57" width="8.83203125" style="100"/>
    <col min="58" max="16384" width="8.83203125" style="101"/>
  </cols>
  <sheetData>
    <row r="1" spans="1:57" ht="14" customHeight="1" x14ac:dyDescent="0.2">
      <c r="A1" s="94" t="s">
        <v>191</v>
      </c>
      <c r="B1" s="160"/>
      <c r="C1" s="160"/>
      <c r="D1" s="160"/>
      <c r="E1" s="160"/>
      <c r="F1" s="160"/>
      <c r="G1" s="160"/>
      <c r="H1" s="334"/>
      <c r="I1" s="334"/>
      <c r="J1" s="334"/>
      <c r="K1" s="334"/>
      <c r="L1" s="405" t="s">
        <v>192</v>
      </c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160"/>
      <c r="AA1" s="160"/>
      <c r="AB1" s="160"/>
      <c r="AC1" s="100"/>
      <c r="AD1" s="100"/>
      <c r="BE1" s="101"/>
    </row>
    <row r="2" spans="1:57" s="318" customFormat="1" ht="11" customHeight="1" x14ac:dyDescent="0.2">
      <c r="A2" s="315" t="s">
        <v>190</v>
      </c>
      <c r="B2" s="315"/>
      <c r="C2" s="315"/>
      <c r="D2" s="315"/>
      <c r="E2" s="315"/>
      <c r="F2" s="315"/>
      <c r="G2" s="315"/>
      <c r="H2" s="335"/>
      <c r="I2" s="335"/>
      <c r="J2" s="335"/>
      <c r="K2" s="335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316"/>
      <c r="AA2" s="316"/>
      <c r="AB2" s="316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</row>
    <row r="3" spans="1:57" x14ac:dyDescent="0.2">
      <c r="A3" s="231" t="s">
        <v>194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4"/>
      <c r="Z3" s="306"/>
      <c r="AA3" s="306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 x14ac:dyDescent="0.2">
      <c r="A4" s="175" t="s">
        <v>25</v>
      </c>
      <c r="B4" s="407" t="s">
        <v>0</v>
      </c>
      <c r="C4" s="408"/>
      <c r="D4" s="408"/>
      <c r="E4" s="408"/>
      <c r="F4" s="408"/>
      <c r="G4" s="408"/>
      <c r="H4" s="408"/>
      <c r="I4" s="408"/>
      <c r="J4" s="408"/>
      <c r="K4" s="408"/>
      <c r="L4" s="407" t="s">
        <v>1</v>
      </c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9"/>
      <c r="Z4" s="306"/>
      <c r="AA4" s="306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 x14ac:dyDescent="0.2">
      <c r="A5" s="176"/>
      <c r="B5" s="394"/>
      <c r="C5" s="395"/>
      <c r="D5" s="393"/>
      <c r="E5" s="393"/>
      <c r="F5" s="396"/>
      <c r="G5" s="396"/>
      <c r="H5" s="396"/>
      <c r="I5" s="396"/>
      <c r="J5" s="403" t="s">
        <v>23</v>
      </c>
      <c r="K5" s="395"/>
      <c r="L5" s="394"/>
      <c r="M5" s="395"/>
      <c r="N5" s="393"/>
      <c r="O5" s="393"/>
      <c r="P5" s="396"/>
      <c r="Q5" s="396"/>
      <c r="R5" s="396"/>
      <c r="S5" s="396"/>
      <c r="T5" s="396" t="s">
        <v>23</v>
      </c>
      <c r="U5" s="396"/>
      <c r="V5" s="396" t="s">
        <v>22</v>
      </c>
      <c r="W5" s="396"/>
      <c r="X5" s="395"/>
      <c r="Y5" s="397"/>
      <c r="Z5" s="305"/>
      <c r="AA5" s="305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 x14ac:dyDescent="0.2">
      <c r="A6" s="176"/>
      <c r="B6" s="401" t="s">
        <v>2</v>
      </c>
      <c r="C6" s="399"/>
      <c r="D6" s="402" t="s">
        <v>3</v>
      </c>
      <c r="E6" s="402"/>
      <c r="F6" s="398" t="s">
        <v>4</v>
      </c>
      <c r="G6" s="398"/>
      <c r="H6" s="398" t="s">
        <v>5</v>
      </c>
      <c r="I6" s="398"/>
      <c r="J6" s="404" t="s">
        <v>6</v>
      </c>
      <c r="K6" s="399"/>
      <c r="L6" s="401" t="s">
        <v>2</v>
      </c>
      <c r="M6" s="399"/>
      <c r="N6" s="402" t="s">
        <v>3</v>
      </c>
      <c r="O6" s="402"/>
      <c r="P6" s="398" t="s">
        <v>4</v>
      </c>
      <c r="Q6" s="398"/>
      <c r="R6" s="398" t="s">
        <v>5</v>
      </c>
      <c r="S6" s="398"/>
      <c r="T6" s="398" t="s">
        <v>6</v>
      </c>
      <c r="U6" s="398"/>
      <c r="V6" s="398" t="s">
        <v>7</v>
      </c>
      <c r="W6" s="398"/>
      <c r="X6" s="399" t="s">
        <v>7</v>
      </c>
      <c r="Y6" s="400"/>
      <c r="Z6" s="305"/>
      <c r="AA6" s="305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 x14ac:dyDescent="0.2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6"/>
      <c r="AA7" s="306"/>
      <c r="AB7" s="100"/>
      <c r="AC7" s="100"/>
      <c r="AD7" s="100"/>
      <c r="BB7" s="101"/>
      <c r="BC7" s="101"/>
      <c r="BD7" s="101"/>
      <c r="BE7" s="101"/>
    </row>
    <row r="8" spans="1:57" ht="15" thickBot="1" x14ac:dyDescent="0.25">
      <c r="A8" s="109" t="s">
        <v>124</v>
      </c>
      <c r="B8" s="277">
        <v>0.95</v>
      </c>
      <c r="C8" s="276" t="s">
        <v>159</v>
      </c>
      <c r="D8" s="280">
        <f>'Peanut Price Calculator'!B17</f>
        <v>475</v>
      </c>
      <c r="E8" s="281" t="s">
        <v>160</v>
      </c>
      <c r="F8" s="273">
        <v>6.5</v>
      </c>
      <c r="G8" s="270" t="s">
        <v>162</v>
      </c>
      <c r="H8" s="273">
        <v>13</v>
      </c>
      <c r="I8" s="270" t="s">
        <v>162</v>
      </c>
      <c r="J8" s="273">
        <v>6</v>
      </c>
      <c r="K8" s="276" t="s">
        <v>162</v>
      </c>
      <c r="L8" s="307">
        <f>B8</f>
        <v>0.95</v>
      </c>
      <c r="M8" s="276" t="s">
        <v>159</v>
      </c>
      <c r="N8" s="280">
        <f>'Peanut Price Calculator'!B28</f>
        <v>475</v>
      </c>
      <c r="O8" s="281" t="s">
        <v>160</v>
      </c>
      <c r="P8" s="269">
        <f>F8</f>
        <v>6.5</v>
      </c>
      <c r="Q8" s="270" t="s">
        <v>162</v>
      </c>
      <c r="R8" s="269">
        <f>H8</f>
        <v>13</v>
      </c>
      <c r="S8" s="270" t="s">
        <v>162</v>
      </c>
      <c r="T8" s="269">
        <f>J8</f>
        <v>6</v>
      </c>
      <c r="U8" s="270" t="s">
        <v>162</v>
      </c>
      <c r="V8" s="273">
        <v>8</v>
      </c>
      <c r="W8" s="270" t="s">
        <v>162</v>
      </c>
      <c r="X8" s="271">
        <f>V8</f>
        <v>8</v>
      </c>
      <c r="Y8" s="272" t="s">
        <v>162</v>
      </c>
      <c r="Z8" s="306"/>
      <c r="AA8" s="306"/>
      <c r="AB8" s="100"/>
      <c r="AC8" s="100"/>
      <c r="AD8" s="100"/>
      <c r="BB8" s="101"/>
      <c r="BC8" s="101"/>
      <c r="BD8" s="101"/>
      <c r="BE8" s="101"/>
    </row>
    <row r="9" spans="1:57" x14ac:dyDescent="0.2">
      <c r="A9" s="110" t="s">
        <v>155</v>
      </c>
      <c r="B9" s="388">
        <f>B7*B8</f>
        <v>1140</v>
      </c>
      <c r="C9" s="381"/>
      <c r="D9" s="383">
        <f>D8*(D7/2000)</f>
        <v>1116.25</v>
      </c>
      <c r="E9" s="383"/>
      <c r="F9" s="383">
        <f>F7*F8</f>
        <v>1300</v>
      </c>
      <c r="G9" s="383"/>
      <c r="H9" s="383">
        <f>H7*H8</f>
        <v>780</v>
      </c>
      <c r="I9" s="383"/>
      <c r="J9" s="390">
        <f>J7*J8</f>
        <v>600</v>
      </c>
      <c r="K9" s="381"/>
      <c r="L9" s="388">
        <f>L7*L8</f>
        <v>712.5</v>
      </c>
      <c r="M9" s="381"/>
      <c r="N9" s="383">
        <f>N8*(N7/2000)</f>
        <v>807.5</v>
      </c>
      <c r="O9" s="383"/>
      <c r="P9" s="383">
        <f>P7*P8</f>
        <v>552.5</v>
      </c>
      <c r="Q9" s="383"/>
      <c r="R9" s="383">
        <f>R7*R8</f>
        <v>390</v>
      </c>
      <c r="S9" s="383"/>
      <c r="T9" s="383">
        <f>T7*T8</f>
        <v>390</v>
      </c>
      <c r="U9" s="383"/>
      <c r="V9" s="383">
        <f>V7*V8</f>
        <v>600</v>
      </c>
      <c r="W9" s="383"/>
      <c r="X9" s="381">
        <f>X7*X8</f>
        <v>440</v>
      </c>
      <c r="Y9" s="382"/>
      <c r="Z9" s="306"/>
      <c r="AA9" s="306"/>
      <c r="AB9" s="100"/>
      <c r="AC9" s="100"/>
      <c r="AD9" s="100"/>
      <c r="BB9" s="101"/>
      <c r="BC9" s="101"/>
      <c r="BD9" s="101"/>
      <c r="BE9" s="101"/>
    </row>
    <row r="10" spans="1:57" x14ac:dyDescent="0.2">
      <c r="A10" s="111" t="s">
        <v>156</v>
      </c>
      <c r="B10" s="378"/>
      <c r="C10" s="375"/>
      <c r="D10" s="377"/>
      <c r="E10" s="377"/>
      <c r="F10" s="377"/>
      <c r="G10" s="377"/>
      <c r="H10" s="377"/>
      <c r="I10" s="377"/>
      <c r="J10" s="387"/>
      <c r="K10" s="375"/>
      <c r="L10" s="378"/>
      <c r="M10" s="375"/>
      <c r="N10" s="377"/>
      <c r="O10" s="377"/>
      <c r="P10" s="377"/>
      <c r="Q10" s="377"/>
      <c r="R10" s="377"/>
      <c r="S10" s="377"/>
      <c r="T10" s="377"/>
      <c r="U10" s="377"/>
      <c r="V10" s="301"/>
      <c r="W10" s="300"/>
      <c r="X10" s="375"/>
      <c r="Y10" s="376"/>
      <c r="Z10" s="306"/>
      <c r="AA10" s="306"/>
      <c r="AB10" s="100"/>
      <c r="AC10" s="100"/>
      <c r="AD10" s="100"/>
      <c r="BB10" s="101"/>
      <c r="BC10" s="101"/>
      <c r="BD10" s="101"/>
      <c r="BE10" s="101"/>
    </row>
    <row r="11" spans="1:57" x14ac:dyDescent="0.2">
      <c r="A11" s="105" t="s">
        <v>24</v>
      </c>
      <c r="B11" s="389">
        <v>100</v>
      </c>
      <c r="C11" s="379"/>
      <c r="D11" s="386">
        <v>123.2</v>
      </c>
      <c r="E11" s="386"/>
      <c r="F11" s="386">
        <v>121.6</v>
      </c>
      <c r="G11" s="386"/>
      <c r="H11" s="384">
        <f>247/4</f>
        <v>61.75</v>
      </c>
      <c r="I11" s="385"/>
      <c r="J11" s="384">
        <v>25</v>
      </c>
      <c r="K11" s="379"/>
      <c r="L11" s="389">
        <v>100</v>
      </c>
      <c r="M11" s="379"/>
      <c r="N11" s="386">
        <v>130</v>
      </c>
      <c r="O11" s="386"/>
      <c r="P11" s="386">
        <v>76</v>
      </c>
      <c r="Q11" s="386"/>
      <c r="R11" s="384">
        <f>247/4</f>
        <v>61.75</v>
      </c>
      <c r="S11" s="385"/>
      <c r="T11" s="386">
        <v>15</v>
      </c>
      <c r="U11" s="386"/>
      <c r="V11" s="386">
        <v>65</v>
      </c>
      <c r="W11" s="386"/>
      <c r="X11" s="379">
        <f>43.2</f>
        <v>43.2</v>
      </c>
      <c r="Y11" s="380"/>
      <c r="Z11" s="306"/>
      <c r="AA11" s="306"/>
      <c r="AB11" s="100"/>
      <c r="AC11" s="100"/>
      <c r="AD11" s="100"/>
      <c r="BB11" s="101"/>
      <c r="BC11" s="101"/>
      <c r="BD11" s="101"/>
      <c r="BE11" s="101"/>
    </row>
    <row r="12" spans="1:57" x14ac:dyDescent="0.2">
      <c r="A12" s="105" t="s">
        <v>8</v>
      </c>
      <c r="B12" s="350">
        <f>B7/495*0.75</f>
        <v>1.8181818181818183</v>
      </c>
      <c r="C12" s="351"/>
      <c r="D12" s="341"/>
      <c r="E12" s="341"/>
      <c r="F12" s="341"/>
      <c r="G12" s="341"/>
      <c r="H12" s="341"/>
      <c r="I12" s="341"/>
      <c r="J12" s="351"/>
      <c r="K12" s="351"/>
      <c r="L12" s="350">
        <f>L7/495*0.75</f>
        <v>1.1363636363636362</v>
      </c>
      <c r="M12" s="35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51"/>
      <c r="Y12" s="358"/>
      <c r="Z12" s="306"/>
      <c r="AA12" s="306"/>
      <c r="AB12" s="100"/>
      <c r="AC12" s="100"/>
      <c r="AD12" s="100"/>
      <c r="BB12" s="101"/>
      <c r="BC12" s="101"/>
      <c r="BD12" s="101"/>
      <c r="BE12" s="101"/>
    </row>
    <row r="13" spans="1:57" x14ac:dyDescent="0.2">
      <c r="A13" s="105" t="s">
        <v>27</v>
      </c>
      <c r="B13" s="350">
        <f>16.5+6.7+B7*0.075*$D$46+0.0583*B7*$F$46+0.0583*B7*$H$46</f>
        <v>234.6388</v>
      </c>
      <c r="C13" s="351"/>
      <c r="D13" s="341">
        <f>9.25+57.5+3.37</f>
        <v>70.12</v>
      </c>
      <c r="E13" s="341"/>
      <c r="F13" s="341">
        <f>25+F7*1.2*$D$46+F7*0.5*$F$46+F7*$H$46</f>
        <v>533.4</v>
      </c>
      <c r="G13" s="341"/>
      <c r="H13" s="341">
        <f>6.5+16.5+0.6667*H7*$F$46+1.333*H7*$H$46+3.37</f>
        <v>118.35612</v>
      </c>
      <c r="I13" s="341"/>
      <c r="J13" s="351">
        <f>25+1.25*J7*$D$46+0.6*J7*$F$46+0.9*J7*$H$46</f>
        <v>284.89999999999998</v>
      </c>
      <c r="K13" s="351"/>
      <c r="L13" s="350">
        <f>16.5+6.7+0.08*L7*$D$46+0.0667*L7*$F$46+0.0667*L7*$H$46</f>
        <v>169.33824999999999</v>
      </c>
      <c r="M13" s="351"/>
      <c r="N13" s="341">
        <f>9.25+57.5+3.37</f>
        <v>70.12</v>
      </c>
      <c r="O13" s="341"/>
      <c r="P13" s="341">
        <f>12.5+P7*1.1765*$D$46+0.4706*P7*$F$46+0.7059*P7*$H$46</f>
        <v>205.104815</v>
      </c>
      <c r="Q13" s="341"/>
      <c r="R13" s="338">
        <f>6.5+16.5+1.3333*R7*$F$46+2.6667*R7*$H$46+3.37</f>
        <v>118.37001000000001</v>
      </c>
      <c r="S13" s="339"/>
      <c r="T13" s="341">
        <f>12.5+1.2308*T7*$D$46+0.6154*T7*$F$46+0.9231*T7*$H$46</f>
        <v>181.904235</v>
      </c>
      <c r="U13" s="341"/>
      <c r="V13" s="341">
        <f>12.5+1.6*V7*$D$46+0.6667*V7*$F$46+0.8*V7*$H$46</f>
        <v>235.90190000000001</v>
      </c>
      <c r="W13" s="341"/>
      <c r="X13" s="351">
        <f>12.5+1.4545*X7*$D$46+0.7273*X7*$F$46+0.7273*X7*$H$46</f>
        <v>166.49939499999999</v>
      </c>
      <c r="Y13" s="358"/>
      <c r="Z13" s="306"/>
      <c r="AA13" s="308"/>
      <c r="AB13" s="100"/>
      <c r="AC13" s="100"/>
      <c r="AD13" s="100"/>
      <c r="BB13" s="101"/>
      <c r="BC13" s="101"/>
      <c r="BD13" s="101"/>
      <c r="BE13" s="101"/>
    </row>
    <row r="14" spans="1:57" x14ac:dyDescent="0.2">
      <c r="A14" s="105" t="s">
        <v>125</v>
      </c>
      <c r="B14" s="350"/>
      <c r="C14" s="351"/>
      <c r="D14" s="341"/>
      <c r="E14" s="341"/>
      <c r="F14" s="341"/>
      <c r="G14" s="341"/>
      <c r="H14" s="341"/>
      <c r="I14" s="341"/>
      <c r="J14" s="351"/>
      <c r="K14" s="351"/>
      <c r="L14" s="350"/>
      <c r="M14" s="35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51"/>
      <c r="Y14" s="358"/>
      <c r="Z14" s="306"/>
      <c r="AA14" s="308"/>
      <c r="AB14" s="100"/>
      <c r="AC14" s="100"/>
      <c r="AD14" s="100"/>
      <c r="BB14" s="101"/>
      <c r="BC14" s="101"/>
      <c r="BD14" s="101"/>
      <c r="BE14" s="101"/>
    </row>
    <row r="15" spans="1:57" x14ac:dyDescent="0.2">
      <c r="A15" s="105" t="s">
        <v>9</v>
      </c>
      <c r="B15" s="350">
        <f>((71.45+88.37)/2+23.75+7.2+14.53)</f>
        <v>125.39</v>
      </c>
      <c r="C15" s="351"/>
      <c r="D15" s="341">
        <f>35.55+52.44+93.06</f>
        <v>181.05</v>
      </c>
      <c r="E15" s="341"/>
      <c r="F15" s="341">
        <f>14+8.32+15.75</f>
        <v>38.07</v>
      </c>
      <c r="G15" s="341"/>
      <c r="H15" s="341">
        <f>(35.28+34.03+44.9+44.01)/4+2.78+18</f>
        <v>60.335000000000001</v>
      </c>
      <c r="I15" s="341"/>
      <c r="J15" s="351">
        <f>17.85+11.15</f>
        <v>29</v>
      </c>
      <c r="K15" s="351"/>
      <c r="L15" s="350">
        <f>((97.65+88.37)/2+23.75+5.2+14.53)</f>
        <v>136.49</v>
      </c>
      <c r="M15" s="351"/>
      <c r="N15" s="341">
        <f>46.9+52.44+54.02</f>
        <v>153.36000000000001</v>
      </c>
      <c r="O15" s="341"/>
      <c r="P15" s="341">
        <f>14+8.32+15.75</f>
        <v>38.07</v>
      </c>
      <c r="Q15" s="341"/>
      <c r="R15" s="341">
        <f>(31.78+34.03+44.9+44.01)/4+2.78</f>
        <v>41.46</v>
      </c>
      <c r="S15" s="341"/>
      <c r="T15" s="341">
        <f>17.85+11.15</f>
        <v>29</v>
      </c>
      <c r="U15" s="341"/>
      <c r="V15" s="341">
        <f>35.82+1.43+20.1</f>
        <v>57.35</v>
      </c>
      <c r="W15" s="341"/>
      <c r="X15" s="351">
        <f>27.82+1.43+16.5</f>
        <v>45.75</v>
      </c>
      <c r="Y15" s="358"/>
      <c r="Z15" s="306"/>
      <c r="AA15" s="308"/>
      <c r="AB15" s="100"/>
      <c r="AC15" s="100"/>
      <c r="AD15" s="100"/>
      <c r="BB15" s="101"/>
      <c r="BC15" s="101"/>
      <c r="BD15" s="101"/>
      <c r="BE15" s="101"/>
    </row>
    <row r="16" spans="1:57" x14ac:dyDescent="0.2">
      <c r="A16" s="105" t="s">
        <v>172</v>
      </c>
      <c r="B16" s="232"/>
      <c r="C16" s="233"/>
      <c r="D16" s="338"/>
      <c r="E16" s="339"/>
      <c r="F16" s="338"/>
      <c r="G16" s="339"/>
      <c r="H16" s="338"/>
      <c r="I16" s="339"/>
      <c r="J16" s="233"/>
      <c r="K16" s="233"/>
      <c r="L16" s="299"/>
      <c r="M16" s="298"/>
      <c r="N16" s="338"/>
      <c r="O16" s="339"/>
      <c r="P16" s="338"/>
      <c r="Q16" s="339"/>
      <c r="R16" s="338"/>
      <c r="S16" s="339"/>
      <c r="T16" s="338"/>
      <c r="U16" s="339"/>
      <c r="V16" s="338">
        <v>8</v>
      </c>
      <c r="W16" s="339"/>
      <c r="X16" s="338">
        <v>8</v>
      </c>
      <c r="Y16" s="358"/>
      <c r="Z16" s="306"/>
      <c r="AA16" s="306"/>
      <c r="AB16" s="100"/>
      <c r="AC16" s="100"/>
      <c r="AD16" s="100"/>
      <c r="BB16" s="101"/>
      <c r="BC16" s="101"/>
      <c r="BD16" s="101"/>
      <c r="BE16" s="101"/>
    </row>
    <row r="17" spans="1:57" x14ac:dyDescent="0.2">
      <c r="A17" s="105" t="s">
        <v>173</v>
      </c>
      <c r="B17" s="350">
        <v>18</v>
      </c>
      <c r="C17" s="351"/>
      <c r="D17" s="341">
        <v>18</v>
      </c>
      <c r="E17" s="341"/>
      <c r="F17" s="341"/>
      <c r="G17" s="341"/>
      <c r="H17" s="341"/>
      <c r="I17" s="341"/>
      <c r="J17" s="351"/>
      <c r="K17" s="351"/>
      <c r="L17" s="350">
        <v>18</v>
      </c>
      <c r="M17" s="351"/>
      <c r="N17" s="341">
        <v>18</v>
      </c>
      <c r="O17" s="341"/>
      <c r="P17" s="341"/>
      <c r="Q17" s="341"/>
      <c r="R17" s="341"/>
      <c r="S17" s="341"/>
      <c r="T17" s="341"/>
      <c r="U17" s="341"/>
      <c r="V17" s="341"/>
      <c r="W17" s="341"/>
      <c r="X17" s="351"/>
      <c r="Y17" s="358"/>
      <c r="Z17" s="306"/>
      <c r="AA17" s="306"/>
      <c r="AB17" s="100"/>
      <c r="AC17" s="100"/>
      <c r="AD17" s="100"/>
      <c r="BB17" s="101"/>
      <c r="BC17" s="101"/>
      <c r="BD17" s="101"/>
      <c r="BE17" s="101"/>
    </row>
    <row r="18" spans="1:57" x14ac:dyDescent="0.2">
      <c r="A18" s="105" t="s">
        <v>10</v>
      </c>
      <c r="B18" s="350">
        <v>12.5</v>
      </c>
      <c r="C18" s="351"/>
      <c r="D18" s="341">
        <v>12.5</v>
      </c>
      <c r="E18" s="341"/>
      <c r="F18" s="341"/>
      <c r="G18" s="341"/>
      <c r="H18" s="341"/>
      <c r="I18" s="341"/>
      <c r="J18" s="351"/>
      <c r="K18" s="351"/>
      <c r="L18" s="350">
        <v>12.5</v>
      </c>
      <c r="M18" s="351"/>
      <c r="N18" s="341">
        <v>12.5</v>
      </c>
      <c r="O18" s="341"/>
      <c r="P18" s="341"/>
      <c r="Q18" s="341"/>
      <c r="R18" s="341"/>
      <c r="S18" s="341"/>
      <c r="T18" s="341"/>
      <c r="U18" s="341"/>
      <c r="V18" s="341"/>
      <c r="W18" s="341"/>
      <c r="X18" s="351"/>
      <c r="Y18" s="358"/>
      <c r="Z18" s="306"/>
      <c r="AA18" s="306"/>
      <c r="AB18" s="100"/>
      <c r="AC18" s="100"/>
      <c r="AD18" s="100"/>
      <c r="BB18" s="101"/>
      <c r="BC18" s="101"/>
      <c r="BD18" s="101"/>
      <c r="BE18" s="101"/>
    </row>
    <row r="19" spans="1:57" x14ac:dyDescent="0.2">
      <c r="A19" s="105" t="s">
        <v>28</v>
      </c>
      <c r="B19" s="350">
        <f>(4.6+6.4)*$B$47</f>
        <v>44</v>
      </c>
      <c r="C19" s="351"/>
      <c r="D19" s="341">
        <f>(9.7+7.9)*$B$47</f>
        <v>70.400000000000006</v>
      </c>
      <c r="E19" s="341"/>
      <c r="F19" s="341">
        <f>7.4*$B$47</f>
        <v>29.6</v>
      </c>
      <c r="G19" s="341"/>
      <c r="H19" s="341">
        <f>6.8*$B$47</f>
        <v>27.2</v>
      </c>
      <c r="I19" s="341"/>
      <c r="J19" s="351">
        <f>7.6*$B$47</f>
        <v>30.4</v>
      </c>
      <c r="K19" s="351"/>
      <c r="L19" s="350">
        <f>(4.6+6.4)*$B$47</f>
        <v>44</v>
      </c>
      <c r="M19" s="351"/>
      <c r="N19" s="341">
        <f>(9.7+7.9)*$B$47</f>
        <v>70.400000000000006</v>
      </c>
      <c r="O19" s="341"/>
      <c r="P19" s="341">
        <f>7.4*B47</f>
        <v>29.6</v>
      </c>
      <c r="Q19" s="341"/>
      <c r="R19" s="341">
        <f>6.8*$B$47</f>
        <v>27.2</v>
      </c>
      <c r="S19" s="341"/>
      <c r="T19" s="341">
        <f>7.6*$B$47</f>
        <v>30.4</v>
      </c>
      <c r="U19" s="341"/>
      <c r="V19" s="341">
        <f>11*$B$47</f>
        <v>44</v>
      </c>
      <c r="W19" s="341"/>
      <c r="X19" s="351">
        <f>6.7*$B$47</f>
        <v>26.8</v>
      </c>
      <c r="Y19" s="358"/>
      <c r="Z19" s="306"/>
      <c r="AA19" s="306"/>
      <c r="AB19" s="100"/>
      <c r="AC19" s="100"/>
      <c r="AD19" s="100"/>
      <c r="BB19" s="101"/>
      <c r="BC19" s="101"/>
      <c r="BD19" s="101"/>
      <c r="BE19" s="101"/>
    </row>
    <row r="20" spans="1:57" x14ac:dyDescent="0.2">
      <c r="A20" s="105" t="s">
        <v>11</v>
      </c>
      <c r="B20" s="350">
        <f>14.36+29.15</f>
        <v>43.51</v>
      </c>
      <c r="C20" s="351"/>
      <c r="D20" s="341">
        <f>23.6+33.7</f>
        <v>57.300000000000004</v>
      </c>
      <c r="E20" s="341"/>
      <c r="F20" s="341">
        <f>14.35+9.64</f>
        <v>23.990000000000002</v>
      </c>
      <c r="G20" s="341"/>
      <c r="H20" s="341">
        <f>12.43+7.88</f>
        <v>20.309999999999999</v>
      </c>
      <c r="I20" s="341"/>
      <c r="J20" s="338">
        <f>15.11+5.66</f>
        <v>20.77</v>
      </c>
      <c r="K20" s="358"/>
      <c r="L20" s="350">
        <f>14.36+29.15</f>
        <v>43.51</v>
      </c>
      <c r="M20" s="351"/>
      <c r="N20" s="341">
        <f>23.6+33.7</f>
        <v>57.300000000000004</v>
      </c>
      <c r="O20" s="341"/>
      <c r="P20" s="341">
        <f>14.35+9.64</f>
        <v>23.990000000000002</v>
      </c>
      <c r="Q20" s="341"/>
      <c r="R20" s="341">
        <f>12.43+7.88</f>
        <v>20.309999999999999</v>
      </c>
      <c r="S20" s="341"/>
      <c r="T20" s="338">
        <f>15.11+5.66</f>
        <v>20.77</v>
      </c>
      <c r="U20" s="358"/>
      <c r="V20" s="341">
        <f>16.21+6.37</f>
        <v>22.580000000000002</v>
      </c>
      <c r="W20" s="341"/>
      <c r="X20" s="351">
        <f>8.72+6.37</f>
        <v>15.09</v>
      </c>
      <c r="Y20" s="358"/>
      <c r="Z20" s="306"/>
      <c r="AA20" s="306"/>
      <c r="AB20" s="100"/>
      <c r="AC20" s="100"/>
      <c r="AD20" s="161"/>
      <c r="BB20" s="101"/>
      <c r="BC20" s="101"/>
      <c r="BD20" s="101"/>
      <c r="BE20" s="101"/>
    </row>
    <row r="21" spans="1:57" x14ac:dyDescent="0.2">
      <c r="A21" s="105" t="s">
        <v>29</v>
      </c>
      <c r="B21" s="350">
        <f>((7*8)*0.67+(4.2*$B$47*8)*0.33)</f>
        <v>81.872000000000014</v>
      </c>
      <c r="C21" s="351"/>
      <c r="D21" s="341">
        <f>((7*6)*0.67+(4.2*$B$47*6)*0.33)</f>
        <v>61.404000000000003</v>
      </c>
      <c r="E21" s="341"/>
      <c r="F21" s="338">
        <f>((7*8)*0.67+(4.2*$B$47*8)*0.33)</f>
        <v>81.872000000000014</v>
      </c>
      <c r="G21" s="339"/>
      <c r="H21" s="341">
        <f>((7*5)*0.67+(4.2*$B$47*5)*0.33)</f>
        <v>51.17</v>
      </c>
      <c r="I21" s="341"/>
      <c r="J21" s="338">
        <f>((7*4)*0.67+(4.2*$B$47*4)*0.33)</f>
        <v>40.936000000000007</v>
      </c>
      <c r="K21" s="351"/>
      <c r="L21" s="350"/>
      <c r="M21" s="351"/>
      <c r="N21" s="341"/>
      <c r="O21" s="341"/>
      <c r="P21" s="341"/>
      <c r="Q21" s="341"/>
      <c r="R21" s="341"/>
      <c r="S21" s="341"/>
      <c r="T21" s="341"/>
      <c r="U21" s="341"/>
      <c r="V21" s="338"/>
      <c r="W21" s="339"/>
      <c r="X21" s="351"/>
      <c r="Y21" s="358"/>
      <c r="Z21" s="306"/>
      <c r="AA21" s="306"/>
      <c r="AB21" s="100"/>
      <c r="AC21" s="100"/>
      <c r="AD21" s="100"/>
      <c r="BB21" s="101"/>
      <c r="BC21" s="101"/>
      <c r="BD21" s="101"/>
      <c r="BE21" s="101"/>
    </row>
    <row r="22" spans="1:57" x14ac:dyDescent="0.2">
      <c r="A22" s="105" t="s">
        <v>13</v>
      </c>
      <c r="B22" s="350">
        <v>14.44</v>
      </c>
      <c r="C22" s="351"/>
      <c r="D22" s="341">
        <v>34.659999999999997</v>
      </c>
      <c r="E22" s="341"/>
      <c r="F22" s="341">
        <v>14.35</v>
      </c>
      <c r="G22" s="341"/>
      <c r="H22" s="341">
        <v>12.42</v>
      </c>
      <c r="I22" s="341"/>
      <c r="J22" s="341">
        <v>14</v>
      </c>
      <c r="K22" s="341"/>
      <c r="L22" s="350">
        <v>14.44</v>
      </c>
      <c r="M22" s="351"/>
      <c r="N22" s="341">
        <v>34.659999999999997</v>
      </c>
      <c r="O22" s="341"/>
      <c r="P22" s="341">
        <f>14.82</f>
        <v>14.82</v>
      </c>
      <c r="Q22" s="341"/>
      <c r="R22" s="341">
        <v>12.42</v>
      </c>
      <c r="S22" s="341"/>
      <c r="T22" s="341">
        <v>14</v>
      </c>
      <c r="U22" s="341"/>
      <c r="V22" s="341">
        <v>16.5</v>
      </c>
      <c r="W22" s="341"/>
      <c r="X22" s="351">
        <v>10.07</v>
      </c>
      <c r="Y22" s="358"/>
      <c r="Z22" s="306"/>
      <c r="AA22" s="306"/>
      <c r="AB22" s="100"/>
      <c r="AC22" s="100"/>
      <c r="AD22" s="100"/>
      <c r="BB22" s="101"/>
      <c r="BC22" s="101"/>
      <c r="BD22" s="101"/>
      <c r="BE22" s="101"/>
    </row>
    <row r="23" spans="1:57" x14ac:dyDescent="0.2">
      <c r="A23" s="105" t="s">
        <v>14</v>
      </c>
      <c r="B23" s="350">
        <v>20</v>
      </c>
      <c r="C23" s="351"/>
      <c r="D23" s="341">
        <v>31</v>
      </c>
      <c r="E23" s="341"/>
      <c r="F23" s="341">
        <v>20</v>
      </c>
      <c r="G23" s="341"/>
      <c r="H23" s="341">
        <v>13</v>
      </c>
      <c r="I23" s="341"/>
      <c r="J23" s="351">
        <v>37</v>
      </c>
      <c r="K23" s="351"/>
      <c r="L23" s="350">
        <v>38</v>
      </c>
      <c r="M23" s="351"/>
      <c r="N23" s="341">
        <v>44</v>
      </c>
      <c r="O23" s="341"/>
      <c r="P23" s="341">
        <v>35</v>
      </c>
      <c r="Q23" s="341"/>
      <c r="R23" s="341">
        <v>22</v>
      </c>
      <c r="S23" s="341"/>
      <c r="T23" s="341">
        <v>30</v>
      </c>
      <c r="U23" s="341"/>
      <c r="V23" s="341">
        <v>12</v>
      </c>
      <c r="W23" s="341"/>
      <c r="X23" s="351">
        <v>16</v>
      </c>
      <c r="Y23" s="358"/>
      <c r="Z23" s="306"/>
      <c r="AA23" s="306"/>
      <c r="AB23" s="100"/>
      <c r="AC23" s="100"/>
      <c r="AD23" s="100"/>
      <c r="BB23" s="101"/>
      <c r="BC23" s="101"/>
      <c r="BD23" s="101"/>
      <c r="BE23" s="101"/>
    </row>
    <row r="24" spans="1:57" x14ac:dyDescent="0.2">
      <c r="A24" s="105" t="s">
        <v>126</v>
      </c>
      <c r="B24" s="350"/>
      <c r="C24" s="351"/>
      <c r="D24" s="341"/>
      <c r="E24" s="341"/>
      <c r="F24" s="341"/>
      <c r="G24" s="341"/>
      <c r="H24" s="341"/>
      <c r="I24" s="341"/>
      <c r="J24" s="351"/>
      <c r="K24" s="351"/>
      <c r="L24" s="350"/>
      <c r="M24" s="35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51"/>
      <c r="Y24" s="358"/>
      <c r="Z24" s="306"/>
      <c r="AA24" s="306"/>
      <c r="AB24" s="100"/>
      <c r="AC24" s="100"/>
      <c r="AD24" s="100"/>
      <c r="BB24" s="101"/>
      <c r="BC24" s="101"/>
      <c r="BD24" s="101"/>
      <c r="BE24" s="101"/>
    </row>
    <row r="25" spans="1:57" x14ac:dyDescent="0.2">
      <c r="A25" s="105" t="s">
        <v>16</v>
      </c>
      <c r="B25" s="350"/>
      <c r="C25" s="351"/>
      <c r="D25" s="341"/>
      <c r="E25" s="341"/>
      <c r="F25" s="341"/>
      <c r="G25" s="341"/>
      <c r="H25" s="341"/>
      <c r="I25" s="341"/>
      <c r="J25" s="351"/>
      <c r="K25" s="351"/>
      <c r="L25" s="350"/>
      <c r="M25" s="35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51"/>
      <c r="Y25" s="358"/>
      <c r="Z25" s="306"/>
      <c r="AA25" s="306"/>
      <c r="AB25" s="100"/>
      <c r="AC25" s="100"/>
      <c r="AD25" s="100"/>
      <c r="BB25" s="101"/>
      <c r="BC25" s="101"/>
      <c r="BD25" s="101"/>
      <c r="BE25" s="101"/>
    </row>
    <row r="26" spans="1:57" x14ac:dyDescent="0.2">
      <c r="A26" s="105" t="s">
        <v>17</v>
      </c>
      <c r="B26" s="391">
        <f>(SUM(B11:B25))*0.5*0.055</f>
        <v>19.144647000000003</v>
      </c>
      <c r="C26" s="369"/>
      <c r="D26" s="371">
        <f>(SUM(D11:D25))*0.5*0.055</f>
        <v>18.139934999999998</v>
      </c>
      <c r="E26" s="371"/>
      <c r="F26" s="371">
        <f>(SUM(F11:F25))*0.5*0.055</f>
        <v>23.729255000000006</v>
      </c>
      <c r="G26" s="371"/>
      <c r="H26" s="371">
        <f>(SUM(H11:H25))*0.5*0.055</f>
        <v>10.024880800000002</v>
      </c>
      <c r="I26" s="371"/>
      <c r="J26" s="369">
        <f>(SUM(J11:J25))*0.5*0.055</f>
        <v>13.255165</v>
      </c>
      <c r="K26" s="369"/>
      <c r="L26" s="391">
        <f>(SUM(L11:L25))*0.5*0.055</f>
        <v>15.878901875000002</v>
      </c>
      <c r="M26" s="369"/>
      <c r="N26" s="371">
        <f>(SUM(N11:N25))*0.5*0.055</f>
        <v>16.234350000000003</v>
      </c>
      <c r="O26" s="371"/>
      <c r="P26" s="371">
        <f>(SUM(P11:P25))*0.5*0.055</f>
        <v>11.621082412500002</v>
      </c>
      <c r="Q26" s="371"/>
      <c r="R26" s="371">
        <f>(SUM(R11:R25))*0.5*0.055</f>
        <v>8.3465252750000012</v>
      </c>
      <c r="S26" s="371"/>
      <c r="T26" s="371">
        <f>(SUM(T11:T25))*0.5*0.055</f>
        <v>8.8295414624999999</v>
      </c>
      <c r="U26" s="371"/>
      <c r="V26" s="371">
        <f>(SUM(V11:V25))*0.5*0.055</f>
        <v>12.686627250000001</v>
      </c>
      <c r="W26" s="371"/>
      <c r="X26" s="369">
        <f>(SUM(X11:X25))*0.5*0.055</f>
        <v>9.1137583624999987</v>
      </c>
      <c r="Y26" s="370"/>
      <c r="Z26" s="306"/>
      <c r="AA26" s="306"/>
      <c r="AB26" s="100"/>
      <c r="AC26" s="100"/>
      <c r="AD26" s="100"/>
      <c r="BB26" s="101"/>
      <c r="BC26" s="101"/>
      <c r="BD26" s="101"/>
      <c r="BE26" s="101"/>
    </row>
    <row r="27" spans="1:57" x14ac:dyDescent="0.2">
      <c r="A27" s="105" t="s">
        <v>171</v>
      </c>
      <c r="B27" s="391">
        <f>B7*0.0395</f>
        <v>47.4</v>
      </c>
      <c r="C27" s="369"/>
      <c r="D27" s="371"/>
      <c r="E27" s="371"/>
      <c r="F27" s="371"/>
      <c r="G27" s="371"/>
      <c r="H27" s="371"/>
      <c r="I27" s="371"/>
      <c r="J27" s="369"/>
      <c r="K27" s="369"/>
      <c r="L27" s="391">
        <f>0.0395*L7</f>
        <v>29.625</v>
      </c>
      <c r="M27" s="369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69"/>
      <c r="Y27" s="370"/>
      <c r="Z27" s="306"/>
      <c r="AA27" s="306"/>
      <c r="AB27" s="100"/>
      <c r="AC27" s="100"/>
      <c r="AD27" s="100"/>
      <c r="BB27" s="101"/>
      <c r="BC27" s="101"/>
      <c r="BD27" s="101"/>
      <c r="BE27" s="101"/>
    </row>
    <row r="28" spans="1:57" x14ac:dyDescent="0.2">
      <c r="A28" s="105" t="s">
        <v>15</v>
      </c>
      <c r="B28" s="391"/>
      <c r="C28" s="369"/>
      <c r="D28" s="371">
        <f>D7/2000*0.33*20+D7/2000*0.67*30</f>
        <v>62.745000000000005</v>
      </c>
      <c r="E28" s="371"/>
      <c r="F28" s="371">
        <f>F7*1.0975*0.28</f>
        <v>61.46</v>
      </c>
      <c r="G28" s="371"/>
      <c r="H28" s="371"/>
      <c r="I28" s="371"/>
      <c r="J28" s="369">
        <f>J7*1.0975*0.28</f>
        <v>30.73</v>
      </c>
      <c r="K28" s="369"/>
      <c r="L28" s="391"/>
      <c r="M28" s="369"/>
      <c r="N28" s="371">
        <f>N7/2000*0.33*20+N7/2000*0.67*30</f>
        <v>45.39</v>
      </c>
      <c r="O28" s="371"/>
      <c r="P28" s="371">
        <f>P7*1.0975*0.28</f>
        <v>26.1205</v>
      </c>
      <c r="Q28" s="371"/>
      <c r="R28" s="371"/>
      <c r="S28" s="371"/>
      <c r="T28" s="371">
        <f>T7*1.0975*0.28</f>
        <v>19.974499999999999</v>
      </c>
      <c r="U28" s="371"/>
      <c r="V28" s="371">
        <f>V7*1.03*0.095</f>
        <v>7.3387500000000001</v>
      </c>
      <c r="W28" s="371"/>
      <c r="X28" s="369">
        <f>X7*1.03*0.095</f>
        <v>5.3817500000000003</v>
      </c>
      <c r="Y28" s="370"/>
      <c r="Z28" s="306"/>
      <c r="AA28" s="306"/>
      <c r="AB28" s="100"/>
      <c r="AC28" s="100"/>
      <c r="AD28" s="100"/>
      <c r="BB28" s="101"/>
      <c r="BC28" s="101"/>
      <c r="BD28" s="101"/>
      <c r="BE28" s="101"/>
    </row>
    <row r="29" spans="1:57" x14ac:dyDescent="0.2">
      <c r="A29" s="105" t="s">
        <v>18</v>
      </c>
      <c r="B29" s="352"/>
      <c r="C29" s="353"/>
      <c r="D29" s="342">
        <f>D7/2000*3+D7/2000*355*0.01</f>
        <v>15.3925</v>
      </c>
      <c r="E29" s="342"/>
      <c r="F29" s="342"/>
      <c r="G29" s="342"/>
      <c r="H29" s="342"/>
      <c r="I29" s="342"/>
      <c r="J29" s="353"/>
      <c r="K29" s="353"/>
      <c r="L29" s="352"/>
      <c r="M29" s="353"/>
      <c r="N29" s="342">
        <f>N7/2000*3+N7/2000*355*0.01</f>
        <v>11.135</v>
      </c>
      <c r="O29" s="342"/>
      <c r="P29" s="342"/>
      <c r="Q29" s="342"/>
      <c r="R29" s="342"/>
      <c r="S29" s="342"/>
      <c r="T29" s="342"/>
      <c r="U29" s="342"/>
      <c r="V29" s="342"/>
      <c r="W29" s="342"/>
      <c r="X29" s="353"/>
      <c r="Y29" s="362"/>
      <c r="Z29" s="306"/>
      <c r="AA29" s="306"/>
      <c r="AB29" s="100"/>
      <c r="AC29" s="100"/>
      <c r="AD29" s="100"/>
      <c r="BB29" s="101"/>
      <c r="BC29" s="101"/>
      <c r="BD29" s="101"/>
      <c r="BE29" s="101"/>
    </row>
    <row r="30" spans="1:57" ht="15" thickBot="1" x14ac:dyDescent="0.25">
      <c r="A30" s="125" t="s">
        <v>157</v>
      </c>
      <c r="B30" s="365">
        <f t="shared" ref="B30:X30" si="0">SUM(B11:B29)</f>
        <v>762.71362881818186</v>
      </c>
      <c r="C30" s="364"/>
      <c r="D30" s="345">
        <f t="shared" si="0"/>
        <v>755.91143499999998</v>
      </c>
      <c r="E30" s="345"/>
      <c r="F30" s="345">
        <f t="shared" si="0"/>
        <v>948.07125500000018</v>
      </c>
      <c r="G30" s="345"/>
      <c r="H30" s="345">
        <f t="shared" si="0"/>
        <v>374.56600080000004</v>
      </c>
      <c r="I30" s="345"/>
      <c r="J30" s="364">
        <f t="shared" si="0"/>
        <v>525.99116499999991</v>
      </c>
      <c r="K30" s="364"/>
      <c r="L30" s="365">
        <f>SUM(L11:L29)</f>
        <v>622.91851551136369</v>
      </c>
      <c r="M30" s="364"/>
      <c r="N30" s="345">
        <f t="shared" si="0"/>
        <v>663.09934999999996</v>
      </c>
      <c r="O30" s="345"/>
      <c r="P30" s="345">
        <f t="shared" si="0"/>
        <v>460.32639741250006</v>
      </c>
      <c r="Q30" s="345"/>
      <c r="R30" s="345">
        <f t="shared" si="0"/>
        <v>311.856535275</v>
      </c>
      <c r="S30" s="345"/>
      <c r="T30" s="345">
        <f t="shared" si="0"/>
        <v>349.87827646249997</v>
      </c>
      <c r="U30" s="345"/>
      <c r="V30" s="345">
        <f>SUM(V11:V29)</f>
        <v>481.35727725000004</v>
      </c>
      <c r="W30" s="345"/>
      <c r="X30" s="364">
        <f t="shared" si="0"/>
        <v>345.90490336249997</v>
      </c>
      <c r="Y30" s="367"/>
      <c r="Z30" s="306"/>
      <c r="AA30" s="306"/>
      <c r="AB30" s="100"/>
      <c r="AC30" s="100"/>
      <c r="AD30" s="100"/>
      <c r="BB30" s="101"/>
      <c r="BC30" s="101"/>
      <c r="BD30" s="101"/>
      <c r="BE30" s="101"/>
    </row>
    <row r="31" spans="1:57" s="165" customFormat="1" x14ac:dyDescent="0.2">
      <c r="A31" s="163" t="s">
        <v>163</v>
      </c>
      <c r="B31" s="392">
        <f t="shared" ref="B31:X31" si="1">B9-B30</f>
        <v>377.28637118181814</v>
      </c>
      <c r="C31" s="373"/>
      <c r="D31" s="372">
        <f t="shared" si="1"/>
        <v>360.33856500000002</v>
      </c>
      <c r="E31" s="372"/>
      <c r="F31" s="372">
        <f t="shared" si="1"/>
        <v>351.92874499999982</v>
      </c>
      <c r="G31" s="372"/>
      <c r="H31" s="372">
        <f t="shared" si="1"/>
        <v>405.43399919999996</v>
      </c>
      <c r="I31" s="372"/>
      <c r="J31" s="373">
        <f t="shared" si="1"/>
        <v>74.00883500000009</v>
      </c>
      <c r="K31" s="373"/>
      <c r="L31" s="392">
        <f t="shared" si="1"/>
        <v>89.581484488636306</v>
      </c>
      <c r="M31" s="373"/>
      <c r="N31" s="372">
        <f t="shared" si="1"/>
        <v>144.40065000000004</v>
      </c>
      <c r="O31" s="372"/>
      <c r="P31" s="372">
        <f t="shared" si="1"/>
        <v>92.173602587499943</v>
      </c>
      <c r="Q31" s="372"/>
      <c r="R31" s="372">
        <f t="shared" si="1"/>
        <v>78.143464725000001</v>
      </c>
      <c r="S31" s="372"/>
      <c r="T31" s="372">
        <f t="shared" si="1"/>
        <v>40.121723537500031</v>
      </c>
      <c r="U31" s="372"/>
      <c r="V31" s="372">
        <f>V9-V30</f>
        <v>118.64272274999996</v>
      </c>
      <c r="W31" s="372"/>
      <c r="X31" s="373">
        <f t="shared" si="1"/>
        <v>94.095096637500035</v>
      </c>
      <c r="Y31" s="374"/>
      <c r="Z31" s="309"/>
      <c r="AA31" s="309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 x14ac:dyDescent="0.2">
      <c r="A32" s="261" t="s">
        <v>170</v>
      </c>
      <c r="B32" s="262">
        <f>B30/B7</f>
        <v>0.63559469068181818</v>
      </c>
      <c r="C32" s="263" t="s">
        <v>159</v>
      </c>
      <c r="D32" s="264">
        <f>D30/D7*2000</f>
        <v>321.66444042553189</v>
      </c>
      <c r="E32" s="265" t="s">
        <v>160</v>
      </c>
      <c r="F32" s="266">
        <f>F30/F7</f>
        <v>4.7403562750000008</v>
      </c>
      <c r="G32" s="265" t="s">
        <v>162</v>
      </c>
      <c r="H32" s="266">
        <f>H30/H7</f>
        <v>6.2427666800000008</v>
      </c>
      <c r="I32" s="265" t="s">
        <v>162</v>
      </c>
      <c r="J32" s="267">
        <f>J30/J7</f>
        <v>5.2599116499999994</v>
      </c>
      <c r="K32" s="263" t="s">
        <v>162</v>
      </c>
      <c r="L32" s="262">
        <f>L30/L7</f>
        <v>0.83055802068181828</v>
      </c>
      <c r="M32" s="263" t="s">
        <v>159</v>
      </c>
      <c r="N32" s="264">
        <f>N30/N7*2000</f>
        <v>390.05844117647052</v>
      </c>
      <c r="O32" s="265" t="s">
        <v>160</v>
      </c>
      <c r="P32" s="266">
        <f>P30/P7</f>
        <v>5.4156046754411769</v>
      </c>
      <c r="Q32" s="265" t="s">
        <v>162</v>
      </c>
      <c r="R32" s="266">
        <f>R30/R7</f>
        <v>10.395217842499999</v>
      </c>
      <c r="S32" s="265" t="s">
        <v>162</v>
      </c>
      <c r="T32" s="266">
        <f>T30/T7</f>
        <v>5.3827427148076916</v>
      </c>
      <c r="U32" s="265" t="s">
        <v>162</v>
      </c>
      <c r="V32" s="266">
        <f>V30/V7</f>
        <v>6.4180970300000002</v>
      </c>
      <c r="W32" s="265" t="s">
        <v>162</v>
      </c>
      <c r="X32" s="267">
        <f>X30/X7</f>
        <v>6.2891800611363626</v>
      </c>
      <c r="Y32" s="268" t="s">
        <v>162</v>
      </c>
      <c r="Z32" s="306"/>
      <c r="AA32" s="306"/>
      <c r="AB32" s="100"/>
      <c r="AC32" s="100"/>
      <c r="AD32" s="100"/>
      <c r="BB32" s="101"/>
      <c r="BC32" s="101"/>
      <c r="BD32" s="101"/>
      <c r="BE32" s="101"/>
    </row>
    <row r="33" spans="1:57" x14ac:dyDescent="0.2">
      <c r="A33" s="127" t="s">
        <v>189</v>
      </c>
      <c r="B33" s="322">
        <f>B30/B8</f>
        <v>802.8564513875599</v>
      </c>
      <c r="C33" s="323" t="s">
        <v>158</v>
      </c>
      <c r="D33" s="324">
        <f>D30/D8*2000</f>
        <v>3182.7849894736842</v>
      </c>
      <c r="E33" s="325" t="s">
        <v>158</v>
      </c>
      <c r="F33" s="324">
        <f>F30/F8</f>
        <v>145.85711615384619</v>
      </c>
      <c r="G33" s="325" t="s">
        <v>161</v>
      </c>
      <c r="H33" s="324">
        <f>H30/H8</f>
        <v>28.812769292307696</v>
      </c>
      <c r="I33" s="325" t="s">
        <v>161</v>
      </c>
      <c r="J33" s="326">
        <f>J30/J8</f>
        <v>87.665194166666652</v>
      </c>
      <c r="K33" s="323" t="s">
        <v>161</v>
      </c>
      <c r="L33" s="322">
        <f>L30/L8</f>
        <v>655.70370053827764</v>
      </c>
      <c r="M33" s="323" t="s">
        <v>158</v>
      </c>
      <c r="N33" s="324">
        <f>N30/N8*2000</f>
        <v>2791.9972631578944</v>
      </c>
      <c r="O33" s="325" t="s">
        <v>158</v>
      </c>
      <c r="P33" s="324">
        <f>P30/P8</f>
        <v>70.819445755769237</v>
      </c>
      <c r="Q33" s="325" t="s">
        <v>161</v>
      </c>
      <c r="R33" s="324">
        <f>R30/R8</f>
        <v>23.988964251923075</v>
      </c>
      <c r="S33" s="325" t="s">
        <v>161</v>
      </c>
      <c r="T33" s="324">
        <f>T30/T8</f>
        <v>58.313046077083328</v>
      </c>
      <c r="U33" s="325" t="s">
        <v>161</v>
      </c>
      <c r="V33" s="324">
        <f>V30/V8</f>
        <v>60.169659656250005</v>
      </c>
      <c r="W33" s="325" t="s">
        <v>161</v>
      </c>
      <c r="X33" s="324">
        <f>X30/X8</f>
        <v>43.238112920312496</v>
      </c>
      <c r="Y33" s="320" t="s">
        <v>161</v>
      </c>
      <c r="Z33" s="306"/>
      <c r="AA33" s="306"/>
      <c r="AB33" s="100"/>
      <c r="AC33" s="100"/>
      <c r="AD33" s="100"/>
      <c r="BB33" s="101"/>
      <c r="BC33" s="101"/>
      <c r="BD33" s="101"/>
      <c r="BE33" s="101"/>
    </row>
    <row r="34" spans="1:57" x14ac:dyDescent="0.2">
      <c r="A34" s="108" t="s">
        <v>164</v>
      </c>
      <c r="B34" s="391"/>
      <c r="C34" s="369"/>
      <c r="D34" s="371"/>
      <c r="E34" s="371"/>
      <c r="F34" s="371"/>
      <c r="G34" s="371"/>
      <c r="H34" s="371"/>
      <c r="I34" s="371"/>
      <c r="J34" s="369"/>
      <c r="K34" s="369"/>
      <c r="L34" s="391"/>
      <c r="M34" s="369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69"/>
      <c r="Y34" s="370"/>
      <c r="Z34" s="306"/>
      <c r="AA34" s="306"/>
      <c r="AB34" s="100"/>
      <c r="AC34" s="100"/>
      <c r="AD34" s="100"/>
      <c r="BB34" s="101"/>
      <c r="BC34" s="101"/>
      <c r="BD34" s="101"/>
      <c r="BE34" s="101"/>
    </row>
    <row r="35" spans="1:57" x14ac:dyDescent="0.2">
      <c r="A35" s="105" t="s">
        <v>19</v>
      </c>
      <c r="B35" s="350">
        <f>47.1+138.49</f>
        <v>185.59</v>
      </c>
      <c r="C35" s="351"/>
      <c r="D35" s="341">
        <f>67.87+102.04</f>
        <v>169.91000000000003</v>
      </c>
      <c r="E35" s="341"/>
      <c r="F35" s="341">
        <f>39.4+47.88</f>
        <v>87.28</v>
      </c>
      <c r="G35" s="341"/>
      <c r="H35" s="341">
        <f>35.5+32.78</f>
        <v>68.28</v>
      </c>
      <c r="I35" s="341"/>
      <c r="J35" s="338">
        <f>40.71+25.6</f>
        <v>66.31</v>
      </c>
      <c r="K35" s="339"/>
      <c r="L35" s="350">
        <f>47.1+138.49</f>
        <v>185.59</v>
      </c>
      <c r="M35" s="351"/>
      <c r="N35" s="341">
        <f>67.87+102.04</f>
        <v>169.91000000000003</v>
      </c>
      <c r="O35" s="341"/>
      <c r="P35" s="341">
        <f>39.4+47.88</f>
        <v>87.28</v>
      </c>
      <c r="Q35" s="341"/>
      <c r="R35" s="341">
        <f>35.5+32.78</f>
        <v>68.28</v>
      </c>
      <c r="S35" s="341"/>
      <c r="T35" s="338">
        <f>40.71+25.6</f>
        <v>66.31</v>
      </c>
      <c r="U35" s="339"/>
      <c r="V35" s="341">
        <f>46.5+30.17</f>
        <v>76.67</v>
      </c>
      <c r="W35" s="341"/>
      <c r="X35" s="351">
        <f>23.9+30.17</f>
        <v>54.07</v>
      </c>
      <c r="Y35" s="358"/>
      <c r="Z35" s="306"/>
      <c r="AA35" s="306"/>
      <c r="AB35" s="100"/>
      <c r="AC35" s="100"/>
      <c r="AD35" s="100"/>
      <c r="BB35" s="101"/>
      <c r="BC35" s="101"/>
      <c r="BD35" s="101"/>
      <c r="BE35" s="101"/>
    </row>
    <row r="36" spans="1:57" x14ac:dyDescent="0.2">
      <c r="A36" s="105" t="s">
        <v>12</v>
      </c>
      <c r="B36" s="350">
        <v>135</v>
      </c>
      <c r="C36" s="351"/>
      <c r="D36" s="341">
        <v>135</v>
      </c>
      <c r="E36" s="341"/>
      <c r="F36" s="341">
        <v>135</v>
      </c>
      <c r="G36" s="341"/>
      <c r="H36" s="341">
        <v>135</v>
      </c>
      <c r="I36" s="341"/>
      <c r="J36" s="351">
        <v>135</v>
      </c>
      <c r="K36" s="351"/>
      <c r="L36" s="350"/>
      <c r="M36" s="35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51"/>
      <c r="Y36" s="358"/>
      <c r="Z36" s="306"/>
      <c r="AA36" s="306"/>
      <c r="AB36" s="100"/>
      <c r="AC36" s="100"/>
      <c r="AD36" s="100"/>
      <c r="BB36" s="101"/>
      <c r="BC36" s="101"/>
      <c r="BD36" s="101"/>
      <c r="BE36" s="101"/>
    </row>
    <row r="37" spans="1:57" x14ac:dyDescent="0.2">
      <c r="A37" s="105" t="s">
        <v>20</v>
      </c>
      <c r="B37" s="350"/>
      <c r="C37" s="351"/>
      <c r="D37" s="341"/>
      <c r="E37" s="341"/>
      <c r="F37" s="341"/>
      <c r="G37" s="341"/>
      <c r="H37" s="341"/>
      <c r="I37" s="341"/>
      <c r="J37" s="351"/>
      <c r="K37" s="351"/>
      <c r="L37" s="350"/>
      <c r="M37" s="35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51"/>
      <c r="Y37" s="358"/>
      <c r="Z37" s="306"/>
      <c r="AA37" s="306"/>
      <c r="AB37" s="100"/>
      <c r="AC37" s="100"/>
      <c r="AD37" s="100"/>
      <c r="BB37" s="101"/>
      <c r="BC37" s="101"/>
      <c r="BD37" s="101"/>
      <c r="BE37" s="101"/>
    </row>
    <row r="38" spans="1:57" x14ac:dyDescent="0.2">
      <c r="A38" s="105" t="s">
        <v>21</v>
      </c>
      <c r="B38" s="352">
        <f>0.05*B30</f>
        <v>38.135681440909096</v>
      </c>
      <c r="C38" s="353"/>
      <c r="D38" s="342">
        <f>0.05*D30</f>
        <v>37.795571750000001</v>
      </c>
      <c r="E38" s="342"/>
      <c r="F38" s="342">
        <f>0.05*F30</f>
        <v>47.403562750000013</v>
      </c>
      <c r="G38" s="342"/>
      <c r="H38" s="342">
        <f>0.05*H30</f>
        <v>18.728300040000004</v>
      </c>
      <c r="I38" s="342"/>
      <c r="J38" s="353">
        <f>0.05*J30</f>
        <v>26.299558249999997</v>
      </c>
      <c r="K38" s="353"/>
      <c r="L38" s="352">
        <f>0.05*L30</f>
        <v>31.145925775568188</v>
      </c>
      <c r="M38" s="353"/>
      <c r="N38" s="342">
        <f>0.05*N30</f>
        <v>33.154967499999998</v>
      </c>
      <c r="O38" s="342"/>
      <c r="P38" s="342">
        <f>0.05*P30</f>
        <v>23.016319870625004</v>
      </c>
      <c r="Q38" s="342"/>
      <c r="R38" s="342">
        <f>0.05*R30</f>
        <v>15.592826763750001</v>
      </c>
      <c r="S38" s="342"/>
      <c r="T38" s="342">
        <f>0.05*T30</f>
        <v>17.493913823124998</v>
      </c>
      <c r="U38" s="342"/>
      <c r="V38" s="342">
        <f>0.05*V30</f>
        <v>24.067863862500005</v>
      </c>
      <c r="W38" s="342"/>
      <c r="X38" s="353">
        <f>0.05*X30</f>
        <v>17.295245168125</v>
      </c>
      <c r="Y38" s="362"/>
      <c r="Z38" s="306"/>
      <c r="AA38" s="306"/>
      <c r="AB38" s="100"/>
      <c r="AC38" s="100"/>
      <c r="AD38" s="100"/>
      <c r="BB38" s="101"/>
      <c r="BC38" s="101"/>
      <c r="BD38" s="101"/>
      <c r="BE38" s="101"/>
    </row>
    <row r="39" spans="1:57" x14ac:dyDescent="0.2">
      <c r="A39" s="111" t="s">
        <v>165</v>
      </c>
      <c r="B39" s="354">
        <f>SUM(B35:B38)</f>
        <v>358.72568144090911</v>
      </c>
      <c r="C39" s="355"/>
      <c r="D39" s="343">
        <f>SUM(D35:D38)</f>
        <v>342.70557175000005</v>
      </c>
      <c r="E39" s="343"/>
      <c r="F39" s="343">
        <f>SUM(F35:F38)</f>
        <v>269.68356275000002</v>
      </c>
      <c r="G39" s="343"/>
      <c r="H39" s="343">
        <f>SUM(H35:H38)</f>
        <v>222.00830003999999</v>
      </c>
      <c r="I39" s="343"/>
      <c r="J39" s="355">
        <f>SUM(J35:J38)</f>
        <v>227.60955824999999</v>
      </c>
      <c r="K39" s="355"/>
      <c r="L39" s="354">
        <f>SUM(L35:L38)</f>
        <v>216.73592577556821</v>
      </c>
      <c r="M39" s="355"/>
      <c r="N39" s="343">
        <f>SUM(N35:N38)</f>
        <v>203.06496750000002</v>
      </c>
      <c r="O39" s="343"/>
      <c r="P39" s="343">
        <f>SUM(P35:P38)</f>
        <v>110.29631987062501</v>
      </c>
      <c r="Q39" s="343"/>
      <c r="R39" s="343">
        <f>SUM(R35:R38)</f>
        <v>83.872826763749998</v>
      </c>
      <c r="S39" s="343"/>
      <c r="T39" s="343">
        <f>SUM(T35:T38)</f>
        <v>83.803913823125001</v>
      </c>
      <c r="U39" s="343"/>
      <c r="V39" s="343">
        <f>SUM(V35:V38)</f>
        <v>100.73786386250001</v>
      </c>
      <c r="W39" s="343"/>
      <c r="X39" s="355">
        <f>SUM(X35:X38)</f>
        <v>71.365245168125</v>
      </c>
      <c r="Y39" s="361"/>
      <c r="Z39" s="306"/>
      <c r="AA39" s="306"/>
      <c r="AB39" s="100"/>
      <c r="AC39" s="100"/>
      <c r="AD39" s="100"/>
      <c r="BB39" s="101"/>
      <c r="BC39" s="101"/>
      <c r="BD39" s="101"/>
      <c r="BE39" s="101"/>
    </row>
    <row r="40" spans="1:57" x14ac:dyDescent="0.2">
      <c r="A40" s="105"/>
      <c r="B40" s="135"/>
      <c r="C40" s="136"/>
      <c r="D40" s="344"/>
      <c r="E40" s="344"/>
      <c r="F40" s="344"/>
      <c r="G40" s="344"/>
      <c r="H40" s="344"/>
      <c r="I40" s="344"/>
      <c r="J40" s="359"/>
      <c r="K40" s="359"/>
      <c r="L40" s="363"/>
      <c r="M40" s="359"/>
      <c r="N40" s="344"/>
      <c r="O40" s="344"/>
      <c r="P40" s="344"/>
      <c r="Q40" s="344"/>
      <c r="R40" s="344"/>
      <c r="S40" s="344"/>
      <c r="T40" s="344"/>
      <c r="U40" s="344"/>
      <c r="V40" s="302"/>
      <c r="W40" s="303"/>
      <c r="X40" s="359"/>
      <c r="Y40" s="360"/>
      <c r="Z40" s="306"/>
      <c r="AA40" s="306"/>
      <c r="AB40" s="100"/>
      <c r="AC40" s="100"/>
      <c r="AD40" s="100"/>
      <c r="BB40" s="101"/>
      <c r="BC40" s="101"/>
      <c r="BD40" s="101"/>
      <c r="BE40" s="101"/>
    </row>
    <row r="41" spans="1:57" ht="15" thickBot="1" x14ac:dyDescent="0.25">
      <c r="A41" s="125" t="s">
        <v>166</v>
      </c>
      <c r="B41" s="365">
        <f>B39+B30</f>
        <v>1121.4393102590909</v>
      </c>
      <c r="C41" s="364"/>
      <c r="D41" s="345">
        <f>D39+D30</f>
        <v>1098.61700675</v>
      </c>
      <c r="E41" s="345"/>
      <c r="F41" s="345">
        <f>F39+F30</f>
        <v>1217.7548177500003</v>
      </c>
      <c r="G41" s="345"/>
      <c r="H41" s="345">
        <f>H39+H30</f>
        <v>596.57430083999998</v>
      </c>
      <c r="I41" s="345"/>
      <c r="J41" s="364">
        <f>J39+J30</f>
        <v>753.60072324999987</v>
      </c>
      <c r="K41" s="364"/>
      <c r="L41" s="365">
        <f>L39+L30</f>
        <v>839.65444128693184</v>
      </c>
      <c r="M41" s="364"/>
      <c r="N41" s="345">
        <f>N39+N30</f>
        <v>866.16431749999992</v>
      </c>
      <c r="O41" s="345"/>
      <c r="P41" s="345">
        <f>P39+P30</f>
        <v>570.6227172831251</v>
      </c>
      <c r="Q41" s="345"/>
      <c r="R41" s="345">
        <f>R39+R30</f>
        <v>395.72936203874997</v>
      </c>
      <c r="S41" s="345"/>
      <c r="T41" s="345">
        <f>T39+T30</f>
        <v>433.68219028562498</v>
      </c>
      <c r="U41" s="345"/>
      <c r="V41" s="345">
        <f>V39+V30</f>
        <v>582.09514111250007</v>
      </c>
      <c r="W41" s="345"/>
      <c r="X41" s="364">
        <f>X39+X30</f>
        <v>417.27014853062497</v>
      </c>
      <c r="Y41" s="367"/>
      <c r="Z41" s="306"/>
      <c r="AA41" s="306"/>
      <c r="AB41" s="100"/>
      <c r="AC41" s="100"/>
      <c r="AD41" s="100"/>
      <c r="BB41" s="101"/>
      <c r="BC41" s="101"/>
      <c r="BD41" s="101"/>
      <c r="BE41" s="101"/>
    </row>
    <row r="42" spans="1:57" s="167" customFormat="1" ht="15" thickBot="1" x14ac:dyDescent="0.25">
      <c r="A42" s="140" t="s">
        <v>167</v>
      </c>
      <c r="B42" s="356">
        <f>B9-B41</f>
        <v>18.560689740909083</v>
      </c>
      <c r="C42" s="357"/>
      <c r="D42" s="349">
        <f>D9-D41</f>
        <v>17.632993250000027</v>
      </c>
      <c r="E42" s="349"/>
      <c r="F42" s="349">
        <f>F9-F41</f>
        <v>82.245182249999743</v>
      </c>
      <c r="G42" s="349"/>
      <c r="H42" s="349">
        <f>H9-H41</f>
        <v>183.42569916000002</v>
      </c>
      <c r="I42" s="349"/>
      <c r="J42" s="357">
        <f>J9-J41</f>
        <v>-153.60072324999987</v>
      </c>
      <c r="K42" s="357"/>
      <c r="L42" s="356">
        <f>L9-L41</f>
        <v>-127.15444128693184</v>
      </c>
      <c r="M42" s="357"/>
      <c r="N42" s="349">
        <f>N9-N41</f>
        <v>-58.664317499999925</v>
      </c>
      <c r="O42" s="349"/>
      <c r="P42" s="349">
        <f>P9-P41</f>
        <v>-18.122717283125098</v>
      </c>
      <c r="Q42" s="349"/>
      <c r="R42" s="349">
        <f>R9-R41</f>
        <v>-5.7293620387499686</v>
      </c>
      <c r="S42" s="349"/>
      <c r="T42" s="349">
        <f>T9-T41</f>
        <v>-43.682190285624984</v>
      </c>
      <c r="U42" s="349"/>
      <c r="V42" s="349">
        <f>V9-V41</f>
        <v>17.904858887499927</v>
      </c>
      <c r="W42" s="349"/>
      <c r="X42" s="357">
        <f>X9-X41</f>
        <v>22.729851469375035</v>
      </c>
      <c r="Y42" s="368"/>
      <c r="Z42" s="310"/>
      <c r="AA42" s="310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5" thickTop="1" x14ac:dyDescent="0.2">
      <c r="A43" s="105"/>
      <c r="B43" s="141"/>
      <c r="C43" s="142"/>
      <c r="D43" s="346"/>
      <c r="E43" s="346"/>
      <c r="F43" s="336"/>
      <c r="G43" s="337"/>
      <c r="H43" s="336"/>
      <c r="I43" s="337"/>
      <c r="J43" s="142"/>
      <c r="K43" s="142"/>
      <c r="L43" s="347"/>
      <c r="M43" s="348"/>
      <c r="N43" s="346"/>
      <c r="O43" s="346"/>
      <c r="P43" s="346"/>
      <c r="Q43" s="346"/>
      <c r="R43" s="346"/>
      <c r="S43" s="346"/>
      <c r="T43" s="346"/>
      <c r="U43" s="346"/>
      <c r="V43" s="336"/>
      <c r="W43" s="337"/>
      <c r="X43" s="348"/>
      <c r="Y43" s="366"/>
      <c r="Z43" s="306"/>
      <c r="AA43" s="306"/>
      <c r="AB43" s="100"/>
      <c r="AC43" s="100"/>
      <c r="AD43" s="100"/>
      <c r="BB43" s="101"/>
      <c r="BC43" s="101"/>
      <c r="BD43" s="101"/>
      <c r="BE43" s="101"/>
    </row>
    <row r="44" spans="1:57" x14ac:dyDescent="0.2">
      <c r="A44" s="127" t="s">
        <v>34</v>
      </c>
      <c r="B44" s="168">
        <f>B41/B7</f>
        <v>0.93453275854924245</v>
      </c>
      <c r="C44" s="146" t="s">
        <v>159</v>
      </c>
      <c r="D44" s="242">
        <f>D41/D7*2000</f>
        <v>467.49659861702128</v>
      </c>
      <c r="E44" s="244" t="s">
        <v>160</v>
      </c>
      <c r="F44" s="243">
        <f>F41/F7</f>
        <v>6.088774088750001</v>
      </c>
      <c r="G44" s="244" t="s">
        <v>162</v>
      </c>
      <c r="H44" s="243">
        <f>H41/H7</f>
        <v>9.942905013999999</v>
      </c>
      <c r="I44" s="244" t="s">
        <v>162</v>
      </c>
      <c r="J44" s="243">
        <f>J41/J7</f>
        <v>7.5360072324999985</v>
      </c>
      <c r="K44" s="129" t="s">
        <v>162</v>
      </c>
      <c r="L44" s="145">
        <f>L41/L7</f>
        <v>1.1195392550492425</v>
      </c>
      <c r="M44" s="146" t="s">
        <v>159</v>
      </c>
      <c r="N44" s="239">
        <f>N41/N7*2000</f>
        <v>509.5084220588235</v>
      </c>
      <c r="O44" s="238" t="s">
        <v>160</v>
      </c>
      <c r="P44" s="240">
        <f>P41/P7</f>
        <v>6.7132084386250011</v>
      </c>
      <c r="Q44" s="238" t="s">
        <v>162</v>
      </c>
      <c r="R44" s="240">
        <f>R41/R7</f>
        <v>13.190978734624998</v>
      </c>
      <c r="S44" s="238" t="s">
        <v>162</v>
      </c>
      <c r="T44" s="240">
        <f>T41/T7</f>
        <v>6.6720336967019227</v>
      </c>
      <c r="U44" s="238" t="s">
        <v>162</v>
      </c>
      <c r="V44" s="240">
        <f>V41/V7</f>
        <v>7.7612685481666679</v>
      </c>
      <c r="W44" s="238" t="s">
        <v>162</v>
      </c>
      <c r="X44" s="147">
        <f>X41/X7</f>
        <v>7.5867299732840907</v>
      </c>
      <c r="Y44" s="132" t="s">
        <v>162</v>
      </c>
      <c r="Z44" s="306"/>
      <c r="AA44" s="306"/>
      <c r="AB44" s="100"/>
      <c r="AC44" s="100"/>
      <c r="AD44" s="100"/>
      <c r="BA44" s="101"/>
      <c r="BB44" s="101"/>
      <c r="BC44" s="101"/>
      <c r="BD44" s="101"/>
      <c r="BE44" s="101"/>
    </row>
    <row r="45" spans="1:57" x14ac:dyDescent="0.2">
      <c r="A45" s="148" t="s">
        <v>168</v>
      </c>
      <c r="B45" s="149">
        <f>B41/B8</f>
        <v>1180.4624318516746</v>
      </c>
      <c r="C45" s="150" t="s">
        <v>158</v>
      </c>
      <c r="D45" s="245">
        <f>D41/D8*2000</f>
        <v>4625.7558178947365</v>
      </c>
      <c r="E45" s="241" t="s">
        <v>158</v>
      </c>
      <c r="F45" s="246">
        <f>F41/F8</f>
        <v>187.34689503846158</v>
      </c>
      <c r="G45" s="238" t="s">
        <v>161</v>
      </c>
      <c r="H45" s="246">
        <f>H41/H8</f>
        <v>45.89033083384615</v>
      </c>
      <c r="I45" s="238" t="s">
        <v>161</v>
      </c>
      <c r="J45" s="246">
        <f>J41/J8</f>
        <v>125.60012054166664</v>
      </c>
      <c r="K45" s="304" t="s">
        <v>161</v>
      </c>
      <c r="L45" s="311">
        <f>L41/L8</f>
        <v>883.84678030203361</v>
      </c>
      <c r="M45" s="150" t="s">
        <v>158</v>
      </c>
      <c r="N45" s="245">
        <f>N41/N8*2000</f>
        <v>3647.0076526315784</v>
      </c>
      <c r="O45" s="241" t="s">
        <v>158</v>
      </c>
      <c r="P45" s="246">
        <f>P41/P8</f>
        <v>87.788110351250012</v>
      </c>
      <c r="Q45" s="238" t="s">
        <v>161</v>
      </c>
      <c r="R45" s="246">
        <f>R41/R8</f>
        <v>30.44072015682692</v>
      </c>
      <c r="S45" s="238" t="s">
        <v>161</v>
      </c>
      <c r="T45" s="246">
        <f>T41/T8</f>
        <v>72.280365047604164</v>
      </c>
      <c r="U45" s="238" t="s">
        <v>161</v>
      </c>
      <c r="V45" s="246">
        <f>V41/V8</f>
        <v>72.761892639062509</v>
      </c>
      <c r="W45" s="238" t="s">
        <v>161</v>
      </c>
      <c r="X45" s="151">
        <f>X41/X8</f>
        <v>52.158768566328121</v>
      </c>
      <c r="Y45" s="132" t="s">
        <v>161</v>
      </c>
      <c r="Z45" s="312"/>
      <c r="AA45" s="312"/>
      <c r="AB45" s="100"/>
      <c r="AC45" s="100"/>
      <c r="AD45" s="100"/>
      <c r="BA45" s="101"/>
      <c r="BB45" s="101"/>
      <c r="BC45" s="101"/>
      <c r="BD45" s="101"/>
      <c r="BE45" s="101"/>
    </row>
    <row r="46" spans="1:57" x14ac:dyDescent="0.2">
      <c r="A46" s="153" t="s">
        <v>175</v>
      </c>
      <c r="B46" s="100"/>
      <c r="C46" s="237" t="s">
        <v>169</v>
      </c>
      <c r="D46" s="169">
        <f>2.32/2</f>
        <v>1.1599999999999999</v>
      </c>
      <c r="E46" s="170" t="s">
        <v>65</v>
      </c>
      <c r="F46" s="169">
        <v>0.76</v>
      </c>
      <c r="G46" s="170" t="s">
        <v>66</v>
      </c>
      <c r="H46" s="234">
        <v>0.77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 x14ac:dyDescent="0.2">
      <c r="A47" s="97" t="s">
        <v>176</v>
      </c>
      <c r="B47" s="247">
        <v>4</v>
      </c>
      <c r="C47" s="340" t="s">
        <v>67</v>
      </c>
      <c r="D47" s="340"/>
      <c r="E47" s="340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 x14ac:dyDescent="0.2">
      <c r="A48" s="340" t="s">
        <v>195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174"/>
      <c r="AD48" s="100"/>
    </row>
    <row r="49" spans="1:1" s="100" customFormat="1" x14ac:dyDescent="0.2">
      <c r="A49" s="95"/>
    </row>
    <row r="50" spans="1:1" s="100" customFormat="1" x14ac:dyDescent="0.2">
      <c r="A50" s="105"/>
    </row>
    <row r="51" spans="1:1" s="100" customFormat="1" x14ac:dyDescent="0.2">
      <c r="A51" s="105"/>
    </row>
    <row r="52" spans="1:1" s="100" customFormat="1" x14ac:dyDescent="0.2">
      <c r="A52" s="105"/>
    </row>
    <row r="53" spans="1:1" s="100" customFormat="1" x14ac:dyDescent="0.2">
      <c r="A53" s="105"/>
    </row>
    <row r="54" spans="1:1" s="100" customFormat="1" x14ac:dyDescent="0.2">
      <c r="A54" s="95"/>
    </row>
    <row r="55" spans="1:1" s="100" customFormat="1" x14ac:dyDescent="0.2">
      <c r="A55" s="95"/>
    </row>
    <row r="56" spans="1:1" s="100" customFormat="1" x14ac:dyDescent="0.2">
      <c r="A56" s="95"/>
    </row>
    <row r="57" spans="1:1" s="100" customFormat="1" x14ac:dyDescent="0.2">
      <c r="A57" s="95"/>
    </row>
    <row r="58" spans="1:1" s="100" customFormat="1" x14ac:dyDescent="0.2">
      <c r="A58" s="95"/>
    </row>
    <row r="59" spans="1:1" s="100" customFormat="1" x14ac:dyDescent="0.2">
      <c r="A59" s="95"/>
    </row>
    <row r="60" spans="1:1" s="100" customFormat="1" x14ac:dyDescent="0.2">
      <c r="A60" s="95"/>
    </row>
    <row r="61" spans="1:1" s="100" customFormat="1" x14ac:dyDescent="0.2">
      <c r="A61" s="95"/>
    </row>
    <row r="62" spans="1:1" s="100" customFormat="1" x14ac:dyDescent="0.2">
      <c r="A62" s="95"/>
    </row>
    <row r="63" spans="1:1" s="100" customFormat="1" x14ac:dyDescent="0.2">
      <c r="A63" s="95"/>
    </row>
    <row r="64" spans="1:1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  <row r="219" spans="1:1" s="100" customFormat="1" x14ac:dyDescent="0.2">
      <c r="A219" s="95"/>
    </row>
    <row r="220" spans="1:1" s="100" customFormat="1" x14ac:dyDescent="0.2">
      <c r="A220" s="95"/>
    </row>
    <row r="221" spans="1:1" s="100" customFormat="1" x14ac:dyDescent="0.2">
      <c r="A221" s="95"/>
    </row>
    <row r="222" spans="1:1" s="100" customFormat="1" x14ac:dyDescent="0.2">
      <c r="A222" s="95"/>
    </row>
    <row r="223" spans="1:1" s="100" customFormat="1" x14ac:dyDescent="0.2">
      <c r="A223" s="95"/>
    </row>
    <row r="224" spans="1:1" s="100" customFormat="1" x14ac:dyDescent="0.2">
      <c r="A224" s="95"/>
    </row>
    <row r="225" spans="1:1" s="100" customFormat="1" x14ac:dyDescent="0.2">
      <c r="A225" s="95"/>
    </row>
    <row r="226" spans="1:1" s="100" customFormat="1" x14ac:dyDescent="0.2">
      <c r="A226" s="95"/>
    </row>
    <row r="227" spans="1:1" s="100" customFormat="1" x14ac:dyDescent="0.2">
      <c r="A227" s="95"/>
    </row>
    <row r="228" spans="1:1" s="100" customFormat="1" x14ac:dyDescent="0.2">
      <c r="A228" s="95"/>
    </row>
    <row r="229" spans="1:1" s="100" customFormat="1" x14ac:dyDescent="0.2">
      <c r="A229" s="95"/>
    </row>
    <row r="230" spans="1:1" s="100" customFormat="1" x14ac:dyDescent="0.2">
      <c r="A230" s="95"/>
    </row>
    <row r="231" spans="1:1" s="100" customFormat="1" x14ac:dyDescent="0.2">
      <c r="A231" s="95"/>
    </row>
    <row r="232" spans="1:1" s="100" customFormat="1" x14ac:dyDescent="0.2">
      <c r="A232" s="95"/>
    </row>
    <row r="233" spans="1:1" s="100" customFormat="1" x14ac:dyDescent="0.2">
      <c r="A233" s="95"/>
    </row>
    <row r="234" spans="1:1" s="100" customFormat="1" x14ac:dyDescent="0.2">
      <c r="A234" s="95"/>
    </row>
    <row r="235" spans="1:1" s="100" customFormat="1" x14ac:dyDescent="0.2">
      <c r="A235" s="95"/>
    </row>
    <row r="236" spans="1:1" s="100" customFormat="1" x14ac:dyDescent="0.2">
      <c r="A236" s="95"/>
    </row>
    <row r="237" spans="1:1" s="100" customFormat="1" x14ac:dyDescent="0.2">
      <c r="A237" s="95"/>
    </row>
    <row r="238" spans="1:1" s="100" customFormat="1" x14ac:dyDescent="0.2">
      <c r="A238" s="95"/>
    </row>
    <row r="239" spans="1:1" s="100" customFormat="1" x14ac:dyDescent="0.2">
      <c r="A239" s="95"/>
    </row>
    <row r="240" spans="1:1" s="100" customFormat="1" x14ac:dyDescent="0.2">
      <c r="A240" s="95"/>
    </row>
    <row r="241" spans="1:1" s="100" customFormat="1" x14ac:dyDescent="0.2">
      <c r="A241" s="95"/>
    </row>
    <row r="242" spans="1:1" s="100" customFormat="1" x14ac:dyDescent="0.2">
      <c r="A242" s="95"/>
    </row>
    <row r="243" spans="1:1" s="100" customFormat="1" x14ac:dyDescent="0.2">
      <c r="A243" s="95"/>
    </row>
    <row r="244" spans="1:1" s="100" customFormat="1" x14ac:dyDescent="0.2">
      <c r="A244" s="95"/>
    </row>
    <row r="245" spans="1:1" s="100" customFormat="1" x14ac:dyDescent="0.2">
      <c r="A245" s="95"/>
    </row>
    <row r="246" spans="1:1" s="100" customFormat="1" x14ac:dyDescent="0.2">
      <c r="A246" s="95"/>
    </row>
    <row r="247" spans="1:1" s="100" customFormat="1" x14ac:dyDescent="0.2">
      <c r="A247" s="95"/>
    </row>
    <row r="248" spans="1:1" s="100" customFormat="1" x14ac:dyDescent="0.2">
      <c r="A248" s="95"/>
    </row>
    <row r="249" spans="1:1" s="100" customFormat="1" x14ac:dyDescent="0.2">
      <c r="A249" s="95"/>
    </row>
    <row r="250" spans="1:1" s="100" customFormat="1" x14ac:dyDescent="0.2">
      <c r="A250" s="95"/>
    </row>
    <row r="251" spans="1:1" s="100" customFormat="1" x14ac:dyDescent="0.2">
      <c r="A251" s="95"/>
    </row>
    <row r="252" spans="1:1" s="100" customFormat="1" x14ac:dyDescent="0.2">
      <c r="A252" s="95"/>
    </row>
    <row r="253" spans="1:1" s="100" customFormat="1" x14ac:dyDescent="0.2">
      <c r="A253" s="95"/>
    </row>
    <row r="254" spans="1:1" s="100" customFormat="1" x14ac:dyDescent="0.2">
      <c r="A254" s="95"/>
    </row>
    <row r="255" spans="1:1" s="100" customFormat="1" x14ac:dyDescent="0.2">
      <c r="A255" s="95"/>
    </row>
    <row r="256" spans="1:1" s="100" customFormat="1" x14ac:dyDescent="0.2">
      <c r="A256" s="95"/>
    </row>
    <row r="257" spans="1:1" s="100" customFormat="1" x14ac:dyDescent="0.2">
      <c r="A257" s="95"/>
    </row>
    <row r="258" spans="1:1" s="100" customFormat="1" x14ac:dyDescent="0.2">
      <c r="A258" s="95"/>
    </row>
    <row r="259" spans="1:1" s="100" customFormat="1" x14ac:dyDescent="0.2">
      <c r="A259" s="95"/>
    </row>
    <row r="260" spans="1:1" s="100" customFormat="1" x14ac:dyDescent="0.2">
      <c r="A260" s="95"/>
    </row>
    <row r="261" spans="1:1" s="100" customFormat="1" x14ac:dyDescent="0.2">
      <c r="A261" s="95"/>
    </row>
    <row r="262" spans="1:1" s="100" customFormat="1" x14ac:dyDescent="0.2">
      <c r="A262" s="95"/>
    </row>
    <row r="263" spans="1:1" s="100" customFormat="1" x14ac:dyDescent="0.2">
      <c r="A263" s="95"/>
    </row>
    <row r="264" spans="1:1" s="100" customFormat="1" x14ac:dyDescent="0.2">
      <c r="A264" s="95"/>
    </row>
    <row r="265" spans="1:1" s="100" customFormat="1" x14ac:dyDescent="0.2">
      <c r="A265" s="95"/>
    </row>
    <row r="266" spans="1:1" s="100" customFormat="1" x14ac:dyDescent="0.2">
      <c r="A266" s="95"/>
    </row>
    <row r="267" spans="1:1" s="100" customFormat="1" x14ac:dyDescent="0.2">
      <c r="A267" s="95"/>
    </row>
    <row r="268" spans="1:1" s="100" customFormat="1" x14ac:dyDescent="0.2">
      <c r="A268" s="95"/>
    </row>
    <row r="269" spans="1:1" s="100" customFormat="1" x14ac:dyDescent="0.2">
      <c r="A269" s="95"/>
    </row>
    <row r="270" spans="1:1" s="100" customFormat="1" x14ac:dyDescent="0.2">
      <c r="A270" s="95"/>
    </row>
    <row r="271" spans="1:1" s="100" customFormat="1" x14ac:dyDescent="0.2">
      <c r="A271" s="95"/>
    </row>
    <row r="272" spans="1:1" s="100" customFormat="1" x14ac:dyDescent="0.2">
      <c r="A272" s="95"/>
    </row>
    <row r="273" spans="1:1" s="100" customFormat="1" x14ac:dyDescent="0.2">
      <c r="A273" s="95"/>
    </row>
    <row r="274" spans="1:1" s="100" customFormat="1" x14ac:dyDescent="0.2">
      <c r="A274" s="95"/>
    </row>
    <row r="275" spans="1:1" s="100" customFormat="1" x14ac:dyDescent="0.2">
      <c r="A275" s="95"/>
    </row>
    <row r="276" spans="1:1" s="100" customFormat="1" x14ac:dyDescent="0.2">
      <c r="A276" s="95"/>
    </row>
    <row r="277" spans="1:1" s="100" customFormat="1" x14ac:dyDescent="0.2">
      <c r="A277" s="95"/>
    </row>
    <row r="278" spans="1:1" s="100" customFormat="1" x14ac:dyDescent="0.2">
      <c r="A278" s="95"/>
    </row>
    <row r="279" spans="1:1" s="100" customFormat="1" x14ac:dyDescent="0.2">
      <c r="A279" s="95"/>
    </row>
    <row r="280" spans="1:1" s="100" customFormat="1" x14ac:dyDescent="0.2">
      <c r="A280" s="95"/>
    </row>
    <row r="281" spans="1:1" s="100" customFormat="1" x14ac:dyDescent="0.2">
      <c r="A281" s="95"/>
    </row>
    <row r="282" spans="1:1" s="100" customFormat="1" x14ac:dyDescent="0.2">
      <c r="A282" s="95"/>
    </row>
    <row r="283" spans="1:1" s="100" customFormat="1" x14ac:dyDescent="0.2">
      <c r="A283" s="95"/>
    </row>
    <row r="284" spans="1:1" s="100" customFormat="1" x14ac:dyDescent="0.2">
      <c r="A284" s="95"/>
    </row>
    <row r="285" spans="1:1" s="100" customFormat="1" x14ac:dyDescent="0.2">
      <c r="A285" s="95"/>
    </row>
    <row r="286" spans="1:1" s="100" customFormat="1" x14ac:dyDescent="0.2">
      <c r="A286" s="95"/>
    </row>
    <row r="287" spans="1:1" s="100" customFormat="1" x14ac:dyDescent="0.2">
      <c r="A287" s="95"/>
    </row>
    <row r="288" spans="1:1" s="100" customFormat="1" x14ac:dyDescent="0.2">
      <c r="A288" s="95"/>
    </row>
    <row r="289" spans="1:1" s="100" customFormat="1" x14ac:dyDescent="0.2">
      <c r="A289" s="95"/>
    </row>
    <row r="290" spans="1:1" s="100" customFormat="1" x14ac:dyDescent="0.2">
      <c r="A290" s="95"/>
    </row>
    <row r="291" spans="1:1" s="100" customFormat="1" x14ac:dyDescent="0.2">
      <c r="A291" s="95"/>
    </row>
    <row r="292" spans="1:1" s="100" customFormat="1" x14ac:dyDescent="0.2">
      <c r="A292" s="95"/>
    </row>
    <row r="293" spans="1:1" s="100" customFormat="1" x14ac:dyDescent="0.2">
      <c r="A293" s="95"/>
    </row>
    <row r="294" spans="1:1" s="100" customFormat="1" x14ac:dyDescent="0.2">
      <c r="A294" s="95"/>
    </row>
    <row r="295" spans="1:1" s="100" customFormat="1" x14ac:dyDescent="0.2">
      <c r="A295" s="95"/>
    </row>
    <row r="296" spans="1:1" s="100" customFormat="1" x14ac:dyDescent="0.2">
      <c r="A296" s="95"/>
    </row>
    <row r="297" spans="1:1" s="100" customFormat="1" x14ac:dyDescent="0.2">
      <c r="A297" s="95"/>
    </row>
    <row r="298" spans="1:1" s="100" customFormat="1" x14ac:dyDescent="0.2">
      <c r="A298" s="95"/>
    </row>
    <row r="299" spans="1:1" s="100" customFormat="1" x14ac:dyDescent="0.2">
      <c r="A299" s="95"/>
    </row>
    <row r="300" spans="1:1" s="100" customFormat="1" x14ac:dyDescent="0.2">
      <c r="A300" s="95"/>
    </row>
    <row r="301" spans="1:1" s="100" customFormat="1" x14ac:dyDescent="0.2">
      <c r="A301" s="95"/>
    </row>
    <row r="302" spans="1:1" s="100" customFormat="1" x14ac:dyDescent="0.2">
      <c r="A302" s="95"/>
    </row>
    <row r="303" spans="1:1" s="100" customFormat="1" x14ac:dyDescent="0.2">
      <c r="A303" s="95"/>
    </row>
    <row r="304" spans="1:1" s="100" customFormat="1" x14ac:dyDescent="0.2">
      <c r="A304" s="95"/>
    </row>
    <row r="305" spans="1:1" s="100" customFormat="1" x14ac:dyDescent="0.2">
      <c r="A305" s="95"/>
    </row>
    <row r="306" spans="1:1" s="100" customFormat="1" x14ac:dyDescent="0.2">
      <c r="A306" s="95"/>
    </row>
    <row r="307" spans="1:1" s="100" customFormat="1" x14ac:dyDescent="0.2">
      <c r="A307" s="95"/>
    </row>
    <row r="308" spans="1:1" s="100" customFormat="1" x14ac:dyDescent="0.2">
      <c r="A308" s="95"/>
    </row>
    <row r="309" spans="1:1" s="100" customFormat="1" x14ac:dyDescent="0.2">
      <c r="A309" s="95"/>
    </row>
    <row r="310" spans="1:1" s="100" customFormat="1" x14ac:dyDescent="0.2">
      <c r="A310" s="95"/>
    </row>
    <row r="311" spans="1:1" s="100" customFormat="1" x14ac:dyDescent="0.2">
      <c r="A311" s="95"/>
    </row>
    <row r="312" spans="1:1" s="100" customFormat="1" x14ac:dyDescent="0.2">
      <c r="A312" s="95"/>
    </row>
    <row r="313" spans="1:1" s="100" customFormat="1" x14ac:dyDescent="0.2">
      <c r="A313" s="95"/>
    </row>
    <row r="314" spans="1:1" s="100" customFormat="1" x14ac:dyDescent="0.2">
      <c r="A314" s="95"/>
    </row>
    <row r="315" spans="1:1" s="100" customFormat="1" x14ac:dyDescent="0.2">
      <c r="A315" s="95"/>
    </row>
    <row r="316" spans="1:1" s="100" customFormat="1" x14ac:dyDescent="0.2">
      <c r="A316" s="95"/>
    </row>
    <row r="317" spans="1:1" s="100" customFormat="1" x14ac:dyDescent="0.2">
      <c r="A317" s="95"/>
    </row>
    <row r="318" spans="1:1" s="100" customFormat="1" x14ac:dyDescent="0.2">
      <c r="A318" s="95"/>
    </row>
    <row r="319" spans="1:1" s="100" customFormat="1" x14ac:dyDescent="0.2">
      <c r="A319" s="95"/>
    </row>
    <row r="320" spans="1:1" s="100" customFormat="1" x14ac:dyDescent="0.2">
      <c r="A320" s="95"/>
    </row>
    <row r="321" spans="1:1" s="100" customFormat="1" x14ac:dyDescent="0.2">
      <c r="A321" s="95"/>
    </row>
    <row r="322" spans="1:1" s="100" customFormat="1" x14ac:dyDescent="0.2">
      <c r="A322" s="95"/>
    </row>
    <row r="323" spans="1:1" s="100" customFormat="1" x14ac:dyDescent="0.2">
      <c r="A323" s="95"/>
    </row>
    <row r="324" spans="1:1" s="100" customFormat="1" x14ac:dyDescent="0.2">
      <c r="A324" s="95"/>
    </row>
    <row r="325" spans="1:1" s="100" customFormat="1" x14ac:dyDescent="0.2">
      <c r="A325" s="95"/>
    </row>
    <row r="326" spans="1:1" s="100" customFormat="1" x14ac:dyDescent="0.2">
      <c r="A326" s="95"/>
    </row>
    <row r="327" spans="1:1" s="100" customFormat="1" x14ac:dyDescent="0.2">
      <c r="A327" s="95"/>
    </row>
    <row r="328" spans="1:1" s="100" customFormat="1" x14ac:dyDescent="0.2">
      <c r="A328" s="95"/>
    </row>
    <row r="329" spans="1:1" s="100" customFormat="1" x14ac:dyDescent="0.2">
      <c r="A329" s="95"/>
    </row>
    <row r="330" spans="1:1" s="100" customFormat="1" x14ac:dyDescent="0.2">
      <c r="A330" s="95"/>
    </row>
    <row r="331" spans="1:1" s="100" customFormat="1" x14ac:dyDescent="0.2">
      <c r="A331" s="95"/>
    </row>
    <row r="332" spans="1:1" s="100" customFormat="1" x14ac:dyDescent="0.2">
      <c r="A332" s="95"/>
    </row>
    <row r="333" spans="1:1" s="100" customFormat="1" x14ac:dyDescent="0.2">
      <c r="A333" s="95"/>
    </row>
    <row r="334" spans="1:1" s="100" customFormat="1" x14ac:dyDescent="0.2">
      <c r="A334" s="95"/>
    </row>
    <row r="335" spans="1:1" s="100" customFormat="1" x14ac:dyDescent="0.2">
      <c r="A335" s="95"/>
    </row>
    <row r="336" spans="1:1" s="100" customFormat="1" x14ac:dyDescent="0.2">
      <c r="A336" s="95"/>
    </row>
    <row r="337" spans="1:1" s="100" customFormat="1" x14ac:dyDescent="0.2">
      <c r="A337" s="95"/>
    </row>
    <row r="338" spans="1:1" s="100" customFormat="1" x14ac:dyDescent="0.2">
      <c r="A338" s="95"/>
    </row>
    <row r="339" spans="1:1" s="100" customFormat="1" x14ac:dyDescent="0.2">
      <c r="A339" s="95"/>
    </row>
    <row r="340" spans="1:1" s="100" customFormat="1" x14ac:dyDescent="0.2">
      <c r="A340" s="95"/>
    </row>
    <row r="341" spans="1:1" s="100" customFormat="1" x14ac:dyDescent="0.2">
      <c r="A341" s="95"/>
    </row>
    <row r="342" spans="1:1" s="100" customFormat="1" x14ac:dyDescent="0.2">
      <c r="A342" s="95"/>
    </row>
    <row r="343" spans="1:1" s="100" customFormat="1" x14ac:dyDescent="0.2">
      <c r="A343" s="95"/>
    </row>
    <row r="344" spans="1:1" s="100" customFormat="1" x14ac:dyDescent="0.2">
      <c r="A344" s="95"/>
    </row>
    <row r="345" spans="1:1" s="100" customFormat="1" x14ac:dyDescent="0.2">
      <c r="A345" s="95"/>
    </row>
    <row r="346" spans="1:1" s="100" customFormat="1" x14ac:dyDescent="0.2">
      <c r="A346" s="95"/>
    </row>
    <row r="347" spans="1:1" s="100" customFormat="1" x14ac:dyDescent="0.2">
      <c r="A347" s="95"/>
    </row>
    <row r="348" spans="1:1" s="100" customFormat="1" x14ac:dyDescent="0.2">
      <c r="A348" s="95"/>
    </row>
    <row r="349" spans="1:1" s="100" customFormat="1" x14ac:dyDescent="0.2">
      <c r="A349" s="95"/>
    </row>
    <row r="350" spans="1:1" s="100" customFormat="1" x14ac:dyDescent="0.2">
      <c r="A350" s="95"/>
    </row>
    <row r="351" spans="1:1" s="100" customFormat="1" x14ac:dyDescent="0.2">
      <c r="A351" s="95"/>
    </row>
    <row r="352" spans="1:1" s="100" customFormat="1" x14ac:dyDescent="0.2">
      <c r="A352" s="95"/>
    </row>
    <row r="353" spans="1:1" s="100" customFormat="1" x14ac:dyDescent="0.2">
      <c r="A353" s="95"/>
    </row>
    <row r="354" spans="1:1" s="100" customFormat="1" x14ac:dyDescent="0.2">
      <c r="A354" s="95"/>
    </row>
    <row r="355" spans="1:1" s="100" customFormat="1" x14ac:dyDescent="0.2">
      <c r="A355" s="95"/>
    </row>
    <row r="356" spans="1:1" s="100" customFormat="1" x14ac:dyDescent="0.2">
      <c r="A356" s="95"/>
    </row>
    <row r="357" spans="1:1" s="100" customFormat="1" x14ac:dyDescent="0.2">
      <c r="A357" s="95"/>
    </row>
    <row r="358" spans="1:1" s="100" customFormat="1" x14ac:dyDescent="0.2">
      <c r="A358" s="95"/>
    </row>
    <row r="359" spans="1:1" s="100" customFormat="1" x14ac:dyDescent="0.2">
      <c r="A359" s="95"/>
    </row>
    <row r="360" spans="1:1" s="100" customFormat="1" x14ac:dyDescent="0.2">
      <c r="A360" s="95"/>
    </row>
    <row r="361" spans="1:1" s="100" customFormat="1" x14ac:dyDescent="0.2">
      <c r="A361" s="95"/>
    </row>
    <row r="362" spans="1:1" s="100" customFormat="1" x14ac:dyDescent="0.2">
      <c r="A362" s="95"/>
    </row>
    <row r="363" spans="1:1" s="100" customFormat="1" x14ac:dyDescent="0.2">
      <c r="A363" s="95"/>
    </row>
    <row r="364" spans="1:1" s="100" customFormat="1" x14ac:dyDescent="0.2">
      <c r="A364" s="95"/>
    </row>
    <row r="365" spans="1:1" s="100" customFormat="1" x14ac:dyDescent="0.2">
      <c r="A365" s="95"/>
    </row>
    <row r="366" spans="1:1" s="100" customFormat="1" x14ac:dyDescent="0.2">
      <c r="A366" s="95"/>
    </row>
    <row r="367" spans="1:1" s="100" customFormat="1" x14ac:dyDescent="0.2">
      <c r="A367" s="95"/>
    </row>
    <row r="368" spans="1:1" s="100" customFormat="1" x14ac:dyDescent="0.2">
      <c r="A368" s="95"/>
    </row>
    <row r="369" spans="1:1" s="100" customFormat="1" x14ac:dyDescent="0.2">
      <c r="A369" s="95"/>
    </row>
    <row r="370" spans="1:1" s="100" customFormat="1" x14ac:dyDescent="0.2">
      <c r="A370" s="95"/>
    </row>
    <row r="371" spans="1:1" s="100" customFormat="1" x14ac:dyDescent="0.2">
      <c r="A371" s="95"/>
    </row>
    <row r="372" spans="1:1" s="100" customFormat="1" x14ac:dyDescent="0.2">
      <c r="A372" s="95"/>
    </row>
    <row r="373" spans="1:1" s="100" customFormat="1" x14ac:dyDescent="0.2">
      <c r="A373" s="95"/>
    </row>
    <row r="374" spans="1:1" s="100" customFormat="1" x14ac:dyDescent="0.2">
      <c r="A374" s="95"/>
    </row>
    <row r="375" spans="1:1" s="100" customFormat="1" x14ac:dyDescent="0.2">
      <c r="A375" s="95"/>
    </row>
    <row r="376" spans="1:1" s="100" customFormat="1" x14ac:dyDescent="0.2">
      <c r="A376" s="95"/>
    </row>
    <row r="377" spans="1:1" s="100" customFormat="1" x14ac:dyDescent="0.2">
      <c r="A377" s="95"/>
    </row>
    <row r="378" spans="1:1" s="100" customFormat="1" x14ac:dyDescent="0.2">
      <c r="A378" s="95"/>
    </row>
    <row r="379" spans="1:1" s="100" customFormat="1" x14ac:dyDescent="0.2">
      <c r="A379" s="95"/>
    </row>
    <row r="380" spans="1:1" s="100" customFormat="1" x14ac:dyDescent="0.2">
      <c r="A380" s="95"/>
    </row>
    <row r="381" spans="1:1" s="100" customFormat="1" x14ac:dyDescent="0.2">
      <c r="A381" s="95"/>
    </row>
    <row r="382" spans="1:1" s="100" customFormat="1" x14ac:dyDescent="0.2">
      <c r="A382" s="95"/>
    </row>
    <row r="383" spans="1:1" s="100" customFormat="1" x14ac:dyDescent="0.2">
      <c r="A383" s="95"/>
    </row>
    <row r="384" spans="1:1" s="100" customFormat="1" x14ac:dyDescent="0.2">
      <c r="A384" s="95"/>
    </row>
    <row r="385" spans="1:1" s="100" customFormat="1" x14ac:dyDescent="0.2">
      <c r="A385" s="95"/>
    </row>
    <row r="386" spans="1:1" s="100" customFormat="1" x14ac:dyDescent="0.2">
      <c r="A386" s="95"/>
    </row>
    <row r="387" spans="1:1" s="100" customFormat="1" x14ac:dyDescent="0.2">
      <c r="A387" s="95"/>
    </row>
    <row r="388" spans="1:1" s="100" customFormat="1" x14ac:dyDescent="0.2">
      <c r="A388" s="95"/>
    </row>
    <row r="389" spans="1:1" s="100" customFormat="1" x14ac:dyDescent="0.2">
      <c r="A389" s="95"/>
    </row>
    <row r="390" spans="1:1" s="100" customFormat="1" x14ac:dyDescent="0.2">
      <c r="A390" s="95"/>
    </row>
    <row r="391" spans="1:1" s="100" customFormat="1" x14ac:dyDescent="0.2">
      <c r="A391" s="95"/>
    </row>
    <row r="392" spans="1:1" s="100" customFormat="1" x14ac:dyDescent="0.2">
      <c r="A392" s="95"/>
    </row>
    <row r="393" spans="1:1" s="100" customFormat="1" x14ac:dyDescent="0.2">
      <c r="A393" s="95"/>
    </row>
    <row r="394" spans="1:1" s="100" customFormat="1" x14ac:dyDescent="0.2">
      <c r="A394" s="95"/>
    </row>
    <row r="395" spans="1:1" s="100" customFormat="1" x14ac:dyDescent="0.2">
      <c r="A395" s="95"/>
    </row>
    <row r="396" spans="1:1" s="100" customFormat="1" x14ac:dyDescent="0.2">
      <c r="A396" s="95"/>
    </row>
    <row r="397" spans="1:1" s="100" customFormat="1" x14ac:dyDescent="0.2">
      <c r="A397" s="95"/>
    </row>
    <row r="398" spans="1:1" s="100" customFormat="1" x14ac:dyDescent="0.2">
      <c r="A398" s="95"/>
    </row>
    <row r="399" spans="1:1" s="100" customFormat="1" x14ac:dyDescent="0.2">
      <c r="A399" s="95"/>
    </row>
    <row r="400" spans="1:1" s="100" customFormat="1" x14ac:dyDescent="0.2">
      <c r="A400" s="95"/>
    </row>
    <row r="401" spans="1:1" s="100" customFormat="1" x14ac:dyDescent="0.2">
      <c r="A401" s="95"/>
    </row>
    <row r="402" spans="1:1" s="100" customFormat="1" x14ac:dyDescent="0.2">
      <c r="A402" s="95"/>
    </row>
    <row r="403" spans="1:1" s="100" customFormat="1" x14ac:dyDescent="0.2">
      <c r="A403" s="95"/>
    </row>
    <row r="404" spans="1:1" s="100" customFormat="1" x14ac:dyDescent="0.2">
      <c r="A404" s="95"/>
    </row>
    <row r="405" spans="1:1" s="100" customFormat="1" x14ac:dyDescent="0.2">
      <c r="A405" s="95"/>
    </row>
    <row r="406" spans="1:1" s="100" customFormat="1" x14ac:dyDescent="0.2">
      <c r="A406" s="95"/>
    </row>
    <row r="407" spans="1:1" s="100" customFormat="1" x14ac:dyDescent="0.2">
      <c r="A407" s="95"/>
    </row>
    <row r="408" spans="1:1" s="100" customFormat="1" x14ac:dyDescent="0.2">
      <c r="A408" s="95"/>
    </row>
    <row r="409" spans="1:1" s="100" customFormat="1" x14ac:dyDescent="0.2">
      <c r="A409" s="95"/>
    </row>
    <row r="410" spans="1:1" s="100" customFormat="1" x14ac:dyDescent="0.2">
      <c r="A410" s="95"/>
    </row>
    <row r="411" spans="1:1" s="100" customFormat="1" x14ac:dyDescent="0.2">
      <c r="A411" s="95"/>
    </row>
    <row r="412" spans="1:1" s="100" customFormat="1" x14ac:dyDescent="0.2">
      <c r="A412" s="95"/>
    </row>
    <row r="413" spans="1:1" s="100" customFormat="1" x14ac:dyDescent="0.2">
      <c r="A413" s="95"/>
    </row>
    <row r="414" spans="1:1" s="100" customFormat="1" x14ac:dyDescent="0.2">
      <c r="A414" s="95"/>
    </row>
    <row r="415" spans="1:1" s="100" customFormat="1" x14ac:dyDescent="0.2">
      <c r="A415" s="95"/>
    </row>
    <row r="416" spans="1:1" s="100" customFormat="1" x14ac:dyDescent="0.2">
      <c r="A416" s="95"/>
    </row>
    <row r="417" spans="1:1" s="100" customFormat="1" x14ac:dyDescent="0.2">
      <c r="A417" s="95"/>
    </row>
    <row r="418" spans="1:1" s="100" customFormat="1" x14ac:dyDescent="0.2">
      <c r="A418" s="95"/>
    </row>
    <row r="419" spans="1:1" s="100" customFormat="1" x14ac:dyDescent="0.2">
      <c r="A419" s="95"/>
    </row>
    <row r="420" spans="1:1" s="100" customFormat="1" x14ac:dyDescent="0.2">
      <c r="A420" s="95"/>
    </row>
    <row r="421" spans="1:1" s="100" customFormat="1" x14ac:dyDescent="0.2">
      <c r="A421" s="95"/>
    </row>
    <row r="422" spans="1:1" s="100" customFormat="1" x14ac:dyDescent="0.2">
      <c r="A422" s="95"/>
    </row>
  </sheetData>
  <sheetProtection sheet="1" objects="1" scenarios="1"/>
  <mergeCells count="417">
    <mergeCell ref="X16:Y16"/>
    <mergeCell ref="L1:Y2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F31:G31"/>
    <mergeCell ref="H31:I31"/>
    <mergeCell ref="J31:K31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J29:K29"/>
    <mergeCell ref="J26:K26"/>
    <mergeCell ref="H26:I26"/>
    <mergeCell ref="F26:G26"/>
    <mergeCell ref="F27:G27"/>
    <mergeCell ref="H27:I27"/>
    <mergeCell ref="J27:K27"/>
    <mergeCell ref="R25:S25"/>
    <mergeCell ref="R23:S23"/>
    <mergeCell ref="H30:I30"/>
    <mergeCell ref="H29:I29"/>
    <mergeCell ref="F29:G29"/>
    <mergeCell ref="J21:K21"/>
    <mergeCell ref="J20:K20"/>
    <mergeCell ref="F20:G20"/>
    <mergeCell ref="H20:I20"/>
    <mergeCell ref="F30:G30"/>
    <mergeCell ref="F25:G25"/>
    <mergeCell ref="H25:I25"/>
    <mergeCell ref="J25:K25"/>
    <mergeCell ref="R20:S2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V22:W22"/>
    <mergeCell ref="V23:W23"/>
    <mergeCell ref="P22:Q22"/>
    <mergeCell ref="R24:S24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P26:Q26"/>
    <mergeCell ref="N26:O26"/>
    <mergeCell ref="N28:O28"/>
    <mergeCell ref="P24:Q24"/>
    <mergeCell ref="P25:Q25"/>
    <mergeCell ref="N24:O24"/>
    <mergeCell ref="N25:O25"/>
    <mergeCell ref="P28:Q28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T20:U20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11.6640625" bestFit="1" customWidth="1"/>
    <col min="2" max="4" width="7.6640625" style="3" bestFit="1" customWidth="1"/>
    <col min="5" max="5" width="8.6640625" style="3" bestFit="1" customWidth="1"/>
    <col min="6" max="6" width="2.5" style="2" customWidth="1"/>
    <col min="7" max="9" width="7.6640625" bestFit="1" customWidth="1"/>
    <col min="10" max="10" width="8.33203125" bestFit="1" customWidth="1"/>
    <col min="11" max="11" width="1.6640625" style="2" customWidth="1"/>
    <col min="12" max="14" width="7.6640625" bestFit="1" customWidth="1"/>
    <col min="15" max="15" width="8.33203125" bestFit="1" customWidth="1"/>
    <col min="16" max="16" width="1.83203125" style="2" customWidth="1"/>
    <col min="17" max="19" width="7.6640625" bestFit="1" customWidth="1"/>
    <col min="20" max="20" width="8.33203125" bestFit="1" customWidth="1"/>
  </cols>
  <sheetData>
    <row r="1" spans="1:20" x14ac:dyDescent="0.15">
      <c r="A1" s="410" t="s">
        <v>85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x14ac:dyDescent="0.15">
      <c r="B2" s="3" t="s">
        <v>2</v>
      </c>
      <c r="C2" s="3" t="s">
        <v>68</v>
      </c>
      <c r="D2" s="3" t="s">
        <v>4</v>
      </c>
      <c r="E2" s="3" t="s">
        <v>69</v>
      </c>
    </row>
    <row r="3" spans="1:20" x14ac:dyDescent="0.15">
      <c r="A3" s="1" t="s">
        <v>70</v>
      </c>
      <c r="B3" s="4">
        <f>Conventional!$B$30</f>
        <v>762.71362881818186</v>
      </c>
      <c r="C3" s="4">
        <f>Conventional!$D$30</f>
        <v>755.91143499999998</v>
      </c>
      <c r="D3" s="4">
        <f>Conventional!$F$30</f>
        <v>948.07125500000018</v>
      </c>
      <c r="E3" s="4">
        <f>Conventional!$H$30</f>
        <v>374.56600080000004</v>
      </c>
    </row>
    <row r="4" spans="1:20" x14ac:dyDescent="0.15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15">
      <c r="B5" s="411" t="s">
        <v>74</v>
      </c>
      <c r="C5" s="411"/>
      <c r="D5" s="411"/>
      <c r="E5" s="411"/>
      <c r="F5" s="29"/>
      <c r="G5" s="412" t="s">
        <v>75</v>
      </c>
      <c r="H5" s="412"/>
      <c r="I5" s="412"/>
      <c r="J5" s="412"/>
      <c r="K5" s="29"/>
      <c r="L5" s="413" t="s">
        <v>76</v>
      </c>
      <c r="M5" s="413"/>
      <c r="N5" s="413"/>
      <c r="O5" s="413"/>
      <c r="P5" s="29"/>
      <c r="Q5" s="414" t="s">
        <v>77</v>
      </c>
      <c r="R5" s="414"/>
      <c r="S5" s="414"/>
      <c r="T5" s="414"/>
    </row>
    <row r="6" spans="1:20" s="8" customFormat="1" ht="28" x14ac:dyDescent="0.15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 x14ac:dyDescent="0.15">
      <c r="B7" s="18">
        <f t="shared" ref="B7:B12" si="0">B8-0.025</f>
        <v>0.7749999999999998</v>
      </c>
      <c r="C7" s="19">
        <f t="shared" ref="C7:C21" si="1">(((B7*$B$4)-$B$3+$C$3)/$C$4)*2000</f>
        <v>392.85013029013527</v>
      </c>
      <c r="D7" s="18">
        <f t="shared" ref="D7:D21" si="2">(((B7*$B$4)-$B$3+$D$3)/$D$4)</f>
        <v>5.5767881309090903</v>
      </c>
      <c r="E7" s="18">
        <f>(((B7*$B$4)-$B$3+$E$3)/$E$4)</f>
        <v>9.030872866363632</v>
      </c>
      <c r="G7" s="20">
        <f>(((H7*$C$4/2000)-$C$3+$B$3)/$B$4)</f>
        <v>0.79879349484848494</v>
      </c>
      <c r="H7" s="21">
        <f t="shared" ref="H7:H12" si="3">H8-10</f>
        <v>405</v>
      </c>
      <c r="I7" s="20">
        <f>(((H7*$C$4/2000)-$C$3+$D$3)/$D$4)</f>
        <v>5.7195491000000018</v>
      </c>
      <c r="J7" s="20">
        <f>(((H7*$C$4/2000)-$C$3+$E$3)/$E$4)</f>
        <v>9.5067427633333335</v>
      </c>
      <c r="L7" s="13">
        <f>(((N7*$D$4)-$D$3+$B$3)/$B$4)</f>
        <v>0.75386864484848437</v>
      </c>
      <c r="M7" s="14">
        <f>(((N7*$D$4)-$D$3+$C$3)/$C$4)*2000</f>
        <v>382.05965106382951</v>
      </c>
      <c r="N7" s="13">
        <f t="shared" ref="N7:N12" si="4">N8-0.15</f>
        <v>5.4499999999999975</v>
      </c>
      <c r="O7" s="13">
        <f>(((N7*$D$4)-$D$3+$E$3)/$E$4)</f>
        <v>8.6082457633333238</v>
      </c>
      <c r="Q7" s="9">
        <f>(((T7*$E$4)-$E$3+$B$3)/$B$4)</f>
        <v>0.85095635668181824</v>
      </c>
      <c r="R7" s="10">
        <f>(((T7*$E$4)-$E$3+$C$3)/$C$4)*2000</f>
        <v>431.63635497872338</v>
      </c>
      <c r="S7" s="9">
        <f>(((T7*$E$4)-$E$3+$D$3)/$D$4)</f>
        <v>6.0325262710000018</v>
      </c>
      <c r="T7" s="9">
        <f t="shared" ref="T7:T12" si="5">T8-0.35</f>
        <v>10.550000000000002</v>
      </c>
    </row>
    <row r="8" spans="1:20" x14ac:dyDescent="0.15">
      <c r="B8" s="18">
        <f t="shared" si="0"/>
        <v>0.79999999999999982</v>
      </c>
      <c r="C8" s="19">
        <f t="shared" si="1"/>
        <v>405.61608773694383</v>
      </c>
      <c r="D8" s="18">
        <f t="shared" si="2"/>
        <v>5.7267881309090898</v>
      </c>
      <c r="E8" s="18">
        <f>(((B8*$B$4)-$B$3+$E$3)/$E$4)</f>
        <v>9.530872866363632</v>
      </c>
      <c r="G8" s="20">
        <f t="shared" ref="G8:G21" si="6">(((H8*$C$4/2000)-$C$3+$B$3)/$B$4)</f>
        <v>0.81837682818181823</v>
      </c>
      <c r="H8" s="21">
        <f t="shared" si="3"/>
        <v>415</v>
      </c>
      <c r="I8" s="20">
        <f t="shared" ref="I8:I21" si="7">(((H8*$C$4/2000)-$C$3+$D$3)/$D$4)</f>
        <v>5.8370491000000015</v>
      </c>
      <c r="J8" s="20">
        <f t="shared" ref="J8:J21" si="8">(((H8*$C$4/2000)-$C$3+$E$3)/$E$4)</f>
        <v>9.8984094299999992</v>
      </c>
      <c r="L8" s="13">
        <f t="shared" ref="L8:L21" si="9">(((N8*$D$4)-$D$3+$B$3)/$B$4)</f>
        <v>0.77886864484848439</v>
      </c>
      <c r="M8" s="14">
        <f t="shared" ref="M8:M21" si="10">(((N8*$D$4)-$D$3+$C$3)/$C$4)*2000</f>
        <v>394.82560851063801</v>
      </c>
      <c r="N8" s="13">
        <f t="shared" si="4"/>
        <v>5.5999999999999979</v>
      </c>
      <c r="O8" s="13">
        <f t="shared" ref="O8:O21" si="11">(((N8*$D$4)-$D$3+$E$3)/$E$4)</f>
        <v>9.1082457633333238</v>
      </c>
      <c r="Q8" s="9">
        <f t="shared" ref="Q8:Q21" si="12">(((T8*$E$4)-$E$3+$B$3)/$B$4)</f>
        <v>0.8684563566818182</v>
      </c>
      <c r="R8" s="10">
        <f t="shared" ref="R8:R21" si="13">(((T8*$E$4)-$E$3+$C$3)/$C$4)*2000</f>
        <v>440.57252519148938</v>
      </c>
      <c r="S8" s="9">
        <f t="shared" ref="S8:S21" si="14">(((T8*$E$4)-$E$3+$D$3)/$D$4)</f>
        <v>6.1375262710000014</v>
      </c>
      <c r="T8" s="9">
        <f t="shared" si="5"/>
        <v>10.900000000000002</v>
      </c>
    </row>
    <row r="9" spans="1:20" x14ac:dyDescent="0.15">
      <c r="B9" s="18">
        <f t="shared" si="0"/>
        <v>0.82499999999999984</v>
      </c>
      <c r="C9" s="19">
        <f t="shared" si="1"/>
        <v>418.38204518375227</v>
      </c>
      <c r="D9" s="18">
        <f t="shared" si="2"/>
        <v>5.8767881309090901</v>
      </c>
      <c r="E9" s="18">
        <f t="shared" ref="E9:E21" si="15">(((B9*$B$4)-$B$3+$E$3)/$E$4)</f>
        <v>10.030872866363632</v>
      </c>
      <c r="G9" s="20">
        <f t="shared" si="6"/>
        <v>0.83796016151515151</v>
      </c>
      <c r="H9" s="21">
        <f t="shared" si="3"/>
        <v>425</v>
      </c>
      <c r="I9" s="20">
        <f t="shared" si="7"/>
        <v>5.9545491000000013</v>
      </c>
      <c r="J9" s="20">
        <f t="shared" si="8"/>
        <v>10.290076096666667</v>
      </c>
      <c r="L9" s="13">
        <f t="shared" si="9"/>
        <v>0.8038686448484843</v>
      </c>
      <c r="M9" s="14">
        <f t="shared" si="10"/>
        <v>407.59156595744656</v>
      </c>
      <c r="N9" s="13">
        <f t="shared" si="4"/>
        <v>5.7499999999999982</v>
      </c>
      <c r="O9" s="13">
        <f t="shared" si="11"/>
        <v>9.6082457633333238</v>
      </c>
      <c r="Q9" s="9">
        <f t="shared" si="12"/>
        <v>0.88595635668181827</v>
      </c>
      <c r="R9" s="10">
        <f t="shared" si="13"/>
        <v>449.50869540425532</v>
      </c>
      <c r="S9" s="9">
        <f t="shared" si="14"/>
        <v>6.2425262710000018</v>
      </c>
      <c r="T9" s="9">
        <f t="shared" si="5"/>
        <v>11.250000000000002</v>
      </c>
    </row>
    <row r="10" spans="1:20" x14ac:dyDescent="0.15">
      <c r="B10" s="18">
        <f t="shared" si="0"/>
        <v>0.84999999999999987</v>
      </c>
      <c r="C10" s="19">
        <f t="shared" si="1"/>
        <v>431.14800263056088</v>
      </c>
      <c r="D10" s="18">
        <f t="shared" si="2"/>
        <v>6.0267881309090914</v>
      </c>
      <c r="E10" s="18">
        <f t="shared" si="15"/>
        <v>10.530872866363636</v>
      </c>
      <c r="G10" s="20">
        <f t="shared" si="6"/>
        <v>0.85754349484848491</v>
      </c>
      <c r="H10" s="21">
        <f t="shared" si="3"/>
        <v>435</v>
      </c>
      <c r="I10" s="20">
        <f t="shared" si="7"/>
        <v>6.0720491000000019</v>
      </c>
      <c r="J10" s="20">
        <f t="shared" si="8"/>
        <v>10.681742763333334</v>
      </c>
      <c r="L10" s="13">
        <f t="shared" si="9"/>
        <v>0.82886864484848455</v>
      </c>
      <c r="M10" s="14">
        <f t="shared" si="10"/>
        <v>420.35752340425512</v>
      </c>
      <c r="N10" s="13">
        <f t="shared" si="4"/>
        <v>5.8999999999999986</v>
      </c>
      <c r="O10" s="13">
        <f t="shared" si="11"/>
        <v>10.108245763333327</v>
      </c>
      <c r="Q10" s="9">
        <f t="shared" si="12"/>
        <v>0.90345635668181823</v>
      </c>
      <c r="R10" s="10">
        <f t="shared" si="13"/>
        <v>458.44486561702132</v>
      </c>
      <c r="S10" s="9">
        <f t="shared" si="14"/>
        <v>6.3475262710000013</v>
      </c>
      <c r="T10" s="9">
        <f t="shared" si="5"/>
        <v>11.600000000000001</v>
      </c>
    </row>
    <row r="11" spans="1:20" x14ac:dyDescent="0.15">
      <c r="B11" s="18">
        <f t="shared" si="0"/>
        <v>0.87499999999999989</v>
      </c>
      <c r="C11" s="19">
        <f t="shared" si="1"/>
        <v>443.91396007736932</v>
      </c>
      <c r="D11" s="18">
        <f t="shared" si="2"/>
        <v>6.17678813090909</v>
      </c>
      <c r="E11" s="18">
        <f t="shared" si="15"/>
        <v>11.030872866363632</v>
      </c>
      <c r="G11" s="20">
        <f t="shared" si="6"/>
        <v>0.8771268281818182</v>
      </c>
      <c r="H11" s="21">
        <f t="shared" si="3"/>
        <v>445</v>
      </c>
      <c r="I11" s="20">
        <f t="shared" si="7"/>
        <v>6.1895491000000016</v>
      </c>
      <c r="J11" s="20">
        <f t="shared" si="8"/>
        <v>11.07340943</v>
      </c>
      <c r="L11" s="13">
        <f t="shared" si="9"/>
        <v>0.85386864484848468</v>
      </c>
      <c r="M11" s="14">
        <f t="shared" si="10"/>
        <v>433.12348085106368</v>
      </c>
      <c r="N11" s="13">
        <f t="shared" si="4"/>
        <v>6.0499999999999989</v>
      </c>
      <c r="O11" s="13">
        <f t="shared" si="11"/>
        <v>10.608245763333327</v>
      </c>
      <c r="Q11" s="9">
        <f t="shared" si="12"/>
        <v>0.92095635668181819</v>
      </c>
      <c r="R11" s="10">
        <f t="shared" si="13"/>
        <v>467.38103582978727</v>
      </c>
      <c r="S11" s="9">
        <f t="shared" si="14"/>
        <v>6.4525262710000018</v>
      </c>
      <c r="T11" s="9">
        <f t="shared" si="5"/>
        <v>11.950000000000001</v>
      </c>
    </row>
    <row r="12" spans="1:20" x14ac:dyDescent="0.15">
      <c r="B12" s="18">
        <f t="shared" si="0"/>
        <v>0.89999999999999991</v>
      </c>
      <c r="C12" s="19">
        <f t="shared" si="1"/>
        <v>456.67991752417794</v>
      </c>
      <c r="D12" s="18">
        <f t="shared" si="2"/>
        <v>6.3267881309090921</v>
      </c>
      <c r="E12" s="18">
        <f t="shared" si="15"/>
        <v>11.530872866363636</v>
      </c>
      <c r="G12" s="20">
        <f t="shared" si="6"/>
        <v>0.89671016151515159</v>
      </c>
      <c r="H12" s="21">
        <f t="shared" si="3"/>
        <v>455</v>
      </c>
      <c r="I12" s="20">
        <f t="shared" si="7"/>
        <v>6.3070491000000013</v>
      </c>
      <c r="J12" s="20">
        <f t="shared" si="8"/>
        <v>11.465076096666667</v>
      </c>
      <c r="L12" s="13">
        <f t="shared" si="9"/>
        <v>0.87886864484848459</v>
      </c>
      <c r="M12" s="14">
        <f t="shared" si="10"/>
        <v>445.88943829787218</v>
      </c>
      <c r="N12" s="13">
        <f t="shared" si="4"/>
        <v>6.1999999999999993</v>
      </c>
      <c r="O12" s="13">
        <f t="shared" si="11"/>
        <v>11.108245763333327</v>
      </c>
      <c r="Q12" s="9">
        <f t="shared" si="12"/>
        <v>0.93845635668181826</v>
      </c>
      <c r="R12" s="10">
        <f t="shared" si="13"/>
        <v>476.31720604255315</v>
      </c>
      <c r="S12" s="9">
        <f t="shared" si="14"/>
        <v>6.5575262710000004</v>
      </c>
      <c r="T12" s="9">
        <f t="shared" si="5"/>
        <v>12.3</v>
      </c>
    </row>
    <row r="13" spans="1:20" ht="14" thickBot="1" x14ac:dyDescent="0.2">
      <c r="B13" s="18">
        <f>B14-0.025</f>
        <v>0.92499999999999993</v>
      </c>
      <c r="C13" s="19">
        <f t="shared" si="1"/>
        <v>469.44587497098644</v>
      </c>
      <c r="D13" s="18">
        <f t="shared" si="2"/>
        <v>6.4767881309090924</v>
      </c>
      <c r="E13" s="18">
        <f t="shared" si="15"/>
        <v>12.030872866363636</v>
      </c>
      <c r="G13" s="20">
        <f t="shared" si="6"/>
        <v>0.91629349484848488</v>
      </c>
      <c r="H13" s="21">
        <f>H14-10</f>
        <v>465</v>
      </c>
      <c r="I13" s="20">
        <f t="shared" si="7"/>
        <v>6.4245491000000019</v>
      </c>
      <c r="J13" s="20">
        <f t="shared" si="8"/>
        <v>11.856742763333333</v>
      </c>
      <c r="L13" s="13">
        <f t="shared" si="9"/>
        <v>0.90386864484848461</v>
      </c>
      <c r="M13" s="14">
        <f t="shared" si="10"/>
        <v>458.65539574468073</v>
      </c>
      <c r="N13" s="13">
        <f>N14-0.15</f>
        <v>6.35</v>
      </c>
      <c r="O13" s="13">
        <f t="shared" si="11"/>
        <v>11.608245763333333</v>
      </c>
      <c r="Q13" s="9">
        <f t="shared" si="12"/>
        <v>0.95595635668181822</v>
      </c>
      <c r="R13" s="10">
        <f t="shared" si="13"/>
        <v>485.25337625531915</v>
      </c>
      <c r="S13" s="9">
        <f t="shared" si="14"/>
        <v>6.6625262710000008</v>
      </c>
      <c r="T13" s="9">
        <f>T14-0.35</f>
        <v>12.65</v>
      </c>
    </row>
    <row r="14" spans="1:20" ht="14" thickBot="1" x14ac:dyDescent="0.2">
      <c r="B14" s="24">
        <f>Conventional!$B$8</f>
        <v>0.95</v>
      </c>
      <c r="C14" s="19">
        <f>(((B14*$B$4)-$B$3+$C$3)/$C$4)*2000</f>
        <v>482.21183241779499</v>
      </c>
      <c r="D14" s="18">
        <f t="shared" si="2"/>
        <v>6.6267881309090919</v>
      </c>
      <c r="E14" s="18">
        <f t="shared" si="15"/>
        <v>12.530872866363636</v>
      </c>
      <c r="G14" s="20">
        <f t="shared" si="6"/>
        <v>0.93587682818181828</v>
      </c>
      <c r="H14" s="22">
        <f>Conventional!$D$8</f>
        <v>475</v>
      </c>
      <c r="I14" s="20">
        <f t="shared" si="7"/>
        <v>6.5420491000000016</v>
      </c>
      <c r="J14" s="20">
        <f t="shared" si="8"/>
        <v>12.248409430000001</v>
      </c>
      <c r="L14" s="13">
        <f t="shared" si="9"/>
        <v>0.92886864484848464</v>
      </c>
      <c r="M14" s="14">
        <f t="shared" si="10"/>
        <v>471.42135319148923</v>
      </c>
      <c r="N14" s="15">
        <f>Conventional!$F$8</f>
        <v>6.5</v>
      </c>
      <c r="O14" s="13">
        <f t="shared" si="11"/>
        <v>12.108245763333333</v>
      </c>
      <c r="Q14" s="9">
        <f t="shared" si="12"/>
        <v>0.97345635668181818</v>
      </c>
      <c r="R14" s="10">
        <f t="shared" si="13"/>
        <v>494.1895464680851</v>
      </c>
      <c r="S14" s="9">
        <f t="shared" si="14"/>
        <v>6.7675262710000004</v>
      </c>
      <c r="T14" s="11">
        <f>Conventional!$H$8</f>
        <v>13</v>
      </c>
    </row>
    <row r="15" spans="1:20" x14ac:dyDescent="0.15">
      <c r="B15" s="18">
        <f>B14+0.025</f>
        <v>0.97499999999999998</v>
      </c>
      <c r="C15" s="19">
        <f t="shared" si="1"/>
        <v>494.97778986460344</v>
      </c>
      <c r="D15" s="18">
        <f t="shared" si="2"/>
        <v>6.7767881309090923</v>
      </c>
      <c r="E15" s="18">
        <f t="shared" si="15"/>
        <v>13.030872866363636</v>
      </c>
      <c r="G15" s="20">
        <f t="shared" si="6"/>
        <v>0.95546016151515156</v>
      </c>
      <c r="H15" s="21">
        <f>H14+10</f>
        <v>485</v>
      </c>
      <c r="I15" s="20">
        <f t="shared" si="7"/>
        <v>6.6595491000000013</v>
      </c>
      <c r="J15" s="20">
        <f t="shared" si="8"/>
        <v>12.640076096666666</v>
      </c>
      <c r="L15" s="13">
        <f t="shared" si="9"/>
        <v>0.95386864484848466</v>
      </c>
      <c r="M15" s="14">
        <f t="shared" si="10"/>
        <v>484.18731063829773</v>
      </c>
      <c r="N15" s="13">
        <f>N14+0.15</f>
        <v>6.65</v>
      </c>
      <c r="O15" s="13">
        <f t="shared" si="11"/>
        <v>12.608245763333333</v>
      </c>
      <c r="Q15" s="9">
        <f t="shared" si="12"/>
        <v>0.99095635668181825</v>
      </c>
      <c r="R15" s="10">
        <f t="shared" si="13"/>
        <v>503.12571668085104</v>
      </c>
      <c r="S15" s="9">
        <f t="shared" si="14"/>
        <v>6.8725262710000008</v>
      </c>
      <c r="T15" s="9">
        <f>T14+0.35</f>
        <v>13.35</v>
      </c>
    </row>
    <row r="16" spans="1:20" x14ac:dyDescent="0.15">
      <c r="B16" s="18">
        <f t="shared" ref="B16:B21" si="16">B15+0.025</f>
        <v>1</v>
      </c>
      <c r="C16" s="19">
        <f t="shared" si="1"/>
        <v>507.74374731141194</v>
      </c>
      <c r="D16" s="18">
        <f t="shared" si="2"/>
        <v>6.9267881309090917</v>
      </c>
      <c r="E16" s="18">
        <f t="shared" si="15"/>
        <v>13.530872866363636</v>
      </c>
      <c r="G16" s="20">
        <f t="shared" si="6"/>
        <v>0.97504349484848485</v>
      </c>
      <c r="H16" s="21">
        <f t="shared" ref="H16:H21" si="17">H15+10</f>
        <v>495</v>
      </c>
      <c r="I16" s="20">
        <f t="shared" si="7"/>
        <v>6.7770491000000019</v>
      </c>
      <c r="J16" s="20">
        <f t="shared" si="8"/>
        <v>13.031742763333334</v>
      </c>
      <c r="L16" s="13">
        <f t="shared" si="9"/>
        <v>0.97886864484848501</v>
      </c>
      <c r="M16" s="14">
        <f t="shared" si="10"/>
        <v>496.9532680851064</v>
      </c>
      <c r="N16" s="13">
        <f t="shared" ref="N16:N21" si="18">N15+0.15</f>
        <v>6.8000000000000007</v>
      </c>
      <c r="O16" s="13">
        <f t="shared" si="11"/>
        <v>13.108245763333336</v>
      </c>
      <c r="Q16" s="9">
        <f t="shared" si="12"/>
        <v>1.0084563566818183</v>
      </c>
      <c r="R16" s="10">
        <f t="shared" si="13"/>
        <v>512.06188689361693</v>
      </c>
      <c r="S16" s="9">
        <f t="shared" si="14"/>
        <v>6.9775262710000003</v>
      </c>
      <c r="T16" s="9">
        <f t="shared" ref="T16:T21" si="19">T15+0.35</f>
        <v>13.7</v>
      </c>
    </row>
    <row r="17" spans="1:20" x14ac:dyDescent="0.15">
      <c r="B17" s="18">
        <f t="shared" si="16"/>
        <v>1.0249999999999999</v>
      </c>
      <c r="C17" s="19">
        <f t="shared" si="1"/>
        <v>520.50970475822044</v>
      </c>
      <c r="D17" s="18">
        <f t="shared" si="2"/>
        <v>7.0767881309090921</v>
      </c>
      <c r="E17" s="18">
        <f t="shared" si="15"/>
        <v>14.030872866363636</v>
      </c>
      <c r="G17" s="20">
        <f t="shared" si="6"/>
        <v>0.99462682818181825</v>
      </c>
      <c r="H17" s="21">
        <f t="shared" si="17"/>
        <v>505</v>
      </c>
      <c r="I17" s="20">
        <f t="shared" si="7"/>
        <v>6.8945491000000017</v>
      </c>
      <c r="J17" s="20">
        <f t="shared" si="8"/>
        <v>13.42340943</v>
      </c>
      <c r="L17" s="13">
        <f t="shared" si="9"/>
        <v>1.003868644848485</v>
      </c>
      <c r="M17" s="14">
        <f t="shared" si="10"/>
        <v>509.71922553191496</v>
      </c>
      <c r="N17" s="13">
        <f t="shared" si="18"/>
        <v>6.9500000000000011</v>
      </c>
      <c r="O17" s="13">
        <f t="shared" si="11"/>
        <v>13.608245763333336</v>
      </c>
      <c r="Q17" s="9">
        <f t="shared" si="12"/>
        <v>1.0259563566818179</v>
      </c>
      <c r="R17" s="10">
        <f t="shared" si="13"/>
        <v>520.99805710638293</v>
      </c>
      <c r="S17" s="9">
        <f t="shared" si="14"/>
        <v>7.0825262710000008</v>
      </c>
      <c r="T17" s="9">
        <f t="shared" si="19"/>
        <v>14.049999999999999</v>
      </c>
    </row>
    <row r="18" spans="1:20" x14ac:dyDescent="0.15">
      <c r="B18" s="18">
        <f t="shared" si="16"/>
        <v>1.0499999999999998</v>
      </c>
      <c r="C18" s="19">
        <f t="shared" si="1"/>
        <v>533.27566220502888</v>
      </c>
      <c r="D18" s="18">
        <f t="shared" si="2"/>
        <v>7.2267881309090898</v>
      </c>
      <c r="E18" s="18">
        <f t="shared" si="15"/>
        <v>14.530872866363632</v>
      </c>
      <c r="G18" s="20">
        <f t="shared" si="6"/>
        <v>1.0142101615151515</v>
      </c>
      <c r="H18" s="21">
        <f t="shared" si="17"/>
        <v>515</v>
      </c>
      <c r="I18" s="20">
        <f t="shared" si="7"/>
        <v>7.0120491000000014</v>
      </c>
      <c r="J18" s="20">
        <f t="shared" si="8"/>
        <v>13.815076096666667</v>
      </c>
      <c r="L18" s="13">
        <f t="shared" si="9"/>
        <v>1.0288686448484849</v>
      </c>
      <c r="M18" s="14">
        <f t="shared" si="10"/>
        <v>522.48518297872351</v>
      </c>
      <c r="N18" s="13">
        <f t="shared" si="18"/>
        <v>7.1000000000000014</v>
      </c>
      <c r="O18" s="13">
        <f t="shared" si="11"/>
        <v>14.108245763333336</v>
      </c>
      <c r="Q18" s="9">
        <f t="shared" si="12"/>
        <v>1.043456356681818</v>
      </c>
      <c r="R18" s="10">
        <f t="shared" si="13"/>
        <v>529.93422731914882</v>
      </c>
      <c r="S18" s="9">
        <f t="shared" si="14"/>
        <v>7.1875262710000003</v>
      </c>
      <c r="T18" s="9">
        <f t="shared" si="19"/>
        <v>14.399999999999999</v>
      </c>
    </row>
    <row r="19" spans="1:20" x14ac:dyDescent="0.15">
      <c r="B19" s="18">
        <f t="shared" si="16"/>
        <v>1.0749999999999997</v>
      </c>
      <c r="C19" s="19">
        <f t="shared" si="1"/>
        <v>546.04161965183744</v>
      </c>
      <c r="D19" s="18">
        <f t="shared" si="2"/>
        <v>7.3767881309090901</v>
      </c>
      <c r="E19" s="18">
        <f t="shared" si="15"/>
        <v>15.030872866363632</v>
      </c>
      <c r="G19" s="20">
        <f t="shared" si="6"/>
        <v>1.0337934948484848</v>
      </c>
      <c r="H19" s="21">
        <f t="shared" si="17"/>
        <v>525</v>
      </c>
      <c r="I19" s="20">
        <f t="shared" si="7"/>
        <v>7.129549100000002</v>
      </c>
      <c r="J19" s="20">
        <f t="shared" si="8"/>
        <v>14.206742763333333</v>
      </c>
      <c r="L19" s="13">
        <f t="shared" si="9"/>
        <v>1.0538686448484851</v>
      </c>
      <c r="M19" s="14">
        <f t="shared" si="10"/>
        <v>535.25114042553196</v>
      </c>
      <c r="N19" s="13">
        <f t="shared" si="18"/>
        <v>7.2500000000000018</v>
      </c>
      <c r="O19" s="13">
        <f t="shared" si="11"/>
        <v>14.60824576333334</v>
      </c>
      <c r="Q19" s="9">
        <f t="shared" si="12"/>
        <v>1.0609563566818181</v>
      </c>
      <c r="R19" s="10">
        <f t="shared" si="13"/>
        <v>538.87039753191482</v>
      </c>
      <c r="S19" s="9">
        <f t="shared" si="14"/>
        <v>7.2925262710000007</v>
      </c>
      <c r="T19" s="9">
        <f t="shared" si="19"/>
        <v>14.749999999999998</v>
      </c>
    </row>
    <row r="20" spans="1:20" x14ac:dyDescent="0.15">
      <c r="B20" s="18">
        <f t="shared" si="16"/>
        <v>1.0999999999999996</v>
      </c>
      <c r="C20" s="19">
        <f t="shared" si="1"/>
        <v>558.80757709864577</v>
      </c>
      <c r="D20" s="18">
        <f t="shared" si="2"/>
        <v>7.5267881309090896</v>
      </c>
      <c r="E20" s="18">
        <f t="shared" si="15"/>
        <v>15.530872866363628</v>
      </c>
      <c r="G20" s="20">
        <f t="shared" si="6"/>
        <v>1.0533768281818183</v>
      </c>
      <c r="H20" s="21">
        <f t="shared" si="17"/>
        <v>535</v>
      </c>
      <c r="I20" s="20">
        <f t="shared" si="7"/>
        <v>7.2470491000000017</v>
      </c>
      <c r="J20" s="20">
        <f t="shared" si="8"/>
        <v>14.59840943</v>
      </c>
      <c r="L20" s="13">
        <f t="shared" si="9"/>
        <v>1.078868644848485</v>
      </c>
      <c r="M20" s="14">
        <f t="shared" si="10"/>
        <v>548.01709787234051</v>
      </c>
      <c r="N20" s="13">
        <f t="shared" si="18"/>
        <v>7.4000000000000021</v>
      </c>
      <c r="O20" s="13">
        <f t="shared" si="11"/>
        <v>15.10824576333334</v>
      </c>
      <c r="Q20" s="9">
        <f t="shared" si="12"/>
        <v>1.0784563566818179</v>
      </c>
      <c r="R20" s="10">
        <f t="shared" si="13"/>
        <v>547.80656774468071</v>
      </c>
      <c r="S20" s="9">
        <f t="shared" si="14"/>
        <v>7.3975262709999994</v>
      </c>
      <c r="T20" s="9">
        <f t="shared" si="19"/>
        <v>15.099999999999998</v>
      </c>
    </row>
    <row r="21" spans="1:20" x14ac:dyDescent="0.15">
      <c r="B21" s="18">
        <f t="shared" si="16"/>
        <v>1.1249999999999996</v>
      </c>
      <c r="C21" s="19">
        <f t="shared" si="1"/>
        <v>571.57353454545432</v>
      </c>
      <c r="D21" s="18">
        <f t="shared" si="2"/>
        <v>7.67678813090909</v>
      </c>
      <c r="E21" s="18">
        <f t="shared" si="15"/>
        <v>16.030872866363627</v>
      </c>
      <c r="G21" s="20">
        <f t="shared" si="6"/>
        <v>1.0729601615151516</v>
      </c>
      <c r="H21" s="21">
        <f t="shared" si="17"/>
        <v>545</v>
      </c>
      <c r="I21" s="20">
        <f t="shared" si="7"/>
        <v>7.3645491000000014</v>
      </c>
      <c r="J21" s="20">
        <f t="shared" si="8"/>
        <v>14.990076096666666</v>
      </c>
      <c r="L21" s="13">
        <f t="shared" si="9"/>
        <v>1.1038686448484851</v>
      </c>
      <c r="M21" s="14">
        <f t="shared" si="10"/>
        <v>560.78305531914896</v>
      </c>
      <c r="N21" s="13">
        <f t="shared" si="18"/>
        <v>7.5500000000000025</v>
      </c>
      <c r="O21" s="13">
        <f t="shared" si="11"/>
        <v>15.60824576333334</v>
      </c>
      <c r="Q21" s="9">
        <f t="shared" si="12"/>
        <v>1.095956356681818</v>
      </c>
      <c r="R21" s="10">
        <f t="shared" si="13"/>
        <v>556.74273795744671</v>
      </c>
      <c r="S21" s="9">
        <f t="shared" si="14"/>
        <v>7.5025262709999989</v>
      </c>
      <c r="T21" s="9">
        <f t="shared" si="19"/>
        <v>15.449999999999998</v>
      </c>
    </row>
    <row r="22" spans="1:20" x14ac:dyDescent="0.15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15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15">
      <c r="A24" s="1" t="s">
        <v>72</v>
      </c>
      <c r="B24" s="57">
        <f>Conventional!$L$30</f>
        <v>622.91851551136369</v>
      </c>
      <c r="C24" s="57">
        <f>Conventional!$N$30</f>
        <v>663.09934999999996</v>
      </c>
      <c r="D24" s="57">
        <f>Conventional!$P$30</f>
        <v>460.32639741250006</v>
      </c>
      <c r="E24" s="57">
        <f>Conventional!$R$30</f>
        <v>311.856535275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15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15">
      <c r="B26" s="411" t="s">
        <v>74</v>
      </c>
      <c r="C26" s="411"/>
      <c r="D26" s="411"/>
      <c r="E26" s="411"/>
      <c r="F26" s="29"/>
      <c r="G26" s="412" t="s">
        <v>75</v>
      </c>
      <c r="H26" s="412"/>
      <c r="I26" s="412"/>
      <c r="J26" s="412"/>
      <c r="K26" s="29"/>
      <c r="L26" s="413" t="s">
        <v>76</v>
      </c>
      <c r="M26" s="413"/>
      <c r="N26" s="413"/>
      <c r="O26" s="413"/>
      <c r="P26" s="29"/>
      <c r="Q26" s="414" t="s">
        <v>77</v>
      </c>
      <c r="R26" s="414"/>
      <c r="S26" s="414"/>
      <c r="T26" s="414"/>
    </row>
    <row r="27" spans="1:20" s="8" customFormat="1" ht="42" x14ac:dyDescent="0.15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 x14ac:dyDescent="0.15">
      <c r="B28" s="18">
        <f t="shared" ref="B28:B33" si="20">B29-0.025</f>
        <v>0.7749999999999998</v>
      </c>
      <c r="C28" s="19">
        <f t="shared" ref="C28:C42" si="21">(((B28*$B$25)-$B$24+$C$24)/$C$25)*2000</f>
        <v>365.5475496991977</v>
      </c>
      <c r="D28" s="18">
        <f t="shared" ref="D28:D42" si="22">(((B28*$B$25)-$B$24+$D$24)/$D$25)</f>
        <v>4.9253868458957202</v>
      </c>
      <c r="E28" s="18">
        <f t="shared" ref="E28:E42" si="23">(((B28*$B$25)-$B$24+$E$24)/$E$25)</f>
        <v>9.0062673254545391</v>
      </c>
      <c r="G28" s="20">
        <f>(((H28*$C$25/2000)-$C$24+$B$24)/$B$25)</f>
        <v>0.86442555401515164</v>
      </c>
      <c r="H28" s="21">
        <f t="shared" ref="H28:H33" si="24">H29-10</f>
        <v>405</v>
      </c>
      <c r="I28" s="20">
        <f>(((H28*$C$25/2000)-$C$24+$D$24)/$D$25)</f>
        <v>5.714435851911766</v>
      </c>
      <c r="J28" s="20">
        <f>(((H28*$C$25/2000)-$C$24+$E$24)/$E$25)</f>
        <v>11.241906175833334</v>
      </c>
      <c r="L28" s="17">
        <f>(((N28*$D$25)-$D$24+$B$24)/$B$25)</f>
        <v>0.83445615746515134</v>
      </c>
      <c r="M28" s="14">
        <f>(((N28*$D$25)-$D$24+$C$24)/$C$25)*2000</f>
        <v>391.7782074044116</v>
      </c>
      <c r="N28" s="13">
        <f t="shared" ref="N28:N33" si="25">N29-0.15</f>
        <v>5.4499999999999975</v>
      </c>
      <c r="O28" s="13">
        <f>(((N28*$D$25)-$D$24+$E$24)/$E$25)</f>
        <v>10.492671262083324</v>
      </c>
      <c r="Q28" s="9">
        <f>(((T28*$E$25)-$E$24+$B$24)/$B$25)</f>
        <v>0.83674930698181837</v>
      </c>
      <c r="R28" s="10">
        <f>(((T28*$E$25)-$E$24+$C$24)/$C$25)*2000</f>
        <v>392.78989101470592</v>
      </c>
      <c r="S28" s="9">
        <f>(((T28*$E$25)-$E$24+$D$24)/$D$25)</f>
        <v>5.4702336722058833</v>
      </c>
      <c r="T28" s="9">
        <f t="shared" ref="T28:T33" si="26">T29-0.35</f>
        <v>10.550000000000002</v>
      </c>
    </row>
    <row r="29" spans="1:20" x14ac:dyDescent="0.15">
      <c r="B29" s="18">
        <f t="shared" si="20"/>
        <v>0.79999999999999982</v>
      </c>
      <c r="C29" s="19">
        <f t="shared" si="21"/>
        <v>376.57696146390361</v>
      </c>
      <c r="D29" s="18">
        <f t="shared" si="22"/>
        <v>5.1459750811898379</v>
      </c>
      <c r="E29" s="18">
        <f t="shared" si="23"/>
        <v>9.6312673254545391</v>
      </c>
      <c r="G29" s="20">
        <f t="shared" ref="G29:G42" si="27">(((H29*$C$25/2000)-$C$24+$B$24)/$B$25)</f>
        <v>0.88709222068181837</v>
      </c>
      <c r="H29" s="21">
        <f t="shared" si="24"/>
        <v>415</v>
      </c>
      <c r="I29" s="20">
        <f t="shared" ref="I29:I42" si="28">(((H29*$C$25/2000)-$C$24+$D$24)/$D$25)</f>
        <v>5.9144358519117661</v>
      </c>
      <c r="J29" s="20">
        <f t="shared" ref="J29:J42" si="29">(((H29*$C$25/2000)-$C$24+$E$24)/$E$25)</f>
        <v>11.808572842500002</v>
      </c>
      <c r="L29" s="17">
        <f t="shared" ref="L29:L42" si="30">(((N29*$D$25)-$D$24+$B$24)/$B$25)</f>
        <v>0.85145615746515124</v>
      </c>
      <c r="M29" s="14">
        <f t="shared" ref="M29:M42" si="31">(((N29*$D$25)-$D$24+$C$24)/$C$25)*2000</f>
        <v>399.2782074044116</v>
      </c>
      <c r="N29" s="13">
        <f t="shared" si="25"/>
        <v>5.5999999999999979</v>
      </c>
      <c r="O29" s="13">
        <f t="shared" ref="O29:O42" si="32">(((N29*$D$25)-$D$24+$E$24)/$E$25)</f>
        <v>10.917671262083326</v>
      </c>
      <c r="Q29" s="9">
        <f t="shared" ref="Q29:Q42" si="33">(((T29*$E$25)-$E$24+$B$24)/$B$25)</f>
        <v>0.85074930698181839</v>
      </c>
      <c r="R29" s="10">
        <f t="shared" ref="R29:R42" si="34">(((T29*$E$25)-$E$24+$C$24)/$C$25)*2000</f>
        <v>398.96636160294116</v>
      </c>
      <c r="S29" s="9">
        <f t="shared" ref="S29:S42" si="35">(((T29*$E$25)-$E$24+$D$24)/$D$25)</f>
        <v>5.5937630839705896</v>
      </c>
      <c r="T29" s="9">
        <f t="shared" si="26"/>
        <v>10.900000000000002</v>
      </c>
    </row>
    <row r="30" spans="1:20" x14ac:dyDescent="0.15">
      <c r="B30" s="18">
        <f t="shared" si="20"/>
        <v>0.82499999999999984</v>
      </c>
      <c r="C30" s="19">
        <f t="shared" si="21"/>
        <v>387.60637322860953</v>
      </c>
      <c r="D30" s="18">
        <f t="shared" si="22"/>
        <v>5.3665633164839557</v>
      </c>
      <c r="E30" s="18">
        <f t="shared" si="23"/>
        <v>10.256267325454539</v>
      </c>
      <c r="G30" s="20">
        <f t="shared" si="27"/>
        <v>0.90975888734848498</v>
      </c>
      <c r="H30" s="21">
        <f t="shared" si="24"/>
        <v>425</v>
      </c>
      <c r="I30" s="20">
        <f t="shared" si="28"/>
        <v>6.1144358519117654</v>
      </c>
      <c r="J30" s="20">
        <f t="shared" si="29"/>
        <v>12.375239509166668</v>
      </c>
      <c r="L30" s="17">
        <f t="shared" si="30"/>
        <v>0.86845615746515126</v>
      </c>
      <c r="M30" s="14">
        <f t="shared" si="31"/>
        <v>406.7782074044116</v>
      </c>
      <c r="N30" s="13">
        <f t="shared" si="25"/>
        <v>5.7499999999999982</v>
      </c>
      <c r="O30" s="13">
        <f t="shared" si="32"/>
        <v>11.342671262083325</v>
      </c>
      <c r="Q30" s="9">
        <f t="shared" si="33"/>
        <v>0.86474930698181829</v>
      </c>
      <c r="R30" s="10">
        <f t="shared" si="34"/>
        <v>405.14283219117647</v>
      </c>
      <c r="S30" s="9">
        <f t="shared" si="35"/>
        <v>5.7172924957352951</v>
      </c>
      <c r="T30" s="9">
        <f t="shared" si="26"/>
        <v>11.250000000000002</v>
      </c>
    </row>
    <row r="31" spans="1:20" x14ac:dyDescent="0.15">
      <c r="B31" s="18">
        <f t="shared" si="20"/>
        <v>0.84999999999999987</v>
      </c>
      <c r="C31" s="19">
        <f t="shared" si="21"/>
        <v>398.63578499331538</v>
      </c>
      <c r="D31" s="18">
        <f t="shared" si="22"/>
        <v>5.5871515517780734</v>
      </c>
      <c r="E31" s="18">
        <f t="shared" si="23"/>
        <v>10.881267325454539</v>
      </c>
      <c r="G31" s="20">
        <f t="shared" si="27"/>
        <v>0.93242555401515159</v>
      </c>
      <c r="H31" s="21">
        <f t="shared" si="24"/>
        <v>435</v>
      </c>
      <c r="I31" s="20">
        <f t="shared" si="28"/>
        <v>6.3144358519117656</v>
      </c>
      <c r="J31" s="20">
        <f t="shared" si="29"/>
        <v>12.941906175833335</v>
      </c>
      <c r="L31" s="17">
        <f t="shared" si="30"/>
        <v>0.88545615746515127</v>
      </c>
      <c r="M31" s="14">
        <f t="shared" si="31"/>
        <v>414.2782074044116</v>
      </c>
      <c r="N31" s="13">
        <f t="shared" si="25"/>
        <v>5.8999999999999986</v>
      </c>
      <c r="O31" s="13">
        <f t="shared" si="32"/>
        <v>11.767671262083327</v>
      </c>
      <c r="Q31" s="9">
        <f t="shared" si="33"/>
        <v>0.8787493069818183</v>
      </c>
      <c r="R31" s="10">
        <f t="shared" si="34"/>
        <v>411.31930277941177</v>
      </c>
      <c r="S31" s="9">
        <f t="shared" si="35"/>
        <v>5.8408219075000014</v>
      </c>
      <c r="T31" s="9">
        <f t="shared" si="26"/>
        <v>11.600000000000001</v>
      </c>
    </row>
    <row r="32" spans="1:20" x14ac:dyDescent="0.15">
      <c r="B32" s="18">
        <f t="shared" si="20"/>
        <v>0.87499999999999989</v>
      </c>
      <c r="C32" s="19">
        <f t="shared" si="21"/>
        <v>409.66519675802124</v>
      </c>
      <c r="D32" s="18">
        <f t="shared" si="22"/>
        <v>5.8077397870721912</v>
      </c>
      <c r="E32" s="18">
        <f t="shared" si="23"/>
        <v>11.506267325454539</v>
      </c>
      <c r="G32" s="20">
        <f t="shared" si="27"/>
        <v>0.95509222068181832</v>
      </c>
      <c r="H32" s="21">
        <f t="shared" si="24"/>
        <v>445</v>
      </c>
      <c r="I32" s="20">
        <f t="shared" si="28"/>
        <v>6.5144358519117649</v>
      </c>
      <c r="J32" s="20">
        <f t="shared" si="29"/>
        <v>13.508572842500001</v>
      </c>
      <c r="L32" s="17">
        <f t="shared" si="30"/>
        <v>0.90245615746515129</v>
      </c>
      <c r="M32" s="14">
        <f t="shared" si="31"/>
        <v>421.77820740441166</v>
      </c>
      <c r="N32" s="13">
        <f t="shared" si="25"/>
        <v>6.0499999999999989</v>
      </c>
      <c r="O32" s="13">
        <f t="shared" si="32"/>
        <v>12.192671262083328</v>
      </c>
      <c r="Q32" s="9">
        <f t="shared" si="33"/>
        <v>0.89274930698181831</v>
      </c>
      <c r="R32" s="10">
        <f t="shared" si="34"/>
        <v>417.49577336764708</v>
      </c>
      <c r="S32" s="9">
        <f t="shared" si="35"/>
        <v>5.9643513192647069</v>
      </c>
      <c r="T32" s="9">
        <f t="shared" si="26"/>
        <v>11.950000000000001</v>
      </c>
    </row>
    <row r="33" spans="1:20" x14ac:dyDescent="0.15">
      <c r="B33" s="18">
        <f t="shared" si="20"/>
        <v>0.89999999999999991</v>
      </c>
      <c r="C33" s="19">
        <f t="shared" si="21"/>
        <v>420.69460852272715</v>
      </c>
      <c r="D33" s="18">
        <f t="shared" si="22"/>
        <v>6.0283280223663098</v>
      </c>
      <c r="E33" s="18">
        <f t="shared" si="23"/>
        <v>12.131267325454539</v>
      </c>
      <c r="G33" s="20">
        <f t="shared" si="27"/>
        <v>0.97775888734848493</v>
      </c>
      <c r="H33" s="21">
        <f t="shared" si="24"/>
        <v>455</v>
      </c>
      <c r="I33" s="20">
        <f t="shared" si="28"/>
        <v>6.7144358519117651</v>
      </c>
      <c r="J33" s="20">
        <f t="shared" si="29"/>
        <v>14.075239509166668</v>
      </c>
      <c r="L33" s="17">
        <f t="shared" si="30"/>
        <v>0.9194561574651513</v>
      </c>
      <c r="M33" s="14">
        <f t="shared" si="31"/>
        <v>429.2782074044116</v>
      </c>
      <c r="N33" s="13">
        <f t="shared" si="25"/>
        <v>6.1999999999999993</v>
      </c>
      <c r="O33" s="13">
        <f t="shared" si="32"/>
        <v>12.617671262083327</v>
      </c>
      <c r="Q33" s="9">
        <f t="shared" si="33"/>
        <v>0.90674930698181833</v>
      </c>
      <c r="R33" s="10">
        <f t="shared" si="34"/>
        <v>423.67224395588238</v>
      </c>
      <c r="S33" s="9">
        <f t="shared" si="35"/>
        <v>6.0878807310294123</v>
      </c>
      <c r="T33" s="9">
        <f t="shared" si="26"/>
        <v>12.3</v>
      </c>
    </row>
    <row r="34" spans="1:20" ht="14" thickBot="1" x14ac:dyDescent="0.2">
      <c r="B34" s="18">
        <f>B35-0.025</f>
        <v>0.92499999999999993</v>
      </c>
      <c r="C34" s="19">
        <f t="shared" si="21"/>
        <v>431.72402028743312</v>
      </c>
      <c r="D34" s="18">
        <f t="shared" si="22"/>
        <v>6.2489162576604276</v>
      </c>
      <c r="E34" s="18">
        <f t="shared" si="23"/>
        <v>12.756267325454543</v>
      </c>
      <c r="G34" s="20">
        <f t="shared" si="27"/>
        <v>1.0004255540151517</v>
      </c>
      <c r="H34" s="21">
        <f>H35-10</f>
        <v>465</v>
      </c>
      <c r="I34" s="20">
        <f t="shared" si="28"/>
        <v>6.9144358519117652</v>
      </c>
      <c r="J34" s="20">
        <f t="shared" si="29"/>
        <v>14.641906175833334</v>
      </c>
      <c r="L34" s="17">
        <f t="shared" si="30"/>
        <v>0.93645615746515154</v>
      </c>
      <c r="M34" s="14">
        <f t="shared" si="31"/>
        <v>436.77820740441177</v>
      </c>
      <c r="N34" s="13">
        <f>N35-0.15</f>
        <v>6.35</v>
      </c>
      <c r="O34" s="13">
        <f t="shared" si="32"/>
        <v>13.042671262083331</v>
      </c>
      <c r="Q34" s="9">
        <f t="shared" si="33"/>
        <v>0.92074930698181834</v>
      </c>
      <c r="R34" s="10">
        <f t="shared" si="34"/>
        <v>429.84871454411768</v>
      </c>
      <c r="S34" s="9">
        <f t="shared" si="35"/>
        <v>6.2114101427941186</v>
      </c>
      <c r="T34" s="9">
        <f>T35-0.35</f>
        <v>12.65</v>
      </c>
    </row>
    <row r="35" spans="1:20" ht="14" thickBot="1" x14ac:dyDescent="0.2">
      <c r="B35" s="24">
        <f>Conventional!$B$8</f>
        <v>0.95</v>
      </c>
      <c r="C35" s="19">
        <f t="shared" si="21"/>
        <v>442.75343205213898</v>
      </c>
      <c r="D35" s="18">
        <f t="shared" si="22"/>
        <v>6.4695044929545444</v>
      </c>
      <c r="E35" s="18">
        <f t="shared" si="23"/>
        <v>13.381267325454543</v>
      </c>
      <c r="G35" s="20">
        <f t="shared" si="27"/>
        <v>1.0230922206818183</v>
      </c>
      <c r="H35" s="22">
        <f>Conventional!$D$8</f>
        <v>475</v>
      </c>
      <c r="I35" s="20">
        <f t="shared" si="28"/>
        <v>7.1144358519117654</v>
      </c>
      <c r="J35" s="20">
        <f t="shared" si="29"/>
        <v>15.208572842500001</v>
      </c>
      <c r="L35" s="17">
        <f t="shared" si="30"/>
        <v>0.95345615746515155</v>
      </c>
      <c r="M35" s="14">
        <f t="shared" si="31"/>
        <v>444.27820740441177</v>
      </c>
      <c r="N35" s="15">
        <f>Conventional!$F$8</f>
        <v>6.5</v>
      </c>
      <c r="O35" s="13">
        <f t="shared" si="32"/>
        <v>13.467671262083332</v>
      </c>
      <c r="Q35" s="9">
        <f t="shared" si="33"/>
        <v>0.93474930698181835</v>
      </c>
      <c r="R35" s="10">
        <f t="shared" si="34"/>
        <v>436.02518513235293</v>
      </c>
      <c r="S35" s="9">
        <f t="shared" si="35"/>
        <v>6.3349395545588241</v>
      </c>
      <c r="T35" s="11">
        <f>Conventional!$H$8</f>
        <v>13</v>
      </c>
    </row>
    <row r="36" spans="1:20" x14ac:dyDescent="0.15">
      <c r="B36" s="18">
        <f>B35+0.025</f>
        <v>0.97499999999999998</v>
      </c>
      <c r="C36" s="19">
        <f t="shared" si="21"/>
        <v>453.78284381684489</v>
      </c>
      <c r="D36" s="18">
        <f t="shared" si="22"/>
        <v>6.6900927282486622</v>
      </c>
      <c r="E36" s="18">
        <f t="shared" si="23"/>
        <v>14.006267325454543</v>
      </c>
      <c r="G36" s="20">
        <f t="shared" si="27"/>
        <v>1.0457588873484849</v>
      </c>
      <c r="H36" s="21">
        <f>H35+10</f>
        <v>485</v>
      </c>
      <c r="I36" s="20">
        <f t="shared" si="28"/>
        <v>7.3144358519117656</v>
      </c>
      <c r="J36" s="20">
        <f t="shared" si="29"/>
        <v>15.775239509166669</v>
      </c>
      <c r="L36" s="17">
        <f t="shared" si="30"/>
        <v>0.97045615746515157</v>
      </c>
      <c r="M36" s="14">
        <f t="shared" si="31"/>
        <v>451.77820740441172</v>
      </c>
      <c r="N36" s="13">
        <f>N35+0.15</f>
        <v>6.65</v>
      </c>
      <c r="O36" s="13">
        <f t="shared" si="32"/>
        <v>13.892671262083331</v>
      </c>
      <c r="Q36" s="9">
        <f t="shared" si="33"/>
        <v>0.94874930698181836</v>
      </c>
      <c r="R36" s="10">
        <f t="shared" si="34"/>
        <v>442.20165572058823</v>
      </c>
      <c r="S36" s="9">
        <f t="shared" si="35"/>
        <v>6.4584689663235304</v>
      </c>
      <c r="T36" s="9">
        <f>T35+0.35</f>
        <v>13.35</v>
      </c>
    </row>
    <row r="37" spans="1:20" x14ac:dyDescent="0.15">
      <c r="B37" s="18">
        <f t="shared" ref="B37:B42" si="36">B36+0.025</f>
        <v>1</v>
      </c>
      <c r="C37" s="19">
        <f t="shared" si="21"/>
        <v>464.81225558155074</v>
      </c>
      <c r="D37" s="18">
        <f t="shared" si="22"/>
        <v>6.9106809635427799</v>
      </c>
      <c r="E37" s="18">
        <f t="shared" si="23"/>
        <v>14.631267325454543</v>
      </c>
      <c r="G37" s="20">
        <f t="shared" si="27"/>
        <v>1.0684255540151517</v>
      </c>
      <c r="H37" s="21">
        <f t="shared" ref="H37:H42" si="37">H36+10</f>
        <v>495</v>
      </c>
      <c r="I37" s="20">
        <f t="shared" si="28"/>
        <v>7.5144358519117649</v>
      </c>
      <c r="J37" s="20">
        <f t="shared" si="29"/>
        <v>16.341906175833333</v>
      </c>
      <c r="L37" s="17">
        <f t="shared" si="30"/>
        <v>0.98745615746515158</v>
      </c>
      <c r="M37" s="14">
        <f t="shared" si="31"/>
        <v>459.27820740441172</v>
      </c>
      <c r="N37" s="13">
        <f t="shared" ref="N37:N42" si="38">N36+0.15</f>
        <v>6.8000000000000007</v>
      </c>
      <c r="O37" s="13">
        <f t="shared" si="32"/>
        <v>14.317671262083335</v>
      </c>
      <c r="Q37" s="9">
        <f t="shared" si="33"/>
        <v>0.96274930698181838</v>
      </c>
      <c r="R37" s="10">
        <f t="shared" si="34"/>
        <v>448.37812630882354</v>
      </c>
      <c r="S37" s="9">
        <f t="shared" si="35"/>
        <v>6.5819983780882358</v>
      </c>
      <c r="T37" s="9">
        <f t="shared" ref="T37:T42" si="39">T36+0.35</f>
        <v>13.7</v>
      </c>
    </row>
    <row r="38" spans="1:20" x14ac:dyDescent="0.15">
      <c r="B38" s="18">
        <f t="shared" si="36"/>
        <v>1.0249999999999999</v>
      </c>
      <c r="C38" s="19">
        <f t="shared" si="21"/>
        <v>475.84166734625654</v>
      </c>
      <c r="D38" s="18">
        <f t="shared" si="22"/>
        <v>7.1312691988368977</v>
      </c>
      <c r="E38" s="18">
        <f t="shared" si="23"/>
        <v>15.256267325454539</v>
      </c>
      <c r="G38" s="20">
        <f t="shared" si="27"/>
        <v>1.0910922206818183</v>
      </c>
      <c r="H38" s="21">
        <f t="shared" si="37"/>
        <v>505</v>
      </c>
      <c r="I38" s="20">
        <f t="shared" si="28"/>
        <v>7.7144358519117651</v>
      </c>
      <c r="J38" s="20">
        <f t="shared" si="29"/>
        <v>16.9085728425</v>
      </c>
      <c r="L38" s="17">
        <f t="shared" si="30"/>
        <v>1.0044561574651516</v>
      </c>
      <c r="M38" s="14">
        <f t="shared" si="31"/>
        <v>466.77820740441172</v>
      </c>
      <c r="N38" s="13">
        <f t="shared" si="38"/>
        <v>6.9500000000000011</v>
      </c>
      <c r="O38" s="13">
        <f t="shared" si="32"/>
        <v>14.742671262083336</v>
      </c>
      <c r="Q38" s="9">
        <f t="shared" si="33"/>
        <v>0.97674930698181817</v>
      </c>
      <c r="R38" s="10">
        <f t="shared" si="34"/>
        <v>454.55459689705879</v>
      </c>
      <c r="S38" s="9">
        <f t="shared" si="35"/>
        <v>6.7055277898529422</v>
      </c>
      <c r="T38" s="9">
        <f t="shared" si="39"/>
        <v>14.049999999999999</v>
      </c>
    </row>
    <row r="39" spans="1:20" x14ac:dyDescent="0.15">
      <c r="B39" s="18">
        <f t="shared" si="36"/>
        <v>1.0499999999999998</v>
      </c>
      <c r="C39" s="19">
        <f t="shared" si="21"/>
        <v>486.87107911096246</v>
      </c>
      <c r="D39" s="18">
        <f t="shared" si="22"/>
        <v>7.3518574341310154</v>
      </c>
      <c r="E39" s="18">
        <f t="shared" si="23"/>
        <v>15.881267325454539</v>
      </c>
      <c r="G39" s="20">
        <f t="shared" si="27"/>
        <v>1.1137588873484849</v>
      </c>
      <c r="H39" s="21">
        <f t="shared" si="37"/>
        <v>515</v>
      </c>
      <c r="I39" s="20">
        <f t="shared" si="28"/>
        <v>7.9144358519117652</v>
      </c>
      <c r="J39" s="20">
        <f t="shared" si="29"/>
        <v>17.475239509166666</v>
      </c>
      <c r="L39" s="17">
        <f t="shared" si="30"/>
        <v>1.0214561574651515</v>
      </c>
      <c r="M39" s="14">
        <f t="shared" si="31"/>
        <v>474.27820740441172</v>
      </c>
      <c r="N39" s="13">
        <f t="shared" si="38"/>
        <v>7.1000000000000014</v>
      </c>
      <c r="O39" s="13">
        <f t="shared" si="32"/>
        <v>15.167671262083335</v>
      </c>
      <c r="Q39" s="9">
        <f t="shared" si="33"/>
        <v>0.99074930698181818</v>
      </c>
      <c r="R39" s="10">
        <f t="shared" si="34"/>
        <v>460.73106748529409</v>
      </c>
      <c r="S39" s="9">
        <f t="shared" si="35"/>
        <v>6.8290572016176476</v>
      </c>
      <c r="T39" s="9">
        <f t="shared" si="39"/>
        <v>14.399999999999999</v>
      </c>
    </row>
    <row r="40" spans="1:20" x14ac:dyDescent="0.15">
      <c r="B40" s="18">
        <f t="shared" si="36"/>
        <v>1.0749999999999997</v>
      </c>
      <c r="C40" s="19">
        <f t="shared" si="21"/>
        <v>497.90049087566825</v>
      </c>
      <c r="D40" s="18">
        <f t="shared" si="22"/>
        <v>7.5724456694251305</v>
      </c>
      <c r="E40" s="18">
        <f t="shared" si="23"/>
        <v>16.506267325454537</v>
      </c>
      <c r="G40" s="20">
        <f t="shared" si="27"/>
        <v>1.1364255540151516</v>
      </c>
      <c r="H40" s="21">
        <f t="shared" si="37"/>
        <v>525</v>
      </c>
      <c r="I40" s="20">
        <f t="shared" si="28"/>
        <v>8.1144358519117645</v>
      </c>
      <c r="J40" s="20">
        <f t="shared" si="29"/>
        <v>18.041906175833333</v>
      </c>
      <c r="L40" s="17">
        <f t="shared" si="30"/>
        <v>1.0384561574651516</v>
      </c>
      <c r="M40" s="14">
        <f t="shared" si="31"/>
        <v>481.77820740441172</v>
      </c>
      <c r="N40" s="13">
        <f t="shared" si="38"/>
        <v>7.2500000000000018</v>
      </c>
      <c r="O40" s="13">
        <f t="shared" si="32"/>
        <v>15.592671262083336</v>
      </c>
      <c r="Q40" s="9">
        <f t="shared" si="33"/>
        <v>1.0047493069818181</v>
      </c>
      <c r="R40" s="10">
        <f t="shared" si="34"/>
        <v>466.90753807352934</v>
      </c>
      <c r="S40" s="9">
        <f t="shared" si="35"/>
        <v>6.952586613382354</v>
      </c>
      <c r="T40" s="9">
        <f t="shared" si="39"/>
        <v>14.749999999999998</v>
      </c>
    </row>
    <row r="41" spans="1:20" x14ac:dyDescent="0.15">
      <c r="A41" s="2"/>
      <c r="B41" s="37">
        <f t="shared" si="36"/>
        <v>1.0999999999999996</v>
      </c>
      <c r="C41" s="38">
        <f t="shared" si="21"/>
        <v>508.92990264037417</v>
      </c>
      <c r="D41" s="37">
        <f t="shared" si="22"/>
        <v>7.7930339047192483</v>
      </c>
      <c r="E41" s="37">
        <f t="shared" si="23"/>
        <v>17.131267325454534</v>
      </c>
      <c r="G41" s="39">
        <f t="shared" si="27"/>
        <v>1.1590922206818184</v>
      </c>
      <c r="H41" s="40">
        <f t="shared" si="37"/>
        <v>535</v>
      </c>
      <c r="I41" s="39">
        <f t="shared" si="28"/>
        <v>8.3144358519117656</v>
      </c>
      <c r="J41" s="39">
        <f t="shared" si="29"/>
        <v>18.608572842499999</v>
      </c>
      <c r="L41" s="41">
        <f t="shared" si="30"/>
        <v>1.055456157465152</v>
      </c>
      <c r="M41" s="42">
        <f t="shared" si="31"/>
        <v>489.27820740441183</v>
      </c>
      <c r="N41" s="43">
        <f t="shared" si="38"/>
        <v>7.4000000000000021</v>
      </c>
      <c r="O41" s="43">
        <f t="shared" si="32"/>
        <v>16.01767126208334</v>
      </c>
      <c r="Q41" s="44">
        <f t="shared" si="33"/>
        <v>1.0187493069818181</v>
      </c>
      <c r="R41" s="45">
        <f t="shared" si="34"/>
        <v>473.08400866176464</v>
      </c>
      <c r="S41" s="44">
        <f t="shared" si="35"/>
        <v>7.0761160251470594</v>
      </c>
      <c r="T41" s="44">
        <f t="shared" si="39"/>
        <v>15.099999999999998</v>
      </c>
    </row>
    <row r="42" spans="1:20" x14ac:dyDescent="0.15">
      <c r="A42" s="46"/>
      <c r="B42" s="47">
        <f t="shared" si="36"/>
        <v>1.1249999999999996</v>
      </c>
      <c r="C42" s="48">
        <f t="shared" si="21"/>
        <v>519.95931440507991</v>
      </c>
      <c r="D42" s="47">
        <f t="shared" si="22"/>
        <v>8.013622140013366</v>
      </c>
      <c r="E42" s="47">
        <f t="shared" si="23"/>
        <v>17.756267325454534</v>
      </c>
      <c r="F42" s="46"/>
      <c r="G42" s="49">
        <f t="shared" si="27"/>
        <v>1.181758887348485</v>
      </c>
      <c r="H42" s="50">
        <f t="shared" si="37"/>
        <v>545</v>
      </c>
      <c r="I42" s="49">
        <f t="shared" si="28"/>
        <v>8.5144358519117649</v>
      </c>
      <c r="J42" s="49">
        <f t="shared" si="29"/>
        <v>19.175239509166666</v>
      </c>
      <c r="K42" s="46"/>
      <c r="L42" s="51">
        <f t="shared" si="30"/>
        <v>1.0724561574651519</v>
      </c>
      <c r="M42" s="52">
        <f t="shared" si="31"/>
        <v>496.77820740441189</v>
      </c>
      <c r="N42" s="53">
        <f t="shared" si="38"/>
        <v>7.5500000000000025</v>
      </c>
      <c r="O42" s="53">
        <f t="shared" si="32"/>
        <v>16.442671262083341</v>
      </c>
      <c r="P42" s="46"/>
      <c r="Q42" s="54">
        <f t="shared" si="33"/>
        <v>1.0327493069818181</v>
      </c>
      <c r="R42" s="55">
        <f t="shared" si="34"/>
        <v>479.26047924999995</v>
      </c>
      <c r="S42" s="54">
        <f t="shared" si="35"/>
        <v>7.1996454369117657</v>
      </c>
      <c r="T42" s="54">
        <f t="shared" si="39"/>
        <v>15.449999999999998</v>
      </c>
    </row>
    <row r="43" spans="1:20" x14ac:dyDescent="0.15">
      <c r="A43" s="410" t="s">
        <v>84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</row>
    <row r="44" spans="1:20" x14ac:dyDescent="0.15">
      <c r="B44" s="3" t="s">
        <v>2</v>
      </c>
      <c r="C44" s="3" t="s">
        <v>68</v>
      </c>
      <c r="D44" s="3" t="s">
        <v>4</v>
      </c>
      <c r="E44" s="3" t="s">
        <v>69</v>
      </c>
    </row>
    <row r="45" spans="1:20" x14ac:dyDescent="0.15">
      <c r="A45" s="1" t="s">
        <v>70</v>
      </c>
      <c r="B45" s="4">
        <f>'Strip-Till'!B$31</f>
        <v>776.6681063181818</v>
      </c>
      <c r="C45" s="4">
        <f>'Strip-Till'!D$31</f>
        <v>730.82605000000012</v>
      </c>
      <c r="D45" s="4">
        <f>'Strip-Till'!F$31</f>
        <v>955.75284499999998</v>
      </c>
      <c r="E45" s="4">
        <f>'Strip-Till'!H$31</f>
        <v>354.08124705000006</v>
      </c>
    </row>
    <row r="46" spans="1:20" x14ac:dyDescent="0.15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15">
      <c r="A47" s="6"/>
      <c r="B47" s="411" t="s">
        <v>74</v>
      </c>
      <c r="C47" s="411"/>
      <c r="D47" s="411"/>
      <c r="E47" s="411"/>
      <c r="F47" s="29"/>
      <c r="G47" s="412" t="s">
        <v>75</v>
      </c>
      <c r="H47" s="412"/>
      <c r="I47" s="412"/>
      <c r="J47" s="412"/>
      <c r="K47" s="29"/>
      <c r="L47" s="413" t="s">
        <v>76</v>
      </c>
      <c r="M47" s="413"/>
      <c r="N47" s="413"/>
      <c r="O47" s="413"/>
      <c r="P47" s="29"/>
      <c r="Q47" s="414" t="s">
        <v>77</v>
      </c>
      <c r="R47" s="414"/>
      <c r="S47" s="414"/>
      <c r="T47" s="414"/>
    </row>
    <row r="48" spans="1:20" ht="28" x14ac:dyDescent="0.15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 x14ac:dyDescent="0.15">
      <c r="B49" s="18">
        <f t="shared" ref="B49:B54" si="40">B50-0.025</f>
        <v>0.7749999999999998</v>
      </c>
      <c r="C49" s="19">
        <f>(((B49*$B$46)-$B$45+$C$45)/$C$46)*2000</f>
        <v>376.23742284332684</v>
      </c>
      <c r="D49" s="18">
        <f>(((B49*$B$46)-$B$45+$D$45)/$D$46)</f>
        <v>5.5454236934090897</v>
      </c>
      <c r="E49" s="18">
        <f>(((B49*$B$46)-$B$45+$E$45)/$E$46)</f>
        <v>8.4568856788636335</v>
      </c>
      <c r="G49" s="20">
        <f>(((H49*$C$46/2000)-$C$45+$B$45)/$B$46)</f>
        <v>0.83132671359848476</v>
      </c>
      <c r="H49" s="21">
        <f t="shared" ref="H49:H54" si="41">H50-10</f>
        <v>405</v>
      </c>
      <c r="I49" s="20">
        <f>(((H49*$C$46/2000)-$C$45+$D$45)/$D$46)</f>
        <v>5.8833839749999992</v>
      </c>
      <c r="J49" s="20">
        <f>(((H49*$C$46/2000)-$C$45+$E$45)/$E$46)</f>
        <v>9.5834199508333313</v>
      </c>
      <c r="L49" s="17">
        <f>(((N49*$D$46)-$D$45+$B$45)/$B$46)</f>
        <v>0.75909605109848444</v>
      </c>
      <c r="M49" s="14">
        <f>(((N49*$D$46)-$D$45+$C$45)/$C$46)*2000</f>
        <v>368.11625744680839</v>
      </c>
      <c r="N49" s="13">
        <f t="shared" ref="N49:N54" si="42">N50-0.15</f>
        <v>5.4499999999999975</v>
      </c>
      <c r="O49" s="13">
        <f>(((N49*$D$46)-$D$45+$E$45)/$E$46)</f>
        <v>8.1388067008333262</v>
      </c>
      <c r="Q49" s="36">
        <f>(((T49*$E$46)-$E$45+$B$45)/$B$46)</f>
        <v>0.87965571605681814</v>
      </c>
      <c r="R49" s="10">
        <f>(((T49*$E$46)-$E$45+$C$45)/$C$46)*2000</f>
        <v>429.67863955319154</v>
      </c>
      <c r="S49" s="9">
        <f>(((T49*$E$46)-$E$45+$D$45)/$D$46)</f>
        <v>6.1733579897499995</v>
      </c>
      <c r="T49" s="9">
        <f t="shared" ref="T49:T54" si="43">T50-0.35</f>
        <v>10.550000000000002</v>
      </c>
    </row>
    <row r="50" spans="2:20" x14ac:dyDescent="0.15">
      <c r="B50" s="18">
        <f t="shared" si="40"/>
        <v>0.79999999999999982</v>
      </c>
      <c r="C50" s="19">
        <f t="shared" ref="C50:C63" si="44">(((B50*$B$46)-$B$45+$C$45)/$C$46)*2000</f>
        <v>389.0033802901354</v>
      </c>
      <c r="D50" s="18">
        <f t="shared" ref="D50:D63" si="45">(((B50*$B$46)-$B$45+$D$45)/$D$46)</f>
        <v>5.69542369340909</v>
      </c>
      <c r="E50" s="18">
        <f t="shared" ref="E50:E63" si="46">(((B50*$B$46)-$B$45+$E$45)/$E$46)</f>
        <v>8.9568856788636335</v>
      </c>
      <c r="G50" s="20">
        <f t="shared" ref="G50:G63" si="47">(((H50*$C$46/2000)-$C$45+$B$45)/$B$46)</f>
        <v>0.85091004693181804</v>
      </c>
      <c r="H50" s="21">
        <f t="shared" si="41"/>
        <v>415</v>
      </c>
      <c r="I50" s="20">
        <f t="shared" ref="I50:I63" si="48">(((H50*$C$46/2000)-$C$45+$D$45)/$D$46)</f>
        <v>6.0008839749999989</v>
      </c>
      <c r="J50" s="20">
        <f t="shared" ref="J50:J63" si="49">(((H50*$C$46/2000)-$C$45+$E$45)/$E$46)</f>
        <v>9.9750866174999988</v>
      </c>
      <c r="L50" s="17">
        <f t="shared" ref="L50:L63" si="50">(((N50*$D$46)-$D$45+$B$45)/$B$46)</f>
        <v>0.78409605109848446</v>
      </c>
      <c r="M50" s="14">
        <f t="shared" ref="M50:M63" si="51">(((N50*$D$46)-$D$45+$C$45)/$C$46)*2000</f>
        <v>380.88221489361689</v>
      </c>
      <c r="N50" s="13">
        <f t="shared" si="42"/>
        <v>5.5999999999999979</v>
      </c>
      <c r="O50" s="13">
        <f t="shared" ref="O50:O63" si="52">(((N50*$D$46)-$D$45+$E$45)/$E$46)</f>
        <v>8.6388067008333262</v>
      </c>
      <c r="Q50" s="36">
        <f t="shared" ref="Q50:Q63" si="53">(((T50*$E$46)-$E$45+$B$45)/$B$46)</f>
        <v>0.89715571605681821</v>
      </c>
      <c r="R50" s="10">
        <f t="shared" ref="R50:R63" si="54">(((T50*$E$46)-$E$45+$C$45)/$C$46)*2000</f>
        <v>438.61480976595749</v>
      </c>
      <c r="S50" s="9">
        <f t="shared" ref="S50:S63" si="55">(((T50*$E$46)-$E$45+$D$45)/$D$46)</f>
        <v>6.2783579897499999</v>
      </c>
      <c r="T50" s="9">
        <f t="shared" si="43"/>
        <v>10.900000000000002</v>
      </c>
    </row>
    <row r="51" spans="2:20" x14ac:dyDescent="0.15">
      <c r="B51" s="18">
        <f t="shared" si="40"/>
        <v>0.82499999999999984</v>
      </c>
      <c r="C51" s="19">
        <f t="shared" si="44"/>
        <v>401.76933773694384</v>
      </c>
      <c r="D51" s="18">
        <f t="shared" si="45"/>
        <v>5.8454236934090895</v>
      </c>
      <c r="E51" s="18">
        <f t="shared" si="46"/>
        <v>9.4568856788636335</v>
      </c>
      <c r="G51" s="20">
        <f t="shared" si="47"/>
        <v>0.87049338026515144</v>
      </c>
      <c r="H51" s="21">
        <f t="shared" si="41"/>
        <v>425</v>
      </c>
      <c r="I51" s="20">
        <f t="shared" si="48"/>
        <v>6.1183839749999995</v>
      </c>
      <c r="J51" s="20">
        <f t="shared" si="49"/>
        <v>10.366753284166665</v>
      </c>
      <c r="L51" s="17">
        <f t="shared" si="50"/>
        <v>0.80909605109848448</v>
      </c>
      <c r="M51" s="14">
        <f t="shared" si="51"/>
        <v>393.64817234042539</v>
      </c>
      <c r="N51" s="13">
        <f t="shared" si="42"/>
        <v>5.7499999999999982</v>
      </c>
      <c r="O51" s="13">
        <f t="shared" si="52"/>
        <v>9.1388067008333262</v>
      </c>
      <c r="Q51" s="36">
        <f t="shared" si="53"/>
        <v>0.91465571605681817</v>
      </c>
      <c r="R51" s="10">
        <f t="shared" si="54"/>
        <v>447.55097997872343</v>
      </c>
      <c r="S51" s="9">
        <f t="shared" si="55"/>
        <v>6.3833579897499995</v>
      </c>
      <c r="T51" s="9">
        <f t="shared" si="43"/>
        <v>11.250000000000002</v>
      </c>
    </row>
    <row r="52" spans="2:20" x14ac:dyDescent="0.15">
      <c r="B52" s="18">
        <f t="shared" si="40"/>
        <v>0.84999999999999987</v>
      </c>
      <c r="C52" s="19">
        <f t="shared" si="44"/>
        <v>414.53529518375245</v>
      </c>
      <c r="D52" s="18">
        <f t="shared" si="45"/>
        <v>5.9954236934090908</v>
      </c>
      <c r="E52" s="18">
        <f t="shared" si="46"/>
        <v>9.9568856788636371</v>
      </c>
      <c r="G52" s="20">
        <f t="shared" si="47"/>
        <v>0.89007671359848473</v>
      </c>
      <c r="H52" s="21">
        <f t="shared" si="41"/>
        <v>435</v>
      </c>
      <c r="I52" s="20">
        <f t="shared" si="48"/>
        <v>6.2358839749999992</v>
      </c>
      <c r="J52" s="20">
        <f t="shared" si="49"/>
        <v>10.758419950833332</v>
      </c>
      <c r="L52" s="17">
        <f t="shared" si="50"/>
        <v>0.83409605109848461</v>
      </c>
      <c r="M52" s="14">
        <f t="shared" si="51"/>
        <v>406.414129787234</v>
      </c>
      <c r="N52" s="13">
        <f t="shared" si="42"/>
        <v>5.8999999999999986</v>
      </c>
      <c r="O52" s="13">
        <f t="shared" si="52"/>
        <v>9.6388067008333298</v>
      </c>
      <c r="Q52" s="36">
        <f t="shared" si="53"/>
        <v>0.93215571605681813</v>
      </c>
      <c r="R52" s="10">
        <f t="shared" si="54"/>
        <v>456.48715019148938</v>
      </c>
      <c r="S52" s="9">
        <f t="shared" si="55"/>
        <v>6.4883579897499999</v>
      </c>
      <c r="T52" s="9">
        <f t="shared" si="43"/>
        <v>11.600000000000001</v>
      </c>
    </row>
    <row r="53" spans="2:20" x14ac:dyDescent="0.15">
      <c r="B53" s="18">
        <f t="shared" si="40"/>
        <v>0.87499999999999989</v>
      </c>
      <c r="C53" s="19">
        <f t="shared" si="44"/>
        <v>427.3012526305609</v>
      </c>
      <c r="D53" s="18">
        <f t="shared" si="45"/>
        <v>6.1454236934090893</v>
      </c>
      <c r="E53" s="18">
        <f t="shared" si="46"/>
        <v>10.456885678863634</v>
      </c>
      <c r="G53" s="20">
        <f t="shared" si="47"/>
        <v>0.90966004693181801</v>
      </c>
      <c r="H53" s="21">
        <f t="shared" si="41"/>
        <v>445</v>
      </c>
      <c r="I53" s="20">
        <f t="shared" si="48"/>
        <v>6.353383974999999</v>
      </c>
      <c r="J53" s="20">
        <f t="shared" si="49"/>
        <v>11.150086617499998</v>
      </c>
      <c r="L53" s="17">
        <f t="shared" si="50"/>
        <v>0.85909605109848464</v>
      </c>
      <c r="M53" s="14">
        <f t="shared" si="51"/>
        <v>419.18008723404256</v>
      </c>
      <c r="N53" s="13">
        <f t="shared" si="42"/>
        <v>6.0499999999999989</v>
      </c>
      <c r="O53" s="13">
        <f t="shared" si="52"/>
        <v>10.13880670083333</v>
      </c>
      <c r="Q53" s="36">
        <f t="shared" si="53"/>
        <v>0.9496557160568182</v>
      </c>
      <c r="R53" s="10">
        <f t="shared" si="54"/>
        <v>465.42332040425538</v>
      </c>
      <c r="S53" s="9">
        <f t="shared" si="55"/>
        <v>6.5933579897500003</v>
      </c>
      <c r="T53" s="9">
        <f t="shared" si="43"/>
        <v>11.950000000000001</v>
      </c>
    </row>
    <row r="54" spans="2:20" x14ac:dyDescent="0.15">
      <c r="B54" s="18">
        <f t="shared" si="40"/>
        <v>0.89999999999999991</v>
      </c>
      <c r="C54" s="19">
        <f t="shared" si="44"/>
        <v>440.06721007736951</v>
      </c>
      <c r="D54" s="18">
        <f t="shared" si="45"/>
        <v>6.2954236934090906</v>
      </c>
      <c r="E54" s="18">
        <f t="shared" si="46"/>
        <v>10.956885678863637</v>
      </c>
      <c r="G54" s="20">
        <f t="shared" si="47"/>
        <v>0.92924338026515141</v>
      </c>
      <c r="H54" s="21">
        <f t="shared" si="41"/>
        <v>455</v>
      </c>
      <c r="I54" s="20">
        <f t="shared" si="48"/>
        <v>6.4708839749999996</v>
      </c>
      <c r="J54" s="20">
        <f t="shared" si="49"/>
        <v>11.541753284166665</v>
      </c>
      <c r="L54" s="17">
        <f t="shared" si="50"/>
        <v>0.88409605109848466</v>
      </c>
      <c r="M54" s="14">
        <f t="shared" si="51"/>
        <v>431.946044680851</v>
      </c>
      <c r="N54" s="13">
        <f t="shared" si="42"/>
        <v>6.1999999999999993</v>
      </c>
      <c r="O54" s="13">
        <f t="shared" si="52"/>
        <v>10.63880670083333</v>
      </c>
      <c r="Q54" s="36">
        <f t="shared" si="53"/>
        <v>0.96715571605681816</v>
      </c>
      <c r="R54" s="10">
        <f t="shared" si="54"/>
        <v>474.35949061702132</v>
      </c>
      <c r="S54" s="9">
        <f t="shared" si="55"/>
        <v>6.6983579897499999</v>
      </c>
      <c r="T54" s="9">
        <f t="shared" si="43"/>
        <v>12.3</v>
      </c>
    </row>
    <row r="55" spans="2:20" ht="14" thickBot="1" x14ac:dyDescent="0.2">
      <c r="B55" s="18">
        <f>B56-0.025</f>
        <v>0.92499999999999993</v>
      </c>
      <c r="C55" s="19">
        <f t="shared" si="44"/>
        <v>452.83316752417801</v>
      </c>
      <c r="D55" s="18">
        <f t="shared" si="45"/>
        <v>6.4454236934090909</v>
      </c>
      <c r="E55" s="18">
        <f t="shared" si="46"/>
        <v>11.456885678863637</v>
      </c>
      <c r="G55" s="20">
        <f t="shared" si="47"/>
        <v>0.94882671359848469</v>
      </c>
      <c r="H55" s="21">
        <f>H56-10</f>
        <v>465</v>
      </c>
      <c r="I55" s="20">
        <f t="shared" si="48"/>
        <v>6.5883839749999993</v>
      </c>
      <c r="J55" s="20">
        <f t="shared" si="49"/>
        <v>11.933419950833331</v>
      </c>
      <c r="L55" s="17">
        <f t="shared" si="50"/>
        <v>0.9090960510984849</v>
      </c>
      <c r="M55" s="14">
        <f t="shared" si="51"/>
        <v>444.71200212765967</v>
      </c>
      <c r="N55" s="13">
        <f>N56-0.15</f>
        <v>6.35</v>
      </c>
      <c r="O55" s="13">
        <f t="shared" si="52"/>
        <v>11.138806700833333</v>
      </c>
      <c r="Q55" s="36">
        <f t="shared" si="53"/>
        <v>0.98465571605681812</v>
      </c>
      <c r="R55" s="10">
        <f t="shared" si="54"/>
        <v>483.29566082978732</v>
      </c>
      <c r="S55" s="9">
        <f t="shared" si="55"/>
        <v>6.8033579897500003</v>
      </c>
      <c r="T55" s="9">
        <f>T56-0.35</f>
        <v>12.65</v>
      </c>
    </row>
    <row r="56" spans="2:20" ht="14" thickBot="1" x14ac:dyDescent="0.2">
      <c r="B56" s="24">
        <f>Conventional!$B$8</f>
        <v>0.95</v>
      </c>
      <c r="C56" s="19">
        <f t="shared" si="44"/>
        <v>465.59912497098657</v>
      </c>
      <c r="D56" s="18">
        <f t="shared" si="45"/>
        <v>6.5954236934090913</v>
      </c>
      <c r="E56" s="18">
        <f t="shared" si="46"/>
        <v>11.956885678863637</v>
      </c>
      <c r="G56" s="20">
        <f t="shared" si="47"/>
        <v>0.96841004693181809</v>
      </c>
      <c r="H56" s="22">
        <f>Conventional!$D$8</f>
        <v>475</v>
      </c>
      <c r="I56" s="20">
        <f t="shared" si="48"/>
        <v>6.705883974999999</v>
      </c>
      <c r="J56" s="20">
        <f t="shared" si="49"/>
        <v>12.325086617499998</v>
      </c>
      <c r="L56" s="17">
        <f t="shared" si="50"/>
        <v>0.93409605109848481</v>
      </c>
      <c r="M56" s="14">
        <f t="shared" si="51"/>
        <v>457.47795957446812</v>
      </c>
      <c r="N56" s="15">
        <f>Conventional!$F$8</f>
        <v>6.5</v>
      </c>
      <c r="O56" s="13">
        <f t="shared" si="52"/>
        <v>11.638806700833333</v>
      </c>
      <c r="Q56" s="36">
        <f t="shared" si="53"/>
        <v>1.0021557160568182</v>
      </c>
      <c r="R56" s="10">
        <f t="shared" si="54"/>
        <v>492.23183104255327</v>
      </c>
      <c r="S56" s="9">
        <f t="shared" si="55"/>
        <v>6.9083579897499998</v>
      </c>
      <c r="T56" s="11">
        <f>Conventional!$H$8</f>
        <v>13</v>
      </c>
    </row>
    <row r="57" spans="2:20" x14ac:dyDescent="0.15">
      <c r="B57" s="18">
        <f>B56+0.025</f>
        <v>0.97499999999999998</v>
      </c>
      <c r="C57" s="19">
        <f t="shared" si="44"/>
        <v>478.36508241779501</v>
      </c>
      <c r="D57" s="18">
        <f t="shared" si="45"/>
        <v>6.7454236934090908</v>
      </c>
      <c r="E57" s="18">
        <f t="shared" si="46"/>
        <v>12.456885678863637</v>
      </c>
      <c r="G57" s="20">
        <f t="shared" si="47"/>
        <v>0.98799338026515138</v>
      </c>
      <c r="H57" s="21">
        <f>H56+10</f>
        <v>485</v>
      </c>
      <c r="I57" s="20">
        <f t="shared" si="48"/>
        <v>6.8233839749999996</v>
      </c>
      <c r="J57" s="20">
        <f t="shared" si="49"/>
        <v>12.716753284166664</v>
      </c>
      <c r="L57" s="17">
        <f t="shared" si="50"/>
        <v>0.95909605109848484</v>
      </c>
      <c r="M57" s="14">
        <f t="shared" si="51"/>
        <v>470.24391702127667</v>
      </c>
      <c r="N57" s="13">
        <f>N56+0.15</f>
        <v>6.65</v>
      </c>
      <c r="O57" s="13">
        <f t="shared" si="52"/>
        <v>12.138806700833333</v>
      </c>
      <c r="Q57" s="36">
        <f t="shared" si="53"/>
        <v>1.0196557160568183</v>
      </c>
      <c r="R57" s="10">
        <f t="shared" si="54"/>
        <v>501.16800125531927</v>
      </c>
      <c r="S57" s="9">
        <f t="shared" si="55"/>
        <v>7.0133579897500002</v>
      </c>
      <c r="T57" s="9">
        <f>T56+0.35</f>
        <v>13.35</v>
      </c>
    </row>
    <row r="58" spans="2:20" x14ac:dyDescent="0.15">
      <c r="B58" s="18">
        <f t="shared" ref="B58:B63" si="56">B57+0.025</f>
        <v>1</v>
      </c>
      <c r="C58" s="19">
        <f t="shared" si="44"/>
        <v>491.13103986460357</v>
      </c>
      <c r="D58" s="18">
        <f t="shared" si="45"/>
        <v>6.8954236934090911</v>
      </c>
      <c r="E58" s="18">
        <f t="shared" si="46"/>
        <v>12.956885678863637</v>
      </c>
      <c r="G58" s="20">
        <f t="shared" si="47"/>
        <v>1.0075767135984848</v>
      </c>
      <c r="H58" s="21">
        <f t="shared" ref="H58:H63" si="57">H57+10</f>
        <v>495</v>
      </c>
      <c r="I58" s="20">
        <f t="shared" si="48"/>
        <v>6.9408839749999993</v>
      </c>
      <c r="J58" s="20">
        <f t="shared" si="49"/>
        <v>13.108419950833332</v>
      </c>
      <c r="L58" s="17">
        <f t="shared" si="50"/>
        <v>0.98409605109848508</v>
      </c>
      <c r="M58" s="14">
        <f t="shared" si="51"/>
        <v>483.00987446808523</v>
      </c>
      <c r="N58" s="13">
        <f t="shared" ref="N58:N63" si="58">N57+0.15</f>
        <v>6.8000000000000007</v>
      </c>
      <c r="O58" s="13">
        <f t="shared" si="52"/>
        <v>12.638806700833337</v>
      </c>
      <c r="Q58" s="36">
        <f t="shared" si="53"/>
        <v>1.0371557160568181</v>
      </c>
      <c r="R58" s="10">
        <f t="shared" si="54"/>
        <v>510.10417146808516</v>
      </c>
      <c r="S58" s="9">
        <f t="shared" si="55"/>
        <v>7.1183579897499998</v>
      </c>
      <c r="T58" s="9">
        <f t="shared" ref="T58:T63" si="59">T57+0.35</f>
        <v>13.7</v>
      </c>
    </row>
    <row r="59" spans="2:20" x14ac:dyDescent="0.15">
      <c r="B59" s="18">
        <f t="shared" si="56"/>
        <v>1.0249999999999999</v>
      </c>
      <c r="C59" s="19">
        <f t="shared" si="44"/>
        <v>503.89699731141201</v>
      </c>
      <c r="D59" s="18">
        <f t="shared" si="45"/>
        <v>7.0454236934090906</v>
      </c>
      <c r="E59" s="18">
        <f t="shared" si="46"/>
        <v>13.456885678863637</v>
      </c>
      <c r="G59" s="20">
        <f t="shared" si="47"/>
        <v>1.0271600469318181</v>
      </c>
      <c r="H59" s="21">
        <f t="shared" si="57"/>
        <v>505</v>
      </c>
      <c r="I59" s="20">
        <f t="shared" si="48"/>
        <v>7.058383974999999</v>
      </c>
      <c r="J59" s="20">
        <f t="shared" si="49"/>
        <v>13.500086617499997</v>
      </c>
      <c r="L59" s="17">
        <f t="shared" si="50"/>
        <v>1.009096051098485</v>
      </c>
      <c r="M59" s="14">
        <f t="shared" si="51"/>
        <v>495.77583191489379</v>
      </c>
      <c r="N59" s="13">
        <f t="shared" si="58"/>
        <v>6.9500000000000011</v>
      </c>
      <c r="O59" s="13">
        <f t="shared" si="52"/>
        <v>13.138806700833337</v>
      </c>
      <c r="Q59" s="36">
        <f t="shared" si="53"/>
        <v>1.054655716056818</v>
      </c>
      <c r="R59" s="10">
        <f t="shared" si="54"/>
        <v>519.04034168085104</v>
      </c>
      <c r="S59" s="9">
        <f t="shared" si="55"/>
        <v>7.2233579897499984</v>
      </c>
      <c r="T59" s="9">
        <f t="shared" si="59"/>
        <v>14.049999999999999</v>
      </c>
    </row>
    <row r="60" spans="2:20" x14ac:dyDescent="0.15">
      <c r="B60" s="18">
        <f t="shared" si="56"/>
        <v>1.0499999999999998</v>
      </c>
      <c r="C60" s="19">
        <f t="shared" si="44"/>
        <v>516.66295475822039</v>
      </c>
      <c r="D60" s="18">
        <f t="shared" si="45"/>
        <v>7.19542369340909</v>
      </c>
      <c r="E60" s="18">
        <f t="shared" si="46"/>
        <v>13.956885678863634</v>
      </c>
      <c r="G60" s="20">
        <f t="shared" si="47"/>
        <v>1.0467433802651513</v>
      </c>
      <c r="H60" s="21">
        <f t="shared" si="57"/>
        <v>515</v>
      </c>
      <c r="I60" s="20">
        <f t="shared" si="48"/>
        <v>7.1758839749999996</v>
      </c>
      <c r="J60" s="20">
        <f t="shared" si="49"/>
        <v>13.891753284166665</v>
      </c>
      <c r="L60" s="17">
        <f t="shared" si="50"/>
        <v>1.0340960510984851</v>
      </c>
      <c r="M60" s="14">
        <f t="shared" si="51"/>
        <v>508.54178936170223</v>
      </c>
      <c r="N60" s="13">
        <f t="shared" si="58"/>
        <v>7.1000000000000014</v>
      </c>
      <c r="O60" s="13">
        <f t="shared" si="52"/>
        <v>13.638806700833337</v>
      </c>
      <c r="Q60" s="36">
        <f t="shared" si="53"/>
        <v>1.072155716056818</v>
      </c>
      <c r="R60" s="10">
        <f t="shared" si="54"/>
        <v>527.97651189361693</v>
      </c>
      <c r="S60" s="9">
        <f t="shared" si="55"/>
        <v>7.3283579897499989</v>
      </c>
      <c r="T60" s="9">
        <f t="shared" si="59"/>
        <v>14.399999999999999</v>
      </c>
    </row>
    <row r="61" spans="2:20" x14ac:dyDescent="0.15">
      <c r="B61" s="18">
        <f t="shared" si="56"/>
        <v>1.0749999999999997</v>
      </c>
      <c r="C61" s="19">
        <f t="shared" si="44"/>
        <v>529.42891220502895</v>
      </c>
      <c r="D61" s="18">
        <f t="shared" si="45"/>
        <v>7.3454236934090895</v>
      </c>
      <c r="E61" s="18">
        <f t="shared" si="46"/>
        <v>14.456885678863634</v>
      </c>
      <c r="G61" s="20">
        <f t="shared" si="47"/>
        <v>1.0663267135984846</v>
      </c>
      <c r="H61" s="21">
        <f t="shared" si="57"/>
        <v>525</v>
      </c>
      <c r="I61" s="20">
        <f t="shared" si="48"/>
        <v>7.2933839749999994</v>
      </c>
      <c r="J61" s="20">
        <f t="shared" si="49"/>
        <v>14.283419950833331</v>
      </c>
      <c r="L61" s="17">
        <f t="shared" si="50"/>
        <v>1.0590960510984853</v>
      </c>
      <c r="M61" s="14">
        <f t="shared" si="51"/>
        <v>521.30774680851084</v>
      </c>
      <c r="N61" s="13">
        <f t="shared" si="58"/>
        <v>7.2500000000000018</v>
      </c>
      <c r="O61" s="13">
        <f t="shared" si="52"/>
        <v>14.13880670083334</v>
      </c>
      <c r="Q61" s="36">
        <f t="shared" si="53"/>
        <v>1.0896557160568179</v>
      </c>
      <c r="R61" s="10">
        <f t="shared" si="54"/>
        <v>536.91268210638304</v>
      </c>
      <c r="S61" s="9">
        <f t="shared" si="55"/>
        <v>7.4333579897499984</v>
      </c>
      <c r="T61" s="9">
        <f t="shared" si="59"/>
        <v>14.749999999999998</v>
      </c>
    </row>
    <row r="62" spans="2:20" x14ac:dyDescent="0.15">
      <c r="B62" s="18">
        <f t="shared" si="56"/>
        <v>1.0999999999999996</v>
      </c>
      <c r="C62" s="19">
        <f t="shared" si="44"/>
        <v>542.19486965183739</v>
      </c>
      <c r="D62" s="18">
        <f t="shared" si="45"/>
        <v>7.495423693409089</v>
      </c>
      <c r="E62" s="18">
        <f t="shared" si="46"/>
        <v>14.95688567886363</v>
      </c>
      <c r="G62" s="20">
        <f t="shared" si="47"/>
        <v>1.0859100469318181</v>
      </c>
      <c r="H62" s="21">
        <f t="shared" si="57"/>
        <v>535</v>
      </c>
      <c r="I62" s="20">
        <f t="shared" si="48"/>
        <v>7.4108839749999991</v>
      </c>
      <c r="J62" s="20">
        <f t="shared" si="49"/>
        <v>14.675086617499998</v>
      </c>
      <c r="L62" s="17">
        <f t="shared" si="50"/>
        <v>1.0840960510984852</v>
      </c>
      <c r="M62" s="14">
        <f t="shared" si="51"/>
        <v>534.0737042553194</v>
      </c>
      <c r="N62" s="13">
        <f t="shared" si="58"/>
        <v>7.4000000000000021</v>
      </c>
      <c r="O62" s="13">
        <f t="shared" si="52"/>
        <v>14.63880670083334</v>
      </c>
      <c r="Q62" s="36">
        <f t="shared" si="53"/>
        <v>1.107155716056818</v>
      </c>
      <c r="R62" s="10">
        <f t="shared" si="54"/>
        <v>545.84885231914893</v>
      </c>
      <c r="S62" s="9">
        <f t="shared" si="55"/>
        <v>7.5383579897499988</v>
      </c>
      <c r="T62" s="9">
        <f t="shared" si="59"/>
        <v>15.099999999999998</v>
      </c>
    </row>
    <row r="63" spans="2:20" x14ac:dyDescent="0.15">
      <c r="B63" s="18">
        <f t="shared" si="56"/>
        <v>1.1249999999999996</v>
      </c>
      <c r="C63" s="19">
        <f t="shared" si="44"/>
        <v>554.96082709864595</v>
      </c>
      <c r="D63" s="18">
        <f t="shared" si="45"/>
        <v>7.6454236934090885</v>
      </c>
      <c r="E63" s="18">
        <f t="shared" si="46"/>
        <v>15.45688567886363</v>
      </c>
      <c r="G63" s="20">
        <f t="shared" si="47"/>
        <v>1.1054933802651514</v>
      </c>
      <c r="H63" s="21">
        <f t="shared" si="57"/>
        <v>545</v>
      </c>
      <c r="I63" s="20">
        <f t="shared" si="48"/>
        <v>7.5283839749999997</v>
      </c>
      <c r="J63" s="20">
        <f t="shared" si="49"/>
        <v>15.066753284166664</v>
      </c>
      <c r="L63" s="17">
        <f t="shared" si="50"/>
        <v>1.1090960510984853</v>
      </c>
      <c r="M63" s="14">
        <f t="shared" si="51"/>
        <v>546.83966170212796</v>
      </c>
      <c r="N63" s="13">
        <f t="shared" si="58"/>
        <v>7.5500000000000025</v>
      </c>
      <c r="O63" s="13">
        <f t="shared" si="52"/>
        <v>15.13880670083334</v>
      </c>
      <c r="Q63" s="36">
        <f t="shared" si="53"/>
        <v>1.124655716056818</v>
      </c>
      <c r="R63" s="10">
        <f t="shared" si="54"/>
        <v>554.78502253191482</v>
      </c>
      <c r="S63" s="9">
        <f t="shared" si="55"/>
        <v>7.6433579897499984</v>
      </c>
      <c r="T63" s="9">
        <f t="shared" si="59"/>
        <v>15.449999999999998</v>
      </c>
    </row>
    <row r="64" spans="2:20" x14ac:dyDescent="0.15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15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15">
      <c r="A66" s="1" t="s">
        <v>72</v>
      </c>
      <c r="B66" s="57">
        <f>'Strip-Till'!L$31</f>
        <v>660.77161551136362</v>
      </c>
      <c r="C66" s="57">
        <f>'Strip-Till'!N$31</f>
        <v>641.95339999999999</v>
      </c>
      <c r="D66" s="57">
        <f>'Strip-Till'!P$31</f>
        <v>466.73799741250002</v>
      </c>
      <c r="E66" s="57">
        <f>'Strip-Till'!R$31</f>
        <v>301.88721652500004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15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15">
      <c r="A68" s="6"/>
      <c r="B68" s="411" t="s">
        <v>74</v>
      </c>
      <c r="C68" s="411"/>
      <c r="D68" s="411"/>
      <c r="E68" s="411"/>
      <c r="F68" s="29"/>
      <c r="G68" s="412" t="s">
        <v>75</v>
      </c>
      <c r="H68" s="412"/>
      <c r="I68" s="412"/>
      <c r="J68" s="412"/>
      <c r="K68" s="29"/>
      <c r="L68" s="413" t="s">
        <v>76</v>
      </c>
      <c r="M68" s="413"/>
      <c r="N68" s="413"/>
      <c r="O68" s="413"/>
      <c r="P68" s="29"/>
      <c r="Q68" s="414" t="s">
        <v>77</v>
      </c>
      <c r="R68" s="414"/>
      <c r="S68" s="414"/>
      <c r="T68" s="414"/>
    </row>
    <row r="69" spans="1:20" ht="42" x14ac:dyDescent="0.15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 x14ac:dyDescent="0.15">
      <c r="B70" s="18">
        <f t="shared" ref="B70:B75" si="60">B71-0.025</f>
        <v>0.7749999999999998</v>
      </c>
      <c r="C70" s="19">
        <f>(((B70*$B$67)-$B$66+$C$66)/$C$67)*2000</f>
        <v>330.84222616978604</v>
      </c>
      <c r="D70" s="18">
        <f>(((B70*$B$67)-$B$66+$D$66)/$D$67)</f>
        <v>4.5554868458957207</v>
      </c>
      <c r="E70" s="18">
        <f>(((B70*$B$67)-$B$66+$E$66)/$E$67)</f>
        <v>7.4121867004545434</v>
      </c>
      <c r="G70" s="20">
        <f>(((H70*$C$67/2000)-$C$66+$B$66)/$B$67)</f>
        <v>0.94309095401515153</v>
      </c>
      <c r="H70" s="21">
        <f t="shared" ref="H70:H75" si="61">H71-10</f>
        <v>405</v>
      </c>
      <c r="I70" s="20">
        <f>(((H70*$C$67/2000)-$C$66+$D$66)/$D$67)</f>
        <v>6.0386423225000003</v>
      </c>
      <c r="J70" s="20">
        <f>(((H70*$C$67/2000)-$C$66+$E$66)/$E$67)</f>
        <v>11.614460550833336</v>
      </c>
      <c r="L70" s="17">
        <f>(((N70*$D$67)-$D$66+$B$66)/$B$67)</f>
        <v>0.87637815746515113</v>
      </c>
      <c r="M70" s="14">
        <f>(((N70*$D$67)-$D$66+$C$66)/$C$67)*2000</f>
        <v>375.56788387499984</v>
      </c>
      <c r="N70" s="13">
        <f t="shared" ref="N70:N75" si="62">N71-0.15</f>
        <v>5.4499999999999975</v>
      </c>
      <c r="O70" s="13">
        <f>(((N70*$D$67)-$D$66+$E$66)/$E$67)</f>
        <v>9.9466406370833269</v>
      </c>
      <c r="Q70" s="9">
        <f>(((T70*$E$67)-$E$66+$B$66)/$B$67)</f>
        <v>0.90051253198181813</v>
      </c>
      <c r="R70" s="10">
        <f>(((T70*$E$67)-$E$66+$C$66)/$C$67)*2000</f>
        <v>386.21540204411764</v>
      </c>
      <c r="S70" s="9">
        <f>(((T70*$E$67)-$E$66+$D$66)/$D$67)</f>
        <v>5.662950363382353</v>
      </c>
      <c r="T70" s="9">
        <f t="shared" ref="T70:T75" si="63">T71-0.35</f>
        <v>10.550000000000002</v>
      </c>
    </row>
    <row r="71" spans="1:20" x14ac:dyDescent="0.15">
      <c r="B71" s="18">
        <f t="shared" si="60"/>
        <v>0.79999999999999982</v>
      </c>
      <c r="C71" s="19">
        <f t="shared" ref="C71:C84" si="64">(((B71*$B$67)-$B$66+$C$66)/$C$67)*2000</f>
        <v>341.87163793449196</v>
      </c>
      <c r="D71" s="18">
        <f t="shared" ref="D71:D84" si="65">(((B71*$B$67)-$B$66+$D$66)/$D$67)</f>
        <v>4.7760750811898385</v>
      </c>
      <c r="E71" s="18">
        <f t="shared" ref="E71:E84" si="66">(((B71*$B$67)-$B$66+$E$66)/$E$67)</f>
        <v>8.0371867004545443</v>
      </c>
      <c r="G71" s="20">
        <f t="shared" ref="G71:G84" si="67">(((H71*$C$67/2000)-$C$66+$B$66)/$B$67)</f>
        <v>0.96575762068181814</v>
      </c>
      <c r="H71" s="21">
        <f t="shared" si="61"/>
        <v>415</v>
      </c>
      <c r="I71" s="20">
        <f t="shared" ref="I71:I84" si="68">(((H71*$C$67/2000)-$C$66+$D$66)/$D$67)</f>
        <v>6.2386423225000005</v>
      </c>
      <c r="J71" s="20">
        <f t="shared" ref="J71:J84" si="69">(((H71*$C$67/2000)-$C$66+$E$66)/$E$67)</f>
        <v>12.181127217500002</v>
      </c>
      <c r="L71" s="17">
        <f t="shared" ref="L71:L84" si="70">(((N71*$D$67)-$D$66+$B$66)/$B$67)</f>
        <v>0.89337815746515115</v>
      </c>
      <c r="M71" s="14">
        <f t="shared" ref="M71:M84" si="71">(((N71*$D$67)-$D$66+$C$66)/$C$67)*2000</f>
        <v>383.06788387499984</v>
      </c>
      <c r="N71" s="13">
        <f t="shared" si="62"/>
        <v>5.5999999999999979</v>
      </c>
      <c r="O71" s="13">
        <f t="shared" ref="O71:O84" si="72">(((N71*$D$67)-$D$66+$E$66)/$E$67)</f>
        <v>10.371640637083328</v>
      </c>
      <c r="Q71" s="9">
        <f t="shared" ref="Q71:Q84" si="73">(((T71*$E$67)-$E$66+$B$66)/$B$67)</f>
        <v>0.91451253198181814</v>
      </c>
      <c r="R71" s="10">
        <f t="shared" ref="R71:R84" si="74">(((T71*$E$67)-$E$66+$C$66)/$C$67)*2000</f>
        <v>392.39187263235294</v>
      </c>
      <c r="S71" s="9">
        <f t="shared" ref="S71:S84" si="75">(((T71*$E$67)-$E$66+$D$66)/$D$67)</f>
        <v>5.7864797751470594</v>
      </c>
      <c r="T71" s="9">
        <f t="shared" si="63"/>
        <v>10.900000000000002</v>
      </c>
    </row>
    <row r="72" spans="1:20" x14ac:dyDescent="0.15">
      <c r="B72" s="18">
        <f t="shared" si="60"/>
        <v>0.82499999999999984</v>
      </c>
      <c r="C72" s="19">
        <f t="shared" si="64"/>
        <v>352.90104969919776</v>
      </c>
      <c r="D72" s="18">
        <f t="shared" si="65"/>
        <v>4.9966633164839562</v>
      </c>
      <c r="E72" s="18">
        <f t="shared" si="66"/>
        <v>8.6621867004545443</v>
      </c>
      <c r="G72" s="20">
        <f t="shared" si="67"/>
        <v>0.98842428734848486</v>
      </c>
      <c r="H72" s="21">
        <f t="shared" si="61"/>
        <v>425</v>
      </c>
      <c r="I72" s="20">
        <f t="shared" si="68"/>
        <v>6.4386423225000007</v>
      </c>
      <c r="J72" s="20">
        <f t="shared" si="69"/>
        <v>12.747793884166668</v>
      </c>
      <c r="L72" s="17">
        <f t="shared" si="70"/>
        <v>0.91037815746515116</v>
      </c>
      <c r="M72" s="14">
        <f t="shared" si="71"/>
        <v>390.56788387499984</v>
      </c>
      <c r="N72" s="13">
        <f t="shared" si="62"/>
        <v>5.7499999999999982</v>
      </c>
      <c r="O72" s="13">
        <f t="shared" si="72"/>
        <v>10.796640637083328</v>
      </c>
      <c r="Q72" s="9">
        <f t="shared" si="73"/>
        <v>0.92851253198181816</v>
      </c>
      <c r="R72" s="10">
        <f t="shared" si="74"/>
        <v>398.56834322058825</v>
      </c>
      <c r="S72" s="9">
        <f t="shared" si="75"/>
        <v>5.9100091869117648</v>
      </c>
      <c r="T72" s="9">
        <f t="shared" si="63"/>
        <v>11.250000000000002</v>
      </c>
    </row>
    <row r="73" spans="1:20" x14ac:dyDescent="0.15">
      <c r="B73" s="18">
        <f t="shared" si="60"/>
        <v>0.84999999999999987</v>
      </c>
      <c r="C73" s="19">
        <f t="shared" si="64"/>
        <v>363.93046146390367</v>
      </c>
      <c r="D73" s="18">
        <f t="shared" si="65"/>
        <v>5.217251551778074</v>
      </c>
      <c r="E73" s="18">
        <f t="shared" si="66"/>
        <v>9.2871867004545443</v>
      </c>
      <c r="G73" s="20">
        <f t="shared" si="67"/>
        <v>1.0110909540151516</v>
      </c>
      <c r="H73" s="21">
        <f t="shared" si="61"/>
        <v>435</v>
      </c>
      <c r="I73" s="20">
        <f t="shared" si="68"/>
        <v>6.6386423225</v>
      </c>
      <c r="J73" s="20">
        <f t="shared" si="69"/>
        <v>13.314460550833335</v>
      </c>
      <c r="L73" s="17">
        <f t="shared" si="70"/>
        <v>0.92737815746515129</v>
      </c>
      <c r="M73" s="14">
        <f t="shared" si="71"/>
        <v>398.06788387499989</v>
      </c>
      <c r="N73" s="13">
        <f t="shared" si="62"/>
        <v>5.8999999999999986</v>
      </c>
      <c r="O73" s="13">
        <f t="shared" si="72"/>
        <v>11.221640637083331</v>
      </c>
      <c r="Q73" s="9">
        <f t="shared" si="73"/>
        <v>0.94251253198181817</v>
      </c>
      <c r="R73" s="10">
        <f t="shared" si="74"/>
        <v>404.74481380882355</v>
      </c>
      <c r="S73" s="9">
        <f t="shared" si="75"/>
        <v>6.0335385986764711</v>
      </c>
      <c r="T73" s="9">
        <f t="shared" si="63"/>
        <v>11.600000000000001</v>
      </c>
    </row>
    <row r="74" spans="1:20" x14ac:dyDescent="0.15">
      <c r="B74" s="18">
        <f t="shared" si="60"/>
        <v>0.87499999999999989</v>
      </c>
      <c r="C74" s="19">
        <f t="shared" si="64"/>
        <v>374.95987322860958</v>
      </c>
      <c r="D74" s="18">
        <f t="shared" si="65"/>
        <v>5.4378397870721917</v>
      </c>
      <c r="E74" s="18">
        <f t="shared" si="66"/>
        <v>9.9121867004545443</v>
      </c>
      <c r="G74" s="20">
        <f t="shared" si="67"/>
        <v>1.0337576206818182</v>
      </c>
      <c r="H74" s="21">
        <f t="shared" si="61"/>
        <v>445</v>
      </c>
      <c r="I74" s="20">
        <f t="shared" si="68"/>
        <v>6.8386423225000001</v>
      </c>
      <c r="J74" s="20">
        <f t="shared" si="69"/>
        <v>13.881127217500001</v>
      </c>
      <c r="L74" s="17">
        <f t="shared" si="70"/>
        <v>0.9443781574651513</v>
      </c>
      <c r="M74" s="14">
        <f t="shared" si="71"/>
        <v>405.56788387499995</v>
      </c>
      <c r="N74" s="13">
        <f t="shared" si="62"/>
        <v>6.0499999999999989</v>
      </c>
      <c r="O74" s="13">
        <f t="shared" si="72"/>
        <v>11.64664063708333</v>
      </c>
      <c r="Q74" s="9">
        <f t="shared" si="73"/>
        <v>0.95651253198181818</v>
      </c>
      <c r="R74" s="10">
        <f t="shared" si="74"/>
        <v>410.92128439705886</v>
      </c>
      <c r="S74" s="9">
        <f t="shared" si="75"/>
        <v>6.1570680104411766</v>
      </c>
      <c r="T74" s="9">
        <f t="shared" si="63"/>
        <v>11.950000000000001</v>
      </c>
    </row>
    <row r="75" spans="1:20" x14ac:dyDescent="0.15">
      <c r="B75" s="18">
        <f t="shared" si="60"/>
        <v>0.89999999999999991</v>
      </c>
      <c r="C75" s="19">
        <f t="shared" si="64"/>
        <v>385.98928499331544</v>
      </c>
      <c r="D75" s="18">
        <f t="shared" si="65"/>
        <v>5.6584280223663095</v>
      </c>
      <c r="E75" s="18">
        <f t="shared" si="66"/>
        <v>10.537186700454544</v>
      </c>
      <c r="G75" s="20">
        <f t="shared" si="67"/>
        <v>1.0564242873484848</v>
      </c>
      <c r="H75" s="21">
        <f t="shared" si="61"/>
        <v>455</v>
      </c>
      <c r="I75" s="20">
        <f t="shared" si="68"/>
        <v>7.0386423225000003</v>
      </c>
      <c r="J75" s="20">
        <f t="shared" si="69"/>
        <v>14.447793884166668</v>
      </c>
      <c r="L75" s="17">
        <f t="shared" si="70"/>
        <v>0.96137815746515132</v>
      </c>
      <c r="M75" s="14">
        <f t="shared" si="71"/>
        <v>413.06788387499995</v>
      </c>
      <c r="N75" s="13">
        <f t="shared" si="62"/>
        <v>6.1999999999999993</v>
      </c>
      <c r="O75" s="13">
        <f t="shared" si="72"/>
        <v>12.07164063708333</v>
      </c>
      <c r="Q75" s="9">
        <f t="shared" si="73"/>
        <v>0.97051253198181808</v>
      </c>
      <c r="R75" s="10">
        <f t="shared" si="74"/>
        <v>417.09775498529405</v>
      </c>
      <c r="S75" s="9">
        <f t="shared" si="75"/>
        <v>6.2805974222058811</v>
      </c>
      <c r="T75" s="9">
        <f t="shared" si="63"/>
        <v>12.3</v>
      </c>
    </row>
    <row r="76" spans="1:20" ht="14" thickBot="1" x14ac:dyDescent="0.2">
      <c r="B76" s="18">
        <f>B77-0.025</f>
        <v>0.92499999999999993</v>
      </c>
      <c r="C76" s="19">
        <f t="shared" si="64"/>
        <v>397.01869675802135</v>
      </c>
      <c r="D76" s="18">
        <f t="shared" si="65"/>
        <v>5.8790162576604281</v>
      </c>
      <c r="E76" s="18">
        <f t="shared" si="66"/>
        <v>11.162186700454548</v>
      </c>
      <c r="G76" s="20">
        <f t="shared" si="67"/>
        <v>1.0790909540151514</v>
      </c>
      <c r="H76" s="21">
        <f>H77-10</f>
        <v>465</v>
      </c>
      <c r="I76" s="20">
        <f t="shared" si="68"/>
        <v>7.2386423225000005</v>
      </c>
      <c r="J76" s="20">
        <f t="shared" si="69"/>
        <v>15.014460550833336</v>
      </c>
      <c r="L76" s="17">
        <f t="shared" si="70"/>
        <v>0.97837815746515144</v>
      </c>
      <c r="M76" s="14">
        <f t="shared" si="71"/>
        <v>420.56788387500001</v>
      </c>
      <c r="N76" s="13">
        <f>N77-0.15</f>
        <v>6.35</v>
      </c>
      <c r="O76" s="13">
        <f t="shared" si="72"/>
        <v>12.496640637083335</v>
      </c>
      <c r="Q76" s="9">
        <f t="shared" si="73"/>
        <v>0.98451253198181798</v>
      </c>
      <c r="R76" s="10">
        <f t="shared" si="74"/>
        <v>423.27422557352935</v>
      </c>
      <c r="S76" s="9">
        <f t="shared" si="75"/>
        <v>6.4041268339705875</v>
      </c>
      <c r="T76" s="9">
        <f>T77-0.35</f>
        <v>12.65</v>
      </c>
    </row>
    <row r="77" spans="1:20" ht="14" thickBot="1" x14ac:dyDescent="0.2">
      <c r="B77" s="24">
        <f>Conventional!$B$8</f>
        <v>0.95</v>
      </c>
      <c r="C77" s="19">
        <f t="shared" si="64"/>
        <v>408.04810852272726</v>
      </c>
      <c r="D77" s="18">
        <f t="shared" si="65"/>
        <v>6.0996044929545459</v>
      </c>
      <c r="E77" s="18">
        <f t="shared" si="66"/>
        <v>11.787186700454548</v>
      </c>
      <c r="G77" s="20">
        <f t="shared" si="67"/>
        <v>1.1017576206818183</v>
      </c>
      <c r="H77" s="22">
        <f>Conventional!$D$8</f>
        <v>475</v>
      </c>
      <c r="I77" s="20">
        <f t="shared" si="68"/>
        <v>7.4386423225000007</v>
      </c>
      <c r="J77" s="20">
        <f t="shared" si="69"/>
        <v>15.581127217500002</v>
      </c>
      <c r="L77" s="17">
        <f t="shared" si="70"/>
        <v>0.99537815746515146</v>
      </c>
      <c r="M77" s="14">
        <f t="shared" si="71"/>
        <v>428.06788387500001</v>
      </c>
      <c r="N77" s="15">
        <f>Conventional!$F$8</f>
        <v>6.5</v>
      </c>
      <c r="O77" s="13">
        <f t="shared" si="72"/>
        <v>12.921640637083334</v>
      </c>
      <c r="Q77" s="9">
        <f t="shared" si="73"/>
        <v>0.998512531981818</v>
      </c>
      <c r="R77" s="10">
        <f t="shared" si="74"/>
        <v>429.4506961617646</v>
      </c>
      <c r="S77" s="9">
        <f t="shared" si="75"/>
        <v>6.5276562457352929</v>
      </c>
      <c r="T77" s="11">
        <f>Conventional!$H$8</f>
        <v>13</v>
      </c>
    </row>
    <row r="78" spans="1:20" x14ac:dyDescent="0.15">
      <c r="B78" s="18">
        <f>B77+0.025</f>
        <v>0.97499999999999998</v>
      </c>
      <c r="C78" s="19">
        <f t="shared" si="64"/>
        <v>419.07752028743317</v>
      </c>
      <c r="D78" s="18">
        <f t="shared" si="65"/>
        <v>6.3201927282486636</v>
      </c>
      <c r="E78" s="18">
        <f t="shared" si="66"/>
        <v>12.412186700454548</v>
      </c>
      <c r="G78" s="20">
        <f t="shared" si="67"/>
        <v>1.1244242873484849</v>
      </c>
      <c r="H78" s="21">
        <f>H77+10</f>
        <v>485</v>
      </c>
      <c r="I78" s="20">
        <f t="shared" si="68"/>
        <v>7.6386423225</v>
      </c>
      <c r="J78" s="20">
        <f t="shared" si="69"/>
        <v>16.147793884166667</v>
      </c>
      <c r="L78" s="17">
        <f t="shared" si="70"/>
        <v>1.0123781574651514</v>
      </c>
      <c r="M78" s="14">
        <f t="shared" si="71"/>
        <v>435.56788387500001</v>
      </c>
      <c r="N78" s="13">
        <f>N77+0.15</f>
        <v>6.65</v>
      </c>
      <c r="O78" s="13">
        <f t="shared" si="72"/>
        <v>13.346640637083334</v>
      </c>
      <c r="Q78" s="9">
        <f t="shared" si="73"/>
        <v>1.012512531981818</v>
      </c>
      <c r="R78" s="10">
        <f t="shared" si="74"/>
        <v>435.62716674999996</v>
      </c>
      <c r="S78" s="9">
        <f t="shared" si="75"/>
        <v>6.6511856574999992</v>
      </c>
      <c r="T78" s="9">
        <f>T77+0.35</f>
        <v>13.35</v>
      </c>
    </row>
    <row r="79" spans="1:20" x14ac:dyDescent="0.15">
      <c r="B79" s="18">
        <f t="shared" ref="B79:B84" si="76">B78+0.025</f>
        <v>1</v>
      </c>
      <c r="C79" s="19">
        <f t="shared" si="64"/>
        <v>430.10693205213903</v>
      </c>
      <c r="D79" s="18">
        <f t="shared" si="65"/>
        <v>6.5407809635427814</v>
      </c>
      <c r="E79" s="18">
        <f t="shared" si="66"/>
        <v>13.037186700454548</v>
      </c>
      <c r="G79" s="20">
        <f t="shared" si="67"/>
        <v>1.1470909540151515</v>
      </c>
      <c r="H79" s="21">
        <f t="shared" ref="H79:H84" si="77">H78+10</f>
        <v>495</v>
      </c>
      <c r="I79" s="20">
        <f t="shared" si="68"/>
        <v>7.8386423225000001</v>
      </c>
      <c r="J79" s="20">
        <f t="shared" si="69"/>
        <v>16.714460550833333</v>
      </c>
      <c r="L79" s="17">
        <f t="shared" si="70"/>
        <v>1.0293781574651517</v>
      </c>
      <c r="M79" s="14">
        <f t="shared" si="71"/>
        <v>443.06788387500006</v>
      </c>
      <c r="N79" s="13">
        <f t="shared" ref="N79:N84" si="78">N78+0.15</f>
        <v>6.8000000000000007</v>
      </c>
      <c r="O79" s="13">
        <f t="shared" si="72"/>
        <v>13.771640637083339</v>
      </c>
      <c r="Q79" s="9">
        <f t="shared" si="73"/>
        <v>1.026512531981818</v>
      </c>
      <c r="R79" s="10">
        <f t="shared" si="74"/>
        <v>441.80363733823526</v>
      </c>
      <c r="S79" s="9">
        <f t="shared" si="75"/>
        <v>6.7747150692647047</v>
      </c>
      <c r="T79" s="9">
        <f t="shared" ref="T79:T84" si="79">T78+0.35</f>
        <v>13.7</v>
      </c>
    </row>
    <row r="80" spans="1:20" x14ac:dyDescent="0.15">
      <c r="B80" s="18">
        <f t="shared" si="76"/>
        <v>1.0249999999999999</v>
      </c>
      <c r="C80" s="19">
        <f t="shared" si="64"/>
        <v>441.13634381684483</v>
      </c>
      <c r="D80" s="18">
        <f t="shared" si="65"/>
        <v>6.7613691988368974</v>
      </c>
      <c r="E80" s="18">
        <f t="shared" si="66"/>
        <v>13.662186700454544</v>
      </c>
      <c r="G80" s="20">
        <f t="shared" si="67"/>
        <v>1.1697576206818181</v>
      </c>
      <c r="H80" s="21">
        <f t="shared" si="77"/>
        <v>505</v>
      </c>
      <c r="I80" s="20">
        <f t="shared" si="68"/>
        <v>8.0386423225000012</v>
      </c>
      <c r="J80" s="20">
        <f t="shared" si="69"/>
        <v>17.281127217500003</v>
      </c>
      <c r="L80" s="17">
        <f t="shared" si="70"/>
        <v>1.0463781574651516</v>
      </c>
      <c r="M80" s="14">
        <f t="shared" si="71"/>
        <v>450.56788387500001</v>
      </c>
      <c r="N80" s="13">
        <f t="shared" si="78"/>
        <v>6.9500000000000011</v>
      </c>
      <c r="O80" s="13">
        <f t="shared" si="72"/>
        <v>14.196640637083338</v>
      </c>
      <c r="Q80" s="9">
        <f t="shared" si="73"/>
        <v>1.040512531981818</v>
      </c>
      <c r="R80" s="10">
        <f t="shared" si="74"/>
        <v>447.98010792647051</v>
      </c>
      <c r="S80" s="9">
        <f t="shared" si="75"/>
        <v>6.898244481029411</v>
      </c>
      <c r="T80" s="9">
        <f t="shared" si="79"/>
        <v>14.049999999999999</v>
      </c>
    </row>
    <row r="81" spans="1:20" x14ac:dyDescent="0.15">
      <c r="B81" s="18">
        <f t="shared" si="76"/>
        <v>1.0499999999999998</v>
      </c>
      <c r="C81" s="19">
        <f t="shared" si="64"/>
        <v>452.16575558155074</v>
      </c>
      <c r="D81" s="18">
        <f t="shared" si="65"/>
        <v>6.9819574341310151</v>
      </c>
      <c r="E81" s="18">
        <f t="shared" si="66"/>
        <v>14.287186700454544</v>
      </c>
      <c r="G81" s="20">
        <f t="shared" si="67"/>
        <v>1.1924242873484849</v>
      </c>
      <c r="H81" s="21">
        <f t="shared" si="77"/>
        <v>515</v>
      </c>
      <c r="I81" s="20">
        <f t="shared" si="68"/>
        <v>8.2386423225000005</v>
      </c>
      <c r="J81" s="20">
        <f t="shared" si="69"/>
        <v>17.84779388416667</v>
      </c>
      <c r="L81" s="17">
        <f t="shared" si="70"/>
        <v>1.0633781574651515</v>
      </c>
      <c r="M81" s="14">
        <f t="shared" si="71"/>
        <v>458.06788387500001</v>
      </c>
      <c r="N81" s="13">
        <f t="shared" si="78"/>
        <v>7.1000000000000014</v>
      </c>
      <c r="O81" s="13">
        <f t="shared" si="72"/>
        <v>14.621640637083338</v>
      </c>
      <c r="Q81" s="9">
        <f t="shared" si="73"/>
        <v>1.054512531981818</v>
      </c>
      <c r="R81" s="10">
        <f t="shared" si="74"/>
        <v>454.15657851470581</v>
      </c>
      <c r="S81" s="9">
        <f t="shared" si="75"/>
        <v>7.0217738927941165</v>
      </c>
      <c r="T81" s="9">
        <f t="shared" si="79"/>
        <v>14.399999999999999</v>
      </c>
    </row>
    <row r="82" spans="1:20" x14ac:dyDescent="0.15">
      <c r="B82" s="18">
        <f t="shared" si="76"/>
        <v>1.0749999999999997</v>
      </c>
      <c r="C82" s="19">
        <f t="shared" si="64"/>
        <v>463.19516734625654</v>
      </c>
      <c r="D82" s="18">
        <f t="shared" si="65"/>
        <v>7.2025456694251311</v>
      </c>
      <c r="E82" s="18">
        <f t="shared" si="66"/>
        <v>14.912186700454539</v>
      </c>
      <c r="G82" s="20">
        <f t="shared" si="67"/>
        <v>1.2150909540151515</v>
      </c>
      <c r="H82" s="21">
        <f t="shared" si="77"/>
        <v>525</v>
      </c>
      <c r="I82" s="20">
        <f t="shared" si="68"/>
        <v>8.4386423224999998</v>
      </c>
      <c r="J82" s="20">
        <f t="shared" si="69"/>
        <v>18.414460550833336</v>
      </c>
      <c r="L82" s="17">
        <f t="shared" si="70"/>
        <v>1.0803781574651516</v>
      </c>
      <c r="M82" s="14">
        <f t="shared" si="71"/>
        <v>465.56788387500001</v>
      </c>
      <c r="N82" s="13">
        <f t="shared" si="78"/>
        <v>7.2500000000000018</v>
      </c>
      <c r="O82" s="13">
        <f t="shared" si="72"/>
        <v>15.046640637083337</v>
      </c>
      <c r="Q82" s="9">
        <f t="shared" si="73"/>
        <v>1.0685125319818181</v>
      </c>
      <c r="R82" s="10">
        <f t="shared" si="74"/>
        <v>460.33304910294112</v>
      </c>
      <c r="S82" s="9">
        <f t="shared" si="75"/>
        <v>7.1453033045588228</v>
      </c>
      <c r="T82" s="9">
        <f t="shared" si="79"/>
        <v>14.749999999999998</v>
      </c>
    </row>
    <row r="83" spans="1:20" x14ac:dyDescent="0.15">
      <c r="B83" s="18">
        <f t="shared" si="76"/>
        <v>1.0999999999999996</v>
      </c>
      <c r="C83" s="19">
        <f t="shared" si="64"/>
        <v>474.22457911096245</v>
      </c>
      <c r="D83" s="18">
        <f t="shared" si="65"/>
        <v>7.4231339047192488</v>
      </c>
      <c r="E83" s="18">
        <f t="shared" si="66"/>
        <v>15.537186700454539</v>
      </c>
      <c r="G83" s="20">
        <f t="shared" si="67"/>
        <v>1.2377576206818182</v>
      </c>
      <c r="H83" s="21">
        <f t="shared" si="77"/>
        <v>535</v>
      </c>
      <c r="I83" s="20">
        <f t="shared" si="68"/>
        <v>8.6386423225000009</v>
      </c>
      <c r="J83" s="20">
        <f t="shared" si="69"/>
        <v>18.981127217500003</v>
      </c>
      <c r="L83" s="17">
        <f t="shared" si="70"/>
        <v>1.0973781574651518</v>
      </c>
      <c r="M83" s="14">
        <f t="shared" si="71"/>
        <v>473.06788387500012</v>
      </c>
      <c r="N83" s="13">
        <f t="shared" si="78"/>
        <v>7.4000000000000021</v>
      </c>
      <c r="O83" s="13">
        <f t="shared" si="72"/>
        <v>15.471640637083341</v>
      </c>
      <c r="Q83" s="9">
        <f t="shared" si="73"/>
        <v>1.0825125319818181</v>
      </c>
      <c r="R83" s="10">
        <f t="shared" si="74"/>
        <v>466.50951969117637</v>
      </c>
      <c r="S83" s="9">
        <f t="shared" si="75"/>
        <v>7.2688327163235282</v>
      </c>
      <c r="T83" s="9">
        <f t="shared" si="79"/>
        <v>15.099999999999998</v>
      </c>
    </row>
    <row r="84" spans="1:20" x14ac:dyDescent="0.15">
      <c r="A84" s="46"/>
      <c r="B84" s="47">
        <f t="shared" si="76"/>
        <v>1.1249999999999996</v>
      </c>
      <c r="C84" s="48">
        <f t="shared" si="64"/>
        <v>485.25399087566825</v>
      </c>
      <c r="D84" s="47">
        <f t="shared" si="65"/>
        <v>7.6437221400133657</v>
      </c>
      <c r="E84" s="47">
        <f t="shared" si="66"/>
        <v>16.162186700454537</v>
      </c>
      <c r="F84" s="46"/>
      <c r="G84" s="49">
        <f t="shared" si="67"/>
        <v>1.2604242873484848</v>
      </c>
      <c r="H84" s="50">
        <f t="shared" si="77"/>
        <v>545</v>
      </c>
      <c r="I84" s="49">
        <f t="shared" si="68"/>
        <v>8.8386423225000001</v>
      </c>
      <c r="J84" s="49">
        <f t="shared" si="69"/>
        <v>19.547793884166669</v>
      </c>
      <c r="K84" s="46"/>
      <c r="L84" s="51">
        <f t="shared" si="70"/>
        <v>1.1143781574651517</v>
      </c>
      <c r="M84" s="52">
        <f t="shared" si="71"/>
        <v>480.56788387500012</v>
      </c>
      <c r="N84" s="53">
        <f t="shared" si="78"/>
        <v>7.5500000000000025</v>
      </c>
      <c r="O84" s="53">
        <f t="shared" si="72"/>
        <v>15.896640637083342</v>
      </c>
      <c r="P84" s="46"/>
      <c r="Q84" s="54">
        <f t="shared" si="73"/>
        <v>1.0965125319818181</v>
      </c>
      <c r="R84" s="55">
        <f t="shared" si="74"/>
        <v>472.68599027941173</v>
      </c>
      <c r="S84" s="54">
        <f t="shared" si="75"/>
        <v>7.3923621280882346</v>
      </c>
      <c r="T84" s="54">
        <f t="shared" si="79"/>
        <v>15.449999999999998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L218"/>
  <sheetViews>
    <sheetView zoomScaleNormal="100" zoomScalePageLayoutView="170" workbookViewId="0">
      <pane xSplit="1" ySplit="8" topLeftCell="B9" activePane="bottomRight" state="frozen"/>
      <selection activeCell="A3" sqref="A3"/>
      <selection pane="topRight" activeCell="A3" sqref="A3"/>
      <selection pane="bottomLeft" activeCell="A3" sqref="A3"/>
      <selection pane="bottomRight" activeCell="L12" sqref="L12:M12"/>
    </sheetView>
  </sheetViews>
  <sheetFormatPr baseColWidth="10" defaultColWidth="8.83203125" defaultRowHeight="14" x14ac:dyDescent="0.2"/>
  <cols>
    <col min="1" max="1" width="28.332031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5" style="101" bestFit="1" customWidth="1"/>
    <col min="13" max="13" width="3" style="101" bestFit="1" customWidth="1"/>
    <col min="14" max="14" width="5.5" style="101" bestFit="1" customWidth="1"/>
    <col min="15" max="15" width="4" style="101" bestFit="1" customWidth="1"/>
    <col min="16" max="16" width="5.5" style="101" bestFit="1" customWidth="1"/>
    <col min="17" max="17" width="3.5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8.83203125" style="101"/>
    <col min="23" max="23" width="9.1640625" style="100" bestFit="1" customWidth="1"/>
    <col min="24" max="24" width="7.5" style="100" bestFit="1" customWidth="1"/>
    <col min="25" max="25" width="6.1640625" style="100" bestFit="1" customWidth="1"/>
    <col min="26" max="26" width="7.5" style="100" bestFit="1" customWidth="1"/>
    <col min="27" max="27" width="7.1640625" style="100" bestFit="1" customWidth="1"/>
    <col min="28" max="28" width="6.6640625" style="100" bestFit="1" customWidth="1"/>
    <col min="29" max="29" width="9.1640625" style="100" bestFit="1" customWidth="1"/>
    <col min="30" max="30" width="6.6640625" style="100" bestFit="1" customWidth="1"/>
    <col min="31" max="31" width="7.1640625" style="100" bestFit="1" customWidth="1"/>
    <col min="32" max="32" width="7.5" style="100" bestFit="1" customWidth="1"/>
    <col min="33" max="33" width="8.1640625" style="100" bestFit="1" customWidth="1"/>
    <col min="34" max="34" width="7.5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3203125" style="101"/>
  </cols>
  <sheetData>
    <row r="1" spans="1:34" s="96" customFormat="1" ht="12" x14ac:dyDescent="0.15">
      <c r="A1" s="94" t="str">
        <f>Conventional!A1</f>
        <v>Estimate of 2022 Relative Row Crop Costs and Net Returns</v>
      </c>
      <c r="B1" s="94"/>
      <c r="C1" s="94"/>
      <c r="D1" s="94"/>
      <c r="E1" s="94"/>
      <c r="F1" s="94"/>
      <c r="G1" s="94"/>
      <c r="H1" s="94"/>
      <c r="I1" s="94"/>
      <c r="J1" s="448" t="s">
        <v>193</v>
      </c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8" customFormat="1" ht="11" x14ac:dyDescent="0.15">
      <c r="A2" s="315" t="str">
        <f>Conventional!A2</f>
        <v>By A.R. Smith and Yangxuan Liu, UGA Extension Economists, Department of Agricultural &amp; Applied Economics</v>
      </c>
      <c r="B2" s="315"/>
      <c r="C2" s="315"/>
      <c r="D2" s="315"/>
      <c r="E2" s="315"/>
      <c r="F2" s="315"/>
      <c r="G2" s="315"/>
      <c r="H2" s="315"/>
      <c r="I2" s="315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</row>
    <row r="3" spans="1:34" x14ac:dyDescent="0.2">
      <c r="A3" s="297" t="str">
        <f>Conventional!A3</f>
        <v>Mar 2022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 x14ac:dyDescent="0.2">
      <c r="A4" s="102" t="s">
        <v>26</v>
      </c>
      <c r="B4" s="407" t="s">
        <v>0</v>
      </c>
      <c r="C4" s="408"/>
      <c r="D4" s="408"/>
      <c r="E4" s="408"/>
      <c r="F4" s="408"/>
      <c r="G4" s="408"/>
      <c r="H4" s="408"/>
      <c r="I4" s="408"/>
      <c r="J4" s="408"/>
      <c r="K4" s="103"/>
      <c r="L4" s="399" t="s">
        <v>1</v>
      </c>
      <c r="M4" s="399"/>
      <c r="N4" s="399"/>
      <c r="O4" s="399"/>
      <c r="P4" s="399"/>
      <c r="Q4" s="399"/>
      <c r="R4" s="399"/>
      <c r="S4" s="399"/>
      <c r="T4" s="399"/>
      <c r="U4" s="104"/>
      <c r="V4" s="100"/>
    </row>
    <row r="5" spans="1:34" x14ac:dyDescent="0.2">
      <c r="A5" s="105"/>
      <c r="B5" s="106"/>
      <c r="C5" s="107"/>
      <c r="D5" s="291"/>
      <c r="E5" s="292"/>
      <c r="F5" s="259"/>
      <c r="G5" s="248"/>
      <c r="H5" s="235"/>
      <c r="I5" s="248"/>
      <c r="J5" s="395" t="s">
        <v>23</v>
      </c>
      <c r="K5" s="441"/>
      <c r="L5" s="107"/>
      <c r="M5" s="107"/>
      <c r="N5" s="295"/>
      <c r="O5" s="296"/>
      <c r="P5" s="259"/>
      <c r="Q5" s="248"/>
      <c r="R5" s="235"/>
      <c r="S5" s="248"/>
      <c r="T5" s="443" t="s">
        <v>23</v>
      </c>
      <c r="U5" s="444"/>
      <c r="V5" s="100"/>
    </row>
    <row r="6" spans="1:34" x14ac:dyDescent="0.2">
      <c r="A6" s="105"/>
      <c r="B6" s="401" t="s">
        <v>2</v>
      </c>
      <c r="C6" s="399"/>
      <c r="D6" s="438" t="s">
        <v>3</v>
      </c>
      <c r="E6" s="439"/>
      <c r="F6" s="404" t="s">
        <v>4</v>
      </c>
      <c r="G6" s="440"/>
      <c r="H6" s="399" t="s">
        <v>5</v>
      </c>
      <c r="I6" s="440"/>
      <c r="J6" s="399" t="s">
        <v>6</v>
      </c>
      <c r="K6" s="442"/>
      <c r="L6" s="401" t="s">
        <v>2</v>
      </c>
      <c r="M6" s="399"/>
      <c r="N6" s="438" t="s">
        <v>3</v>
      </c>
      <c r="O6" s="439"/>
      <c r="P6" s="404" t="s">
        <v>4</v>
      </c>
      <c r="Q6" s="440"/>
      <c r="R6" s="399" t="s">
        <v>5</v>
      </c>
      <c r="S6" s="440"/>
      <c r="T6" s="399" t="s">
        <v>6</v>
      </c>
      <c r="U6" s="400"/>
      <c r="V6" s="100"/>
    </row>
    <row r="7" spans="1:34" x14ac:dyDescent="0.2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5" thickBot="1" x14ac:dyDescent="0.25">
      <c r="A8" s="109" t="s">
        <v>124</v>
      </c>
      <c r="B8" s="290">
        <f>Conventional!B8</f>
        <v>0.95</v>
      </c>
      <c r="C8" s="276" t="s">
        <v>159</v>
      </c>
      <c r="D8" s="280">
        <f>'Peanut Price Calculator'!B17</f>
        <v>475</v>
      </c>
      <c r="E8" s="294" t="s">
        <v>160</v>
      </c>
      <c r="F8" s="290">
        <f>Conventional!F8</f>
        <v>6.5</v>
      </c>
      <c r="G8" s="270" t="s">
        <v>162</v>
      </c>
      <c r="H8" s="290">
        <f>Conventional!H8</f>
        <v>13</v>
      </c>
      <c r="I8" s="270" t="s">
        <v>162</v>
      </c>
      <c r="J8" s="290">
        <f>Conventional!J8</f>
        <v>6</v>
      </c>
      <c r="K8" s="275" t="s">
        <v>162</v>
      </c>
      <c r="L8" s="274">
        <f>Conventional!B8</f>
        <v>0.95</v>
      </c>
      <c r="M8" s="276" t="s">
        <v>159</v>
      </c>
      <c r="N8" s="280">
        <f>'Peanut Price Calculator'!B28</f>
        <v>475</v>
      </c>
      <c r="O8" s="294" t="s">
        <v>160</v>
      </c>
      <c r="P8" s="273">
        <f>Conventional!F8</f>
        <v>6.5</v>
      </c>
      <c r="Q8" s="270" t="s">
        <v>162</v>
      </c>
      <c r="R8" s="274">
        <f>Conventional!H8</f>
        <v>13</v>
      </c>
      <c r="S8" s="270" t="s">
        <v>162</v>
      </c>
      <c r="T8" s="274">
        <f>Conventional!J8</f>
        <v>6</v>
      </c>
      <c r="U8" s="272" t="s">
        <v>162</v>
      </c>
      <c r="V8" s="100"/>
    </row>
    <row r="9" spans="1:34" x14ac:dyDescent="0.2">
      <c r="A9" s="110" t="s">
        <v>155</v>
      </c>
      <c r="B9" s="388">
        <f>B7*B8</f>
        <v>1140</v>
      </c>
      <c r="C9" s="381"/>
      <c r="D9" s="390">
        <f>D8*(D7/2000)</f>
        <v>1116.25</v>
      </c>
      <c r="E9" s="381"/>
      <c r="F9" s="390">
        <f>F7*F8</f>
        <v>1300</v>
      </c>
      <c r="G9" s="436"/>
      <c r="H9" s="381">
        <f>H7*H8</f>
        <v>780</v>
      </c>
      <c r="I9" s="436"/>
      <c r="J9" s="381">
        <f>J7*J8</f>
        <v>600</v>
      </c>
      <c r="K9" s="437"/>
      <c r="L9" s="388">
        <f>L7*L8</f>
        <v>712.5</v>
      </c>
      <c r="M9" s="381"/>
      <c r="N9" s="390">
        <f>N8*(N7/2000)</f>
        <v>807.5</v>
      </c>
      <c r="O9" s="381"/>
      <c r="P9" s="390">
        <f>P7*P8</f>
        <v>552.5</v>
      </c>
      <c r="Q9" s="436"/>
      <c r="R9" s="381">
        <f>R7*R8</f>
        <v>390</v>
      </c>
      <c r="S9" s="436"/>
      <c r="T9" s="445">
        <f>T7*T8</f>
        <v>390</v>
      </c>
      <c r="U9" s="446"/>
      <c r="V9" s="100"/>
    </row>
    <row r="10" spans="1:34" x14ac:dyDescent="0.2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 x14ac:dyDescent="0.2">
      <c r="A11" s="105" t="s">
        <v>24</v>
      </c>
      <c r="B11" s="389">
        <v>110</v>
      </c>
      <c r="C11" s="379"/>
      <c r="D11" s="384">
        <v>123.2</v>
      </c>
      <c r="E11" s="379"/>
      <c r="F11" s="384">
        <f>121.6</f>
        <v>121.6</v>
      </c>
      <c r="G11" s="385"/>
      <c r="H11" s="386">
        <f>Conventional!H11</f>
        <v>61.75</v>
      </c>
      <c r="I11" s="386"/>
      <c r="J11" s="379">
        <v>25</v>
      </c>
      <c r="K11" s="447"/>
      <c r="L11" s="389">
        <v>110</v>
      </c>
      <c r="M11" s="379"/>
      <c r="N11" s="384">
        <v>123.2</v>
      </c>
      <c r="O11" s="379"/>
      <c r="P11" s="384">
        <v>78.5</v>
      </c>
      <c r="Q11" s="385"/>
      <c r="R11" s="386">
        <f>Conventional!R11</f>
        <v>61.75</v>
      </c>
      <c r="S11" s="386"/>
      <c r="T11" s="379">
        <v>15</v>
      </c>
      <c r="U11" s="380"/>
      <c r="V11" s="100"/>
      <c r="AE11" s="333"/>
      <c r="AF11" s="333"/>
      <c r="AG11" s="333"/>
      <c r="AH11" s="333"/>
    </row>
    <row r="12" spans="1:34" x14ac:dyDescent="0.2">
      <c r="A12" s="105" t="s">
        <v>30</v>
      </c>
      <c r="B12" s="350"/>
      <c r="C12" s="351"/>
      <c r="D12" s="338"/>
      <c r="E12" s="351"/>
      <c r="F12" s="338"/>
      <c r="G12" s="339"/>
      <c r="H12" s="351"/>
      <c r="I12" s="339"/>
      <c r="J12" s="351"/>
      <c r="K12" s="429"/>
      <c r="L12" s="350"/>
      <c r="M12" s="351"/>
      <c r="N12" s="338"/>
      <c r="O12" s="351"/>
      <c r="P12" s="338"/>
      <c r="Q12" s="339"/>
      <c r="R12" s="351"/>
      <c r="S12" s="339"/>
      <c r="T12" s="351"/>
      <c r="U12" s="358"/>
      <c r="V12" s="100"/>
    </row>
    <row r="13" spans="1:34" x14ac:dyDescent="0.2">
      <c r="A13" s="105" t="s">
        <v>8</v>
      </c>
      <c r="B13" s="350">
        <f>B7/495*0.75</f>
        <v>1.8181818181818183</v>
      </c>
      <c r="C13" s="351"/>
      <c r="D13" s="251"/>
      <c r="E13" s="116"/>
      <c r="F13" s="251"/>
      <c r="G13" s="252"/>
      <c r="H13" s="116"/>
      <c r="I13" s="252"/>
      <c r="J13" s="116"/>
      <c r="K13" s="117"/>
      <c r="L13" s="350">
        <f>L7/495*0.75</f>
        <v>1.1363636363636362</v>
      </c>
      <c r="M13" s="351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 x14ac:dyDescent="0.2">
      <c r="A14" s="105" t="s">
        <v>31</v>
      </c>
      <c r="B14" s="350">
        <f>16.5+6.7+B7*0.075*$D$48+0.0583*B7*$F$48+0.0583*B7*$H$48</f>
        <v>234.6388</v>
      </c>
      <c r="C14" s="339"/>
      <c r="D14" s="341">
        <f>9.25+57.5+3.37</f>
        <v>70.12</v>
      </c>
      <c r="E14" s="341"/>
      <c r="F14" s="338">
        <f>25+1.2*F7*$D$48+0.5*F7*$F$48+F7*$H$48</f>
        <v>533.4</v>
      </c>
      <c r="G14" s="339"/>
      <c r="H14" s="351">
        <f>6.5+16.5+0.6667*H7*$F$48+1.333*H7*$H$48+3.37</f>
        <v>118.35612</v>
      </c>
      <c r="I14" s="339"/>
      <c r="J14" s="351">
        <f>25+1.25*J7*$D$48+0.6*J7*$F$48+0.9*J7*$H$48</f>
        <v>284.89999999999998</v>
      </c>
      <c r="K14" s="429"/>
      <c r="L14" s="350">
        <f>16.5+6.7+0.08*L7*$D$48+0.0667*L7*$F$48+0.0667*L7*$H$48</f>
        <v>169.33824999999999</v>
      </c>
      <c r="M14" s="351"/>
      <c r="N14" s="341">
        <f>9.25+57.5+3.37</f>
        <v>70.12</v>
      </c>
      <c r="O14" s="341"/>
      <c r="P14" s="338">
        <f>12.5+P7*1.1765*$D$48+0.4706*P7*$F$48+0.7059*P7*$H$48</f>
        <v>205.104815</v>
      </c>
      <c r="Q14" s="339"/>
      <c r="R14" s="351">
        <f>6.5+16.5+1.3333*R7*$F$48+2.6667*R7*$H$48+3.37</f>
        <v>118.37001000000001</v>
      </c>
      <c r="S14" s="339"/>
      <c r="T14" s="351">
        <f>12.5+1.2308*T7*$D$48+0.6154*T7*$F$48+0.9231*T7*$H$48</f>
        <v>181.904235</v>
      </c>
      <c r="U14" s="358"/>
      <c r="V14" s="100"/>
    </row>
    <row r="15" spans="1:34" x14ac:dyDescent="0.2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 x14ac:dyDescent="0.2">
      <c r="A16" s="105" t="s">
        <v>9</v>
      </c>
      <c r="B16" s="350">
        <f>(117.09+74.78)/2+23.75+7.2+14.53</f>
        <v>141.41499999999999</v>
      </c>
      <c r="C16" s="351"/>
      <c r="D16" s="338">
        <f>59.49+52.44+93.06</f>
        <v>204.99</v>
      </c>
      <c r="E16" s="351"/>
      <c r="F16" s="338">
        <f>43.75+8.32+15.75</f>
        <v>67.819999999999993</v>
      </c>
      <c r="G16" s="339"/>
      <c r="H16" s="351">
        <f>(46.55+34.03+44.9+44.01)/4+2.78+18</f>
        <v>63.152499999999996</v>
      </c>
      <c r="I16" s="339"/>
      <c r="J16" s="351">
        <f>17.85+11.15</f>
        <v>29</v>
      </c>
      <c r="K16" s="429"/>
      <c r="L16" s="350">
        <f>(127.18+117.9)/2+23.75+5.2+14.53</f>
        <v>166.02</v>
      </c>
      <c r="M16" s="351"/>
      <c r="N16" s="338">
        <f>71.24+52.44+54.02</f>
        <v>177.7</v>
      </c>
      <c r="O16" s="351"/>
      <c r="P16" s="338">
        <f>30.25+8.32+15.75</f>
        <v>54.32</v>
      </c>
      <c r="Q16" s="339"/>
      <c r="R16" s="351">
        <f>(43.05+34.03+44.9+44.01)/4+2.78</f>
        <v>44.277499999999996</v>
      </c>
      <c r="S16" s="339"/>
      <c r="T16" s="351">
        <f>17.85+11.15</f>
        <v>29</v>
      </c>
      <c r="U16" s="358"/>
      <c r="V16" s="100"/>
    </row>
    <row r="17" spans="1:38" x14ac:dyDescent="0.2">
      <c r="A17" s="105" t="s">
        <v>172</v>
      </c>
      <c r="B17" s="350"/>
      <c r="C17" s="351"/>
      <c r="D17" s="251"/>
      <c r="E17" s="116"/>
      <c r="F17" s="251"/>
      <c r="G17" s="252"/>
      <c r="H17" s="116"/>
      <c r="I17" s="252"/>
      <c r="J17" s="116"/>
      <c r="K17" s="117"/>
      <c r="L17" s="350"/>
      <c r="M17" s="351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38" x14ac:dyDescent="0.2">
      <c r="A18" s="105" t="s">
        <v>174</v>
      </c>
      <c r="B18" s="350">
        <f>Conventional!B17</f>
        <v>18</v>
      </c>
      <c r="C18" s="351"/>
      <c r="D18" s="338">
        <f>Conventional!D17</f>
        <v>18</v>
      </c>
      <c r="E18" s="339"/>
      <c r="F18" s="251"/>
      <c r="G18" s="252"/>
      <c r="H18" s="116"/>
      <c r="I18" s="252"/>
      <c r="J18" s="116"/>
      <c r="K18" s="117"/>
      <c r="L18" s="350">
        <f>Conventional!L17</f>
        <v>18</v>
      </c>
      <c r="M18" s="351"/>
      <c r="N18" s="338">
        <f>Conventional!N17</f>
        <v>18</v>
      </c>
      <c r="O18" s="339"/>
      <c r="P18" s="251"/>
      <c r="Q18" s="252"/>
      <c r="R18" s="116"/>
      <c r="S18" s="252"/>
      <c r="T18" s="116"/>
      <c r="U18" s="118"/>
      <c r="V18" s="100"/>
    </row>
    <row r="19" spans="1:38" x14ac:dyDescent="0.2">
      <c r="A19" s="105" t="s">
        <v>10</v>
      </c>
      <c r="B19" s="350">
        <f>Conventional!B18</f>
        <v>12.5</v>
      </c>
      <c r="C19" s="351"/>
      <c r="D19" s="338">
        <f>Conventional!D18</f>
        <v>12.5</v>
      </c>
      <c r="E19" s="339"/>
      <c r="F19" s="251"/>
      <c r="G19" s="252"/>
      <c r="H19" s="116"/>
      <c r="I19" s="252"/>
      <c r="J19" s="116"/>
      <c r="K19" s="117"/>
      <c r="L19" s="350">
        <f>Conventional!L18</f>
        <v>12.5</v>
      </c>
      <c r="M19" s="351"/>
      <c r="N19" s="338">
        <f>Conventional!N18</f>
        <v>12.5</v>
      </c>
      <c r="O19" s="339"/>
      <c r="P19" s="251"/>
      <c r="Q19" s="252"/>
      <c r="R19" s="116"/>
      <c r="S19" s="252"/>
      <c r="T19" s="116"/>
      <c r="U19" s="118"/>
      <c r="V19" s="100"/>
      <c r="AI19" s="177"/>
      <c r="AJ19" s="177"/>
      <c r="AK19" s="177"/>
      <c r="AL19" s="177"/>
    </row>
    <row r="20" spans="1:38" x14ac:dyDescent="0.2">
      <c r="A20" s="105" t="s">
        <v>32</v>
      </c>
      <c r="B20" s="350">
        <f>(4.5+6.4)*$B$50</f>
        <v>43.6</v>
      </c>
      <c r="C20" s="351"/>
      <c r="D20" s="338">
        <f>(4.7+7.9)*$B$50</f>
        <v>50.400000000000006</v>
      </c>
      <c r="E20" s="351"/>
      <c r="F20" s="338">
        <f>6.1*$B$50</f>
        <v>24.4</v>
      </c>
      <c r="G20" s="339"/>
      <c r="H20" s="351">
        <f>5.5*$B$50</f>
        <v>22</v>
      </c>
      <c r="I20" s="339"/>
      <c r="J20" s="351">
        <f>6.3*$B$50</f>
        <v>25.2</v>
      </c>
      <c r="K20" s="429"/>
      <c r="L20" s="350">
        <f>(4.5+6.4)*$B$50</f>
        <v>43.6</v>
      </c>
      <c r="M20" s="351"/>
      <c r="N20" s="338">
        <f>(4.7+7.9)*$B$50</f>
        <v>50.400000000000006</v>
      </c>
      <c r="O20" s="351"/>
      <c r="P20" s="338">
        <f>6.1*$B$50</f>
        <v>24.4</v>
      </c>
      <c r="Q20" s="339"/>
      <c r="R20" s="351">
        <f>5.5*$B$50</f>
        <v>22</v>
      </c>
      <c r="S20" s="339"/>
      <c r="T20" s="351">
        <f>6.3*$B$50</f>
        <v>25.2</v>
      </c>
      <c r="U20" s="358"/>
      <c r="V20" s="100"/>
      <c r="AI20" s="177"/>
      <c r="AJ20" s="177"/>
      <c r="AK20" s="177"/>
      <c r="AL20" s="177"/>
    </row>
    <row r="21" spans="1:38" x14ac:dyDescent="0.2">
      <c r="A21" s="105" t="s">
        <v>11</v>
      </c>
      <c r="B21" s="350">
        <f>12.97+29.15</f>
        <v>42.12</v>
      </c>
      <c r="C21" s="351"/>
      <c r="D21" s="338">
        <f>13.49+33.7</f>
        <v>47.190000000000005</v>
      </c>
      <c r="E21" s="339"/>
      <c r="F21" s="338">
        <f>10.2+9.64</f>
        <v>19.84</v>
      </c>
      <c r="G21" s="339"/>
      <c r="H21" s="338">
        <f>8.28+7.88</f>
        <v>16.16</v>
      </c>
      <c r="I21" s="339"/>
      <c r="J21" s="338">
        <f>10.63+5.66</f>
        <v>16.29</v>
      </c>
      <c r="K21" s="358"/>
      <c r="L21" s="350">
        <v>41.64</v>
      </c>
      <c r="M21" s="351"/>
      <c r="N21" s="338">
        <f>13.49+33.7</f>
        <v>47.190000000000005</v>
      </c>
      <c r="O21" s="339"/>
      <c r="P21" s="338">
        <f>10.2+9.64</f>
        <v>19.84</v>
      </c>
      <c r="Q21" s="339"/>
      <c r="R21" s="338">
        <f>8.28+7.88</f>
        <v>16.16</v>
      </c>
      <c r="S21" s="339"/>
      <c r="T21" s="338">
        <f>10.63+5.66</f>
        <v>16.29</v>
      </c>
      <c r="U21" s="358"/>
      <c r="V21" s="100"/>
      <c r="AI21" s="177"/>
      <c r="AJ21" s="177"/>
      <c r="AK21" s="177"/>
      <c r="AL21" s="177"/>
    </row>
    <row r="22" spans="1:38" x14ac:dyDescent="0.2">
      <c r="A22" s="105" t="s">
        <v>33</v>
      </c>
      <c r="B22" s="350">
        <f>((7*7)*0.67+(4.2*$B$50*7)*0.33)</f>
        <v>71.638000000000005</v>
      </c>
      <c r="C22" s="339"/>
      <c r="D22" s="338">
        <f>((7*5)*0.67+(4.2*$B$50*5)*0.33)</f>
        <v>51.17</v>
      </c>
      <c r="E22" s="339"/>
      <c r="F22" s="338">
        <f>((7*7)*0.67+(4.2*$B$50*7)*0.33)</f>
        <v>71.638000000000005</v>
      </c>
      <c r="G22" s="339"/>
      <c r="H22" s="338">
        <f>((7*4)*0.67+(4.2*$B$50*4)*0.33)</f>
        <v>40.936000000000007</v>
      </c>
      <c r="I22" s="339"/>
      <c r="J22" s="351">
        <f>((7*3)*0.67+(4.2*$B$50*3)*0.33)</f>
        <v>30.702000000000002</v>
      </c>
      <c r="K22" s="429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  <c r="AI22" s="177"/>
      <c r="AJ22" s="177"/>
      <c r="AK22" s="177"/>
      <c r="AL22" s="177"/>
    </row>
    <row r="23" spans="1:38" x14ac:dyDescent="0.2">
      <c r="A23" s="105" t="s">
        <v>13</v>
      </c>
      <c r="B23" s="350">
        <v>14.02</v>
      </c>
      <c r="C23" s="351"/>
      <c r="D23" s="338">
        <v>26.65</v>
      </c>
      <c r="E23" s="351"/>
      <c r="F23" s="338">
        <v>11.66</v>
      </c>
      <c r="G23" s="339"/>
      <c r="H23" s="351">
        <v>9.25</v>
      </c>
      <c r="I23" s="339"/>
      <c r="J23" s="351">
        <f>10.76</f>
        <v>10.76</v>
      </c>
      <c r="K23" s="358"/>
      <c r="L23" s="350">
        <v>14.02</v>
      </c>
      <c r="M23" s="351"/>
      <c r="N23" s="338">
        <v>26.65</v>
      </c>
      <c r="O23" s="351"/>
      <c r="P23" s="338">
        <v>11.66</v>
      </c>
      <c r="Q23" s="339"/>
      <c r="R23" s="351">
        <v>9.25</v>
      </c>
      <c r="S23" s="339"/>
      <c r="T23" s="351">
        <v>10.76</v>
      </c>
      <c r="U23" s="358"/>
      <c r="V23" s="100"/>
      <c r="AI23" s="177"/>
      <c r="AJ23" s="177"/>
      <c r="AK23" s="177"/>
      <c r="AL23" s="177"/>
    </row>
    <row r="24" spans="1:38" x14ac:dyDescent="0.2">
      <c r="A24" s="105" t="s">
        <v>14</v>
      </c>
      <c r="B24" s="351">
        <f>Conventional!B23</f>
        <v>20</v>
      </c>
      <c r="C24" s="339"/>
      <c r="D24" s="351">
        <f>Conventional!D23</f>
        <v>31</v>
      </c>
      <c r="E24" s="339"/>
      <c r="F24" s="351">
        <f>Conventional!F23</f>
        <v>20</v>
      </c>
      <c r="G24" s="339"/>
      <c r="H24" s="351">
        <f>Conventional!H23</f>
        <v>13</v>
      </c>
      <c r="I24" s="339"/>
      <c r="J24" s="351">
        <f>Conventional!J23</f>
        <v>37</v>
      </c>
      <c r="K24" s="429"/>
      <c r="L24" s="116">
        <f>Conventional!L23</f>
        <v>38</v>
      </c>
      <c r="M24" s="252"/>
      <c r="N24" s="351">
        <f>Conventional!N23</f>
        <v>44</v>
      </c>
      <c r="O24" s="339"/>
      <c r="P24" s="351">
        <f>Conventional!P23</f>
        <v>35</v>
      </c>
      <c r="Q24" s="339"/>
      <c r="R24" s="351">
        <f>Conventional!R23</f>
        <v>22</v>
      </c>
      <c r="S24" s="339"/>
      <c r="T24" s="351">
        <f>Conventional!T23</f>
        <v>30</v>
      </c>
      <c r="U24" s="358"/>
      <c r="V24" s="100"/>
    </row>
    <row r="25" spans="1:38" x14ac:dyDescent="0.2">
      <c r="A25" s="105" t="s">
        <v>126</v>
      </c>
      <c r="B25" s="350"/>
      <c r="C25" s="339"/>
      <c r="D25" s="338"/>
      <c r="E25" s="339"/>
      <c r="F25" s="338"/>
      <c r="G25" s="339"/>
      <c r="H25" s="338"/>
      <c r="I25" s="339"/>
      <c r="J25" s="338"/>
      <c r="K25" s="429"/>
      <c r="L25" s="350"/>
      <c r="M25" s="339"/>
      <c r="N25" s="338"/>
      <c r="O25" s="339"/>
      <c r="P25" s="338"/>
      <c r="Q25" s="339"/>
      <c r="R25" s="338"/>
      <c r="S25" s="339"/>
      <c r="T25" s="338"/>
      <c r="U25" s="358"/>
      <c r="V25" s="100"/>
    </row>
    <row r="26" spans="1:38" x14ac:dyDescent="0.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38" x14ac:dyDescent="0.2">
      <c r="A27" s="105" t="s">
        <v>17</v>
      </c>
      <c r="B27" s="391">
        <f>(SUM(B11:B26))*0.5*0.055</f>
        <v>19.518124499999999</v>
      </c>
      <c r="C27" s="369"/>
      <c r="D27" s="417">
        <f>(SUM(D11:D26))*0.5*0.055</f>
        <v>17.46855</v>
      </c>
      <c r="E27" s="369"/>
      <c r="F27" s="417">
        <f>(SUM(F11:F26))*0.5*0.055</f>
        <v>23.934844999999999</v>
      </c>
      <c r="G27" s="418"/>
      <c r="H27" s="369">
        <f>(SUM(H11:H26))*0.5*0.055</f>
        <v>9.4766270500000012</v>
      </c>
      <c r="I27" s="418"/>
      <c r="J27" s="369">
        <f>(SUM(J11:J26))*0.5*0.055</f>
        <v>12.61843</v>
      </c>
      <c r="K27" s="430"/>
      <c r="L27" s="391">
        <f>(SUM(L11:L26))*0.5*0.055</f>
        <v>16.892001874999998</v>
      </c>
      <c r="M27" s="369"/>
      <c r="N27" s="417">
        <f>(SUM(N11:N26))*0.5*0.055</f>
        <v>15.6684</v>
      </c>
      <c r="O27" s="369"/>
      <c r="P27" s="417">
        <f>(SUM(P11:P26))*0.5*0.055</f>
        <v>11.7926824125</v>
      </c>
      <c r="Q27" s="418"/>
      <c r="R27" s="369">
        <f>(SUM(R11:R26))*0.5*0.055</f>
        <v>8.0797065250000006</v>
      </c>
      <c r="S27" s="418"/>
      <c r="T27" s="369">
        <f>(SUM(T11:T26))*0.5*0.055</f>
        <v>8.4742414624999984</v>
      </c>
      <c r="U27" s="370"/>
      <c r="V27" s="100"/>
    </row>
    <row r="28" spans="1:38" x14ac:dyDescent="0.2">
      <c r="A28" s="105" t="s">
        <v>171</v>
      </c>
      <c r="B28" s="391">
        <f>0.0395*B7</f>
        <v>47.4</v>
      </c>
      <c r="C28" s="369"/>
      <c r="D28" s="253"/>
      <c r="E28" s="120"/>
      <c r="F28" s="253"/>
      <c r="G28" s="254"/>
      <c r="H28" s="120"/>
      <c r="I28" s="254"/>
      <c r="J28" s="120"/>
      <c r="K28" s="121"/>
      <c r="L28" s="391">
        <f>0.0395*L7</f>
        <v>29.625</v>
      </c>
      <c r="M28" s="369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38" x14ac:dyDescent="0.2">
      <c r="A29" s="105" t="s">
        <v>15</v>
      </c>
      <c r="B29" s="123"/>
      <c r="C29" s="120"/>
      <c r="D29" s="417">
        <f>D7/2000*0.33*20+D7/2000*0.67*30</f>
        <v>62.745000000000005</v>
      </c>
      <c r="E29" s="369"/>
      <c r="F29" s="417">
        <f>F7*1.0975*0.28</f>
        <v>61.46</v>
      </c>
      <c r="G29" s="418"/>
      <c r="H29" s="120"/>
      <c r="I29" s="254"/>
      <c r="J29" s="369">
        <f>J7*1.0975*0.28</f>
        <v>30.73</v>
      </c>
      <c r="K29" s="430"/>
      <c r="L29" s="120"/>
      <c r="M29" s="120"/>
      <c r="N29" s="417">
        <f>N7/2000*0.33*20+N7/2000*0.67*30</f>
        <v>45.39</v>
      </c>
      <c r="O29" s="369"/>
      <c r="P29" s="417">
        <f>P7*1.0975*0.28</f>
        <v>26.1205</v>
      </c>
      <c r="Q29" s="418"/>
      <c r="R29" s="120"/>
      <c r="S29" s="254"/>
      <c r="T29" s="369">
        <f>T7*1.0975*0.28</f>
        <v>19.974499999999999</v>
      </c>
      <c r="U29" s="370"/>
      <c r="V29" s="100"/>
    </row>
    <row r="30" spans="1:38" x14ac:dyDescent="0.2">
      <c r="A30" s="105" t="s">
        <v>18</v>
      </c>
      <c r="B30" s="123"/>
      <c r="C30" s="120"/>
      <c r="D30" s="426">
        <f>D7/2000*3+D7/2000*355*0.01</f>
        <v>15.3925</v>
      </c>
      <c r="E30" s="353"/>
      <c r="F30" s="253"/>
      <c r="G30" s="254"/>
      <c r="H30" s="120"/>
      <c r="I30" s="254"/>
      <c r="J30" s="120"/>
      <c r="K30" s="121"/>
      <c r="L30" s="120"/>
      <c r="M30" s="120"/>
      <c r="N30" s="426">
        <f>N7/2000*3+N7/2000*355*0.01</f>
        <v>11.135</v>
      </c>
      <c r="O30" s="353"/>
      <c r="P30" s="253"/>
      <c r="Q30" s="254"/>
      <c r="R30" s="120"/>
      <c r="S30" s="254"/>
      <c r="T30" s="120"/>
      <c r="U30" s="124"/>
      <c r="V30" s="100"/>
    </row>
    <row r="31" spans="1:38" ht="15" thickBot="1" x14ac:dyDescent="0.25">
      <c r="A31" s="125" t="s">
        <v>157</v>
      </c>
      <c r="B31" s="365">
        <f t="shared" ref="B31:T31" si="0">SUM(B11:B30)</f>
        <v>776.6681063181818</v>
      </c>
      <c r="C31" s="364"/>
      <c r="D31" s="421">
        <f t="shared" si="0"/>
        <v>730.82605000000012</v>
      </c>
      <c r="E31" s="364"/>
      <c r="F31" s="421">
        <f t="shared" si="0"/>
        <v>955.75284499999998</v>
      </c>
      <c r="G31" s="422"/>
      <c r="H31" s="364">
        <f t="shared" si="0"/>
        <v>354.08124705000006</v>
      </c>
      <c r="I31" s="422"/>
      <c r="J31" s="364">
        <f t="shared" si="0"/>
        <v>502.20042999999998</v>
      </c>
      <c r="K31" s="416"/>
      <c r="L31" s="365">
        <f t="shared" si="0"/>
        <v>660.77161551136362</v>
      </c>
      <c r="M31" s="364"/>
      <c r="N31" s="421">
        <f t="shared" si="0"/>
        <v>641.95339999999999</v>
      </c>
      <c r="O31" s="364"/>
      <c r="P31" s="421">
        <f t="shared" si="0"/>
        <v>466.73799741250002</v>
      </c>
      <c r="Q31" s="422"/>
      <c r="R31" s="364">
        <f t="shared" si="0"/>
        <v>301.88721652500004</v>
      </c>
      <c r="S31" s="422"/>
      <c r="T31" s="364">
        <f t="shared" si="0"/>
        <v>336.60297646249995</v>
      </c>
      <c r="U31" s="367"/>
      <c r="V31" s="100"/>
    </row>
    <row r="32" spans="1:38" x14ac:dyDescent="0.2">
      <c r="A32" s="126" t="s">
        <v>163</v>
      </c>
      <c r="B32" s="392">
        <f t="shared" ref="B32:T32" si="1">B9-B31</f>
        <v>363.3318936818182</v>
      </c>
      <c r="C32" s="373"/>
      <c r="D32" s="419">
        <f t="shared" si="1"/>
        <v>385.42394999999988</v>
      </c>
      <c r="E32" s="373"/>
      <c r="F32" s="419">
        <f t="shared" si="1"/>
        <v>344.24715500000002</v>
      </c>
      <c r="G32" s="420"/>
      <c r="H32" s="373">
        <f t="shared" si="1"/>
        <v>425.91875294999994</v>
      </c>
      <c r="I32" s="420"/>
      <c r="J32" s="373">
        <f t="shared" si="1"/>
        <v>97.799570000000017</v>
      </c>
      <c r="K32" s="435"/>
      <c r="L32" s="392">
        <f t="shared" si="1"/>
        <v>51.72838448863638</v>
      </c>
      <c r="M32" s="373"/>
      <c r="N32" s="419">
        <f t="shared" si="1"/>
        <v>165.54660000000001</v>
      </c>
      <c r="O32" s="373"/>
      <c r="P32" s="419">
        <f t="shared" si="1"/>
        <v>85.762002587499978</v>
      </c>
      <c r="Q32" s="420"/>
      <c r="R32" s="373">
        <f t="shared" si="1"/>
        <v>88.112783474999958</v>
      </c>
      <c r="S32" s="420"/>
      <c r="T32" s="373">
        <f t="shared" si="1"/>
        <v>53.397023537500047</v>
      </c>
      <c r="U32" s="374"/>
      <c r="V32" s="100"/>
    </row>
    <row r="33" spans="1:34" x14ac:dyDescent="0.2">
      <c r="A33" s="127" t="str">
        <f>Conventional!A32</f>
        <v>BREAKEVEN PRICE  (Variable Cost)</v>
      </c>
      <c r="B33" s="128">
        <f>B31/B7</f>
        <v>0.64722342193181814</v>
      </c>
      <c r="C33" s="129" t="s">
        <v>159</v>
      </c>
      <c r="D33" s="239">
        <f>D31/D7*2000</f>
        <v>310.98980851063834</v>
      </c>
      <c r="E33" s="129" t="s">
        <v>160</v>
      </c>
      <c r="F33" s="240">
        <f>F31/F7</f>
        <v>4.7787642249999998</v>
      </c>
      <c r="G33" s="238" t="s">
        <v>162</v>
      </c>
      <c r="H33" s="130">
        <f>H31/H7</f>
        <v>5.9013541175000013</v>
      </c>
      <c r="I33" s="238" t="s">
        <v>162</v>
      </c>
      <c r="J33" s="130">
        <f>J31/J7</f>
        <v>5.0220042999999999</v>
      </c>
      <c r="K33" s="131" t="s">
        <v>162</v>
      </c>
      <c r="L33" s="130">
        <f>L31/L7</f>
        <v>0.8810288206818182</v>
      </c>
      <c r="M33" s="129" t="s">
        <v>159</v>
      </c>
      <c r="N33" s="260">
        <f>N31/N7*2000</f>
        <v>377.61964705882349</v>
      </c>
      <c r="O33" s="129" t="s">
        <v>160</v>
      </c>
      <c r="P33" s="240">
        <f>P31/P7</f>
        <v>5.491035263676471</v>
      </c>
      <c r="Q33" s="238" t="s">
        <v>162</v>
      </c>
      <c r="R33" s="130">
        <f>R31/R7</f>
        <v>10.062907217500001</v>
      </c>
      <c r="S33" s="238" t="s">
        <v>162</v>
      </c>
      <c r="T33" s="130">
        <f>T31/T7</f>
        <v>5.178507330192307</v>
      </c>
      <c r="U33" s="132" t="s">
        <v>162</v>
      </c>
      <c r="V33" s="100"/>
    </row>
    <row r="34" spans="1:34" x14ac:dyDescent="0.2">
      <c r="A34" s="321" t="str">
        <f>Conventional!A33</f>
        <v>BREAKEVEN YIELD per ACRE (Variable Cost)</v>
      </c>
      <c r="B34" s="327">
        <f>B31/B8</f>
        <v>817.54537507177031</v>
      </c>
      <c r="C34" s="328" t="s">
        <v>158</v>
      </c>
      <c r="D34" s="329">
        <f>D31/D8*2000</f>
        <v>3077.1623157894742</v>
      </c>
      <c r="E34" s="328" t="s">
        <v>158</v>
      </c>
      <c r="F34" s="329">
        <f>F31/F8</f>
        <v>147.03889923076923</v>
      </c>
      <c r="G34" s="330" t="s">
        <v>161</v>
      </c>
      <c r="H34" s="329">
        <f>H31/H8</f>
        <v>27.237019003846157</v>
      </c>
      <c r="I34" s="330" t="s">
        <v>161</v>
      </c>
      <c r="J34" s="329">
        <f>J31/J8</f>
        <v>83.700071666666659</v>
      </c>
      <c r="K34" s="331" t="s">
        <v>161</v>
      </c>
      <c r="L34" s="327">
        <f>L31/L8</f>
        <v>695.54906895933016</v>
      </c>
      <c r="M34" s="328" t="s">
        <v>158</v>
      </c>
      <c r="N34" s="329">
        <f>N31/N8*2000</f>
        <v>2702.9616842105261</v>
      </c>
      <c r="O34" s="328" t="s">
        <v>158</v>
      </c>
      <c r="P34" s="329">
        <f>P31/P8</f>
        <v>71.805845755769241</v>
      </c>
      <c r="Q34" s="330" t="s">
        <v>161</v>
      </c>
      <c r="R34" s="329">
        <f>R31/R8</f>
        <v>23.222093578846156</v>
      </c>
      <c r="S34" s="330" t="s">
        <v>161</v>
      </c>
      <c r="T34" s="329">
        <f>T31/T8</f>
        <v>56.100496077083328</v>
      </c>
      <c r="U34" s="332" t="s">
        <v>161</v>
      </c>
      <c r="V34" s="100"/>
    </row>
    <row r="35" spans="1:34" x14ac:dyDescent="0.2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 x14ac:dyDescent="0.2">
      <c r="A36" s="105" t="s">
        <v>19</v>
      </c>
      <c r="B36" s="350">
        <f>44.47+138.49</f>
        <v>182.96</v>
      </c>
      <c r="C36" s="351"/>
      <c r="D36" s="338">
        <f>34.58+102.04</f>
        <v>136.62</v>
      </c>
      <c r="E36" s="351"/>
      <c r="F36" s="338">
        <f>27.27+47.88</f>
        <v>75.150000000000006</v>
      </c>
      <c r="G36" s="339"/>
      <c r="H36" s="351">
        <f>23.37+37.28</f>
        <v>60.650000000000006</v>
      </c>
      <c r="I36" s="339"/>
      <c r="J36" s="351">
        <f>28.28+25.6</f>
        <v>53.88</v>
      </c>
      <c r="K36" s="358"/>
      <c r="L36" s="350">
        <f>B36</f>
        <v>182.96</v>
      </c>
      <c r="M36" s="351"/>
      <c r="N36" s="338">
        <f>34.58+102.04</f>
        <v>136.62</v>
      </c>
      <c r="O36" s="351"/>
      <c r="P36" s="338">
        <f>27.27+47.88</f>
        <v>75.150000000000006</v>
      </c>
      <c r="Q36" s="339"/>
      <c r="R36" s="351">
        <f>23.37+37.28</f>
        <v>60.650000000000006</v>
      </c>
      <c r="S36" s="339"/>
      <c r="T36" s="351">
        <f>J36</f>
        <v>53.88</v>
      </c>
      <c r="U36" s="358"/>
      <c r="V36" s="100"/>
    </row>
    <row r="37" spans="1:34" x14ac:dyDescent="0.2">
      <c r="A37" s="105" t="s">
        <v>12</v>
      </c>
      <c r="B37" s="350">
        <f>Conventional!B36</f>
        <v>135</v>
      </c>
      <c r="C37" s="351"/>
      <c r="D37" s="338">
        <f>Conventional!D36</f>
        <v>135</v>
      </c>
      <c r="E37" s="351"/>
      <c r="F37" s="338">
        <f>Conventional!F36</f>
        <v>135</v>
      </c>
      <c r="G37" s="339"/>
      <c r="H37" s="351">
        <f>Conventional!H36</f>
        <v>135</v>
      </c>
      <c r="I37" s="339"/>
      <c r="J37" s="351">
        <f>Conventional!J36</f>
        <v>135</v>
      </c>
      <c r="K37" s="429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 x14ac:dyDescent="0.2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 x14ac:dyDescent="0.2">
      <c r="A39" s="105" t="s">
        <v>21</v>
      </c>
      <c r="B39" s="352">
        <f>0.05*B31</f>
        <v>38.83340531590909</v>
      </c>
      <c r="C39" s="353"/>
      <c r="D39" s="426">
        <f>0.05*D31</f>
        <v>36.541302500000008</v>
      </c>
      <c r="E39" s="353"/>
      <c r="F39" s="426">
        <f>0.05*F31</f>
        <v>47.787642250000005</v>
      </c>
      <c r="G39" s="431"/>
      <c r="H39" s="353">
        <f>0.05*H31</f>
        <v>17.704062352500003</v>
      </c>
      <c r="I39" s="431"/>
      <c r="J39" s="353">
        <f>0.05*J31</f>
        <v>25.110021500000002</v>
      </c>
      <c r="K39" s="433"/>
      <c r="L39" s="352">
        <f>0.05*L31</f>
        <v>33.038580775568185</v>
      </c>
      <c r="M39" s="353"/>
      <c r="N39" s="426">
        <f>0.05*N31</f>
        <v>32.097670000000001</v>
      </c>
      <c r="O39" s="353"/>
      <c r="P39" s="426">
        <f>0.05*P31</f>
        <v>23.336899870625004</v>
      </c>
      <c r="Q39" s="431"/>
      <c r="R39" s="353">
        <f>0.05*R31</f>
        <v>15.094360826250004</v>
      </c>
      <c r="S39" s="431"/>
      <c r="T39" s="353">
        <f>0.05*T31</f>
        <v>16.830148823124997</v>
      </c>
      <c r="U39" s="362"/>
      <c r="V39" s="100"/>
    </row>
    <row r="40" spans="1:34" x14ac:dyDescent="0.2">
      <c r="A40" s="133" t="s">
        <v>165</v>
      </c>
      <c r="B40" s="354">
        <f>SUM(B36:B39)</f>
        <v>356.79340531590913</v>
      </c>
      <c r="C40" s="355"/>
      <c r="D40" s="424">
        <f>SUM(D36:D39)</f>
        <v>308.16130250000003</v>
      </c>
      <c r="E40" s="355"/>
      <c r="F40" s="424">
        <f>SUM(F36:F39)</f>
        <v>257.93764225000001</v>
      </c>
      <c r="G40" s="432"/>
      <c r="H40" s="355">
        <f>SUM(H36:H39)</f>
        <v>213.35406235250002</v>
      </c>
      <c r="I40" s="432"/>
      <c r="J40" s="355">
        <f>SUM(J36:J39)</f>
        <v>213.99002150000001</v>
      </c>
      <c r="K40" s="434"/>
      <c r="L40" s="354">
        <f>SUM(L36:L39)</f>
        <v>215.9985807755682</v>
      </c>
      <c r="M40" s="355"/>
      <c r="N40" s="424">
        <f>SUM(N36:N39)</f>
        <v>168.71767</v>
      </c>
      <c r="O40" s="355"/>
      <c r="P40" s="424">
        <f>SUM(P36:P39)</f>
        <v>98.48689987062501</v>
      </c>
      <c r="Q40" s="432"/>
      <c r="R40" s="355">
        <f>SUM(R36:R39)</f>
        <v>75.744360826250016</v>
      </c>
      <c r="S40" s="432"/>
      <c r="T40" s="355">
        <f>SUM(T36:T39)</f>
        <v>70.710148823124996</v>
      </c>
      <c r="U40" s="361"/>
      <c r="V40" s="100"/>
    </row>
    <row r="41" spans="1:34" x14ac:dyDescent="0.2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5" thickBot="1" x14ac:dyDescent="0.25">
      <c r="A42" s="139" t="s">
        <v>166</v>
      </c>
      <c r="B42" s="365">
        <f>B40+B31</f>
        <v>1133.461511634091</v>
      </c>
      <c r="C42" s="364"/>
      <c r="D42" s="421">
        <f>D40+D31</f>
        <v>1038.9873525000003</v>
      </c>
      <c r="E42" s="364"/>
      <c r="F42" s="421">
        <f>F40+F31</f>
        <v>1213.6904872499999</v>
      </c>
      <c r="G42" s="422"/>
      <c r="H42" s="364">
        <f>H40+H31</f>
        <v>567.43530940250002</v>
      </c>
      <c r="I42" s="422"/>
      <c r="J42" s="364">
        <f>J40+J31</f>
        <v>716.19045149999999</v>
      </c>
      <c r="K42" s="416"/>
      <c r="L42" s="365">
        <f>L40+L31</f>
        <v>876.77019628693188</v>
      </c>
      <c r="M42" s="364"/>
      <c r="N42" s="421">
        <f>N40+N31</f>
        <v>810.67106999999999</v>
      </c>
      <c r="O42" s="364"/>
      <c r="P42" s="421">
        <f>P40+P31</f>
        <v>565.22489728312507</v>
      </c>
      <c r="Q42" s="422"/>
      <c r="R42" s="364">
        <f>R40+R31</f>
        <v>377.63157735125003</v>
      </c>
      <c r="S42" s="422"/>
      <c r="T42" s="364">
        <f>T40+T31</f>
        <v>407.31312528562495</v>
      </c>
      <c r="U42" s="367"/>
      <c r="V42" s="100"/>
    </row>
    <row r="43" spans="1:34" ht="15" thickBot="1" x14ac:dyDescent="0.25">
      <c r="A43" s="140" t="s">
        <v>167</v>
      </c>
      <c r="B43" s="356">
        <f>B9-B42</f>
        <v>6.538488365908961</v>
      </c>
      <c r="C43" s="357"/>
      <c r="D43" s="427">
        <f>D9-D42</f>
        <v>77.26264749999973</v>
      </c>
      <c r="E43" s="357"/>
      <c r="F43" s="427">
        <f>F9-F42</f>
        <v>86.309512750000067</v>
      </c>
      <c r="G43" s="428"/>
      <c r="H43" s="357">
        <f>H9-H42</f>
        <v>212.56469059749998</v>
      </c>
      <c r="I43" s="428"/>
      <c r="J43" s="357">
        <f>J9-J42</f>
        <v>-116.19045149999999</v>
      </c>
      <c r="K43" s="415"/>
      <c r="L43" s="356">
        <f>L9-L42</f>
        <v>-164.27019628693188</v>
      </c>
      <c r="M43" s="357"/>
      <c r="N43" s="427">
        <f>N9-N42</f>
        <v>-3.1710699999999861</v>
      </c>
      <c r="O43" s="357"/>
      <c r="P43" s="427">
        <f>P9-P42</f>
        <v>-12.724897283125074</v>
      </c>
      <c r="Q43" s="428"/>
      <c r="R43" s="357">
        <f>R9-R42</f>
        <v>12.36842264874997</v>
      </c>
      <c r="S43" s="428"/>
      <c r="T43" s="357">
        <f>T9-T42</f>
        <v>-17.313125285624949</v>
      </c>
      <c r="U43" s="368"/>
      <c r="V43" s="100"/>
    </row>
    <row r="44" spans="1:34" ht="15" thickTop="1" x14ac:dyDescent="0.2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 x14ac:dyDescent="0.2">
      <c r="A45" s="127" t="s">
        <v>34</v>
      </c>
      <c r="B45" s="145">
        <f>B42/B7</f>
        <v>0.94455125969507592</v>
      </c>
      <c r="C45" s="146" t="s">
        <v>159</v>
      </c>
      <c r="D45" s="242">
        <f>D42/D7*2000</f>
        <v>442.12227765957459</v>
      </c>
      <c r="E45" s="129" t="s">
        <v>160</v>
      </c>
      <c r="F45" s="243">
        <f>F42/F7</f>
        <v>6.0684524362499994</v>
      </c>
      <c r="G45" s="238" t="s">
        <v>162</v>
      </c>
      <c r="H45" s="147">
        <f>H42/H7</f>
        <v>9.4572551567083334</v>
      </c>
      <c r="I45" s="238" t="s">
        <v>162</v>
      </c>
      <c r="J45" s="147">
        <f>J42/J7</f>
        <v>7.1619045149999998</v>
      </c>
      <c r="K45" s="131" t="s">
        <v>162</v>
      </c>
      <c r="L45" s="147">
        <f>L42/L7</f>
        <v>1.1690269283825758</v>
      </c>
      <c r="M45" s="146" t="s">
        <v>159</v>
      </c>
      <c r="N45" s="242">
        <f>N42/N7*2000</f>
        <v>476.86533529411764</v>
      </c>
      <c r="O45" s="129" t="s">
        <v>160</v>
      </c>
      <c r="P45" s="243">
        <f>P42/P7</f>
        <v>6.6497046739191186</v>
      </c>
      <c r="Q45" s="238" t="s">
        <v>162</v>
      </c>
      <c r="R45" s="147">
        <f>R42/R7</f>
        <v>12.587719245041667</v>
      </c>
      <c r="S45" s="238" t="s">
        <v>162</v>
      </c>
      <c r="T45" s="147">
        <f>T42/T7</f>
        <v>6.2663557736249995</v>
      </c>
      <c r="U45" s="132" t="s">
        <v>162</v>
      </c>
      <c r="V45" s="100"/>
    </row>
    <row r="46" spans="1:34" x14ac:dyDescent="0.2">
      <c r="A46" s="148" t="s">
        <v>168</v>
      </c>
      <c r="B46" s="149">
        <f>B42/B8</f>
        <v>1193.1173806674642</v>
      </c>
      <c r="C46" s="150" t="s">
        <v>158</v>
      </c>
      <c r="D46" s="245">
        <f>D42/D8*2000</f>
        <v>4374.6835894736851</v>
      </c>
      <c r="E46" s="150" t="s">
        <v>158</v>
      </c>
      <c r="F46" s="246">
        <f>F42/F8</f>
        <v>186.72161342307692</v>
      </c>
      <c r="G46" s="238" t="s">
        <v>161</v>
      </c>
      <c r="H46" s="151">
        <f>H42/H8</f>
        <v>43.64886995403846</v>
      </c>
      <c r="I46" s="238" t="s">
        <v>161</v>
      </c>
      <c r="J46" s="151">
        <f>J42/J8</f>
        <v>119.36507525</v>
      </c>
      <c r="K46" s="131" t="s">
        <v>161</v>
      </c>
      <c r="L46" s="151">
        <f>L42/L8</f>
        <v>922.91599609150728</v>
      </c>
      <c r="M46" s="150" t="s">
        <v>158</v>
      </c>
      <c r="N46" s="245">
        <f>N42/N8*2000</f>
        <v>3413.3518736842102</v>
      </c>
      <c r="O46" s="150" t="s">
        <v>158</v>
      </c>
      <c r="P46" s="246">
        <f>P42/P8</f>
        <v>86.95767650509616</v>
      </c>
      <c r="Q46" s="238" t="s">
        <v>161</v>
      </c>
      <c r="R46" s="151">
        <f>R42/R8</f>
        <v>29.048582873173078</v>
      </c>
      <c r="S46" s="238" t="s">
        <v>161</v>
      </c>
      <c r="T46" s="151">
        <f>T42/T8</f>
        <v>67.885520880937491</v>
      </c>
      <c r="U46" s="132" t="s">
        <v>161</v>
      </c>
      <c r="V46" s="100"/>
    </row>
    <row r="47" spans="1:34" s="154" customFormat="1" ht="12" x14ac:dyDescent="0.15">
      <c r="A47" s="425" t="s">
        <v>177</v>
      </c>
      <c r="B47" s="425"/>
      <c r="C47" s="425"/>
      <c r="D47" s="425"/>
      <c r="E47" s="425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15">
      <c r="A48" s="97" t="s">
        <v>178</v>
      </c>
      <c r="B48" s="97"/>
      <c r="C48" s="155" t="s">
        <v>169</v>
      </c>
      <c r="D48" s="236">
        <f>Conventional!D46</f>
        <v>1.1599999999999999</v>
      </c>
      <c r="E48" s="156" t="s">
        <v>65</v>
      </c>
      <c r="F48" s="247">
        <f>Conventional!F46</f>
        <v>0.76</v>
      </c>
      <c r="G48" s="156" t="s">
        <v>66</v>
      </c>
      <c r="H48" s="247">
        <f>Conventional!H46</f>
        <v>0.77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15">
      <c r="A49" s="423" t="str">
        <f>Conventional!A48</f>
        <v>*** Weighted average of diesel and electric irrigation application costs.  Electric is estimated at $7/appl and diesel is estimated at $16.50/appl when diesel cost $4/gal.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 x14ac:dyDescent="0.15">
      <c r="A50" s="158" t="s">
        <v>152</v>
      </c>
      <c r="B50" s="159">
        <f>Conventional!B47</f>
        <v>4</v>
      </c>
      <c r="C50" s="423" t="s">
        <v>67</v>
      </c>
      <c r="D50" s="423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 x14ac:dyDescent="0.2">
      <c r="A51" s="95"/>
    </row>
    <row r="52" spans="1:34" s="100" customFormat="1" x14ac:dyDescent="0.2">
      <c r="A52" s="95"/>
    </row>
    <row r="53" spans="1:34" s="100" customFormat="1" x14ac:dyDescent="0.2">
      <c r="A53" s="95"/>
    </row>
    <row r="54" spans="1:34" s="100" customFormat="1" x14ac:dyDescent="0.2">
      <c r="A54" s="95"/>
    </row>
    <row r="55" spans="1:34" s="100" customFormat="1" x14ac:dyDescent="0.2">
      <c r="A55" s="95"/>
    </row>
    <row r="56" spans="1:34" s="100" customFormat="1" x14ac:dyDescent="0.2">
      <c r="A56" s="95"/>
    </row>
    <row r="57" spans="1:34" s="100" customFormat="1" x14ac:dyDescent="0.2">
      <c r="A57" s="95"/>
    </row>
    <row r="58" spans="1:34" s="100" customFormat="1" x14ac:dyDescent="0.2">
      <c r="A58" s="95"/>
    </row>
    <row r="59" spans="1:34" s="100" customFormat="1" x14ac:dyDescent="0.2">
      <c r="A59" s="95"/>
    </row>
    <row r="60" spans="1:34" s="100" customFormat="1" x14ac:dyDescent="0.2">
      <c r="A60" s="95"/>
    </row>
    <row r="61" spans="1:34" s="100" customFormat="1" x14ac:dyDescent="0.2">
      <c r="A61" s="95"/>
    </row>
    <row r="62" spans="1:34" s="100" customFormat="1" x14ac:dyDescent="0.2">
      <c r="A62" s="95"/>
    </row>
    <row r="63" spans="1:34" s="100" customFormat="1" x14ac:dyDescent="0.2">
      <c r="A63" s="95"/>
    </row>
    <row r="64" spans="1:34" s="100" customFormat="1" x14ac:dyDescent="0.2">
      <c r="A64" s="95"/>
    </row>
    <row r="65" spans="1:1" s="100" customFormat="1" x14ac:dyDescent="0.2">
      <c r="A65" s="95"/>
    </row>
    <row r="66" spans="1:1" s="100" customFormat="1" x14ac:dyDescent="0.2">
      <c r="A66" s="95"/>
    </row>
    <row r="67" spans="1:1" s="100" customFormat="1" x14ac:dyDescent="0.2">
      <c r="A67" s="95"/>
    </row>
    <row r="68" spans="1:1" s="100" customFormat="1" x14ac:dyDescent="0.2">
      <c r="A68" s="95"/>
    </row>
    <row r="69" spans="1:1" s="100" customFormat="1" x14ac:dyDescent="0.2">
      <c r="A69" s="95"/>
    </row>
    <row r="70" spans="1:1" s="100" customFormat="1" x14ac:dyDescent="0.2">
      <c r="A70" s="95"/>
    </row>
    <row r="71" spans="1:1" s="100" customFormat="1" x14ac:dyDescent="0.2">
      <c r="A71" s="95"/>
    </row>
    <row r="72" spans="1:1" s="100" customFormat="1" x14ac:dyDescent="0.2">
      <c r="A72" s="95"/>
    </row>
    <row r="73" spans="1:1" s="100" customFormat="1" x14ac:dyDescent="0.2">
      <c r="A73" s="95"/>
    </row>
    <row r="74" spans="1:1" s="100" customFormat="1" x14ac:dyDescent="0.2">
      <c r="A74" s="95"/>
    </row>
    <row r="75" spans="1:1" s="100" customFormat="1" x14ac:dyDescent="0.2">
      <c r="A75" s="95"/>
    </row>
    <row r="76" spans="1:1" s="100" customFormat="1" x14ac:dyDescent="0.2">
      <c r="A76" s="95"/>
    </row>
    <row r="77" spans="1:1" s="100" customFormat="1" x14ac:dyDescent="0.2">
      <c r="A77" s="95"/>
    </row>
    <row r="78" spans="1:1" s="100" customFormat="1" x14ac:dyDescent="0.2">
      <c r="A78" s="95"/>
    </row>
    <row r="79" spans="1:1" s="100" customFormat="1" x14ac:dyDescent="0.2">
      <c r="A79" s="95"/>
    </row>
    <row r="80" spans="1:1" s="100" customFormat="1" x14ac:dyDescent="0.2">
      <c r="A80" s="95"/>
    </row>
    <row r="81" spans="1:1" s="100" customFormat="1" x14ac:dyDescent="0.2">
      <c r="A81" s="95"/>
    </row>
    <row r="82" spans="1:1" s="100" customFormat="1" x14ac:dyDescent="0.2">
      <c r="A82" s="95"/>
    </row>
    <row r="83" spans="1:1" s="100" customFormat="1" x14ac:dyDescent="0.2">
      <c r="A83" s="95"/>
    </row>
    <row r="84" spans="1:1" s="100" customFormat="1" x14ac:dyDescent="0.2">
      <c r="A84" s="95"/>
    </row>
    <row r="85" spans="1:1" s="100" customFormat="1" x14ac:dyDescent="0.2">
      <c r="A85" s="95"/>
    </row>
    <row r="86" spans="1:1" s="100" customFormat="1" x14ac:dyDescent="0.2">
      <c r="A86" s="95"/>
    </row>
    <row r="87" spans="1:1" s="100" customFormat="1" x14ac:dyDescent="0.2">
      <c r="A87" s="95"/>
    </row>
    <row r="88" spans="1:1" s="100" customFormat="1" x14ac:dyDescent="0.2">
      <c r="A88" s="95"/>
    </row>
    <row r="89" spans="1:1" s="100" customFormat="1" x14ac:dyDescent="0.2">
      <c r="A89" s="95"/>
    </row>
    <row r="90" spans="1:1" s="100" customFormat="1" x14ac:dyDescent="0.2">
      <c r="A90" s="95"/>
    </row>
    <row r="91" spans="1:1" s="100" customFormat="1" x14ac:dyDescent="0.2">
      <c r="A91" s="95"/>
    </row>
    <row r="92" spans="1:1" s="100" customFormat="1" x14ac:dyDescent="0.2">
      <c r="A92" s="95"/>
    </row>
    <row r="93" spans="1:1" s="100" customFormat="1" x14ac:dyDescent="0.2">
      <c r="A93" s="95"/>
    </row>
    <row r="94" spans="1:1" s="100" customFormat="1" x14ac:dyDescent="0.2">
      <c r="A94" s="95"/>
    </row>
    <row r="95" spans="1:1" s="100" customFormat="1" x14ac:dyDescent="0.2">
      <c r="A95" s="95"/>
    </row>
    <row r="96" spans="1:1" s="100" customFormat="1" x14ac:dyDescent="0.2">
      <c r="A96" s="95"/>
    </row>
    <row r="97" spans="1:1" s="100" customFormat="1" x14ac:dyDescent="0.2">
      <c r="A97" s="95"/>
    </row>
    <row r="98" spans="1:1" s="100" customFormat="1" x14ac:dyDescent="0.2">
      <c r="A98" s="95"/>
    </row>
    <row r="99" spans="1:1" s="100" customFormat="1" x14ac:dyDescent="0.2">
      <c r="A99" s="95"/>
    </row>
    <row r="100" spans="1:1" s="100" customFormat="1" x14ac:dyDescent="0.2">
      <c r="A100" s="95"/>
    </row>
    <row r="101" spans="1:1" s="100" customFormat="1" x14ac:dyDescent="0.2">
      <c r="A101" s="95"/>
    </row>
    <row r="102" spans="1:1" s="100" customFormat="1" x14ac:dyDescent="0.2">
      <c r="A102" s="95"/>
    </row>
    <row r="103" spans="1:1" s="100" customFormat="1" x14ac:dyDescent="0.2">
      <c r="A103" s="95"/>
    </row>
    <row r="104" spans="1:1" s="100" customFormat="1" x14ac:dyDescent="0.2">
      <c r="A104" s="95"/>
    </row>
    <row r="105" spans="1:1" s="100" customFormat="1" x14ac:dyDescent="0.2">
      <c r="A105" s="95"/>
    </row>
    <row r="106" spans="1:1" s="100" customFormat="1" x14ac:dyDescent="0.2">
      <c r="A106" s="95"/>
    </row>
    <row r="107" spans="1:1" s="100" customFormat="1" x14ac:dyDescent="0.2">
      <c r="A107" s="95"/>
    </row>
    <row r="108" spans="1:1" s="100" customFormat="1" x14ac:dyDescent="0.2">
      <c r="A108" s="95"/>
    </row>
    <row r="109" spans="1:1" s="100" customFormat="1" x14ac:dyDescent="0.2">
      <c r="A109" s="95"/>
    </row>
    <row r="110" spans="1:1" s="100" customFormat="1" x14ac:dyDescent="0.2">
      <c r="A110" s="95"/>
    </row>
    <row r="111" spans="1:1" s="100" customFormat="1" x14ac:dyDescent="0.2">
      <c r="A111" s="95"/>
    </row>
    <row r="112" spans="1:1" s="100" customFormat="1" x14ac:dyDescent="0.2">
      <c r="A112" s="95"/>
    </row>
    <row r="113" spans="1:1" s="100" customFormat="1" x14ac:dyDescent="0.2">
      <c r="A113" s="95"/>
    </row>
    <row r="114" spans="1:1" s="100" customFormat="1" x14ac:dyDescent="0.2">
      <c r="A114" s="95"/>
    </row>
    <row r="115" spans="1:1" s="100" customFormat="1" x14ac:dyDescent="0.2">
      <c r="A115" s="95"/>
    </row>
    <row r="116" spans="1:1" s="100" customFormat="1" x14ac:dyDescent="0.2">
      <c r="A116" s="95"/>
    </row>
    <row r="117" spans="1:1" s="100" customFormat="1" x14ac:dyDescent="0.2">
      <c r="A117" s="95"/>
    </row>
    <row r="118" spans="1:1" s="100" customFormat="1" x14ac:dyDescent="0.2">
      <c r="A118" s="95"/>
    </row>
    <row r="119" spans="1:1" s="100" customFormat="1" x14ac:dyDescent="0.2">
      <c r="A119" s="95"/>
    </row>
    <row r="120" spans="1:1" s="100" customFormat="1" x14ac:dyDescent="0.2">
      <c r="A120" s="95"/>
    </row>
    <row r="121" spans="1:1" s="100" customFormat="1" x14ac:dyDescent="0.2">
      <c r="A121" s="95"/>
    </row>
    <row r="122" spans="1:1" s="100" customFormat="1" x14ac:dyDescent="0.2">
      <c r="A122" s="95"/>
    </row>
    <row r="123" spans="1:1" s="100" customFormat="1" x14ac:dyDescent="0.2">
      <c r="A123" s="95"/>
    </row>
    <row r="124" spans="1:1" s="100" customFormat="1" x14ac:dyDescent="0.2">
      <c r="A124" s="95"/>
    </row>
    <row r="125" spans="1:1" s="100" customFormat="1" x14ac:dyDescent="0.2">
      <c r="A125" s="95"/>
    </row>
    <row r="126" spans="1:1" s="100" customFormat="1" x14ac:dyDescent="0.2">
      <c r="A126" s="95"/>
    </row>
    <row r="127" spans="1:1" s="100" customFormat="1" x14ac:dyDescent="0.2">
      <c r="A127" s="95"/>
    </row>
    <row r="128" spans="1:1" s="100" customFormat="1" x14ac:dyDescent="0.2">
      <c r="A128" s="95"/>
    </row>
    <row r="129" spans="1:1" s="100" customFormat="1" x14ac:dyDescent="0.2">
      <c r="A129" s="95"/>
    </row>
    <row r="130" spans="1:1" s="100" customFormat="1" x14ac:dyDescent="0.2">
      <c r="A130" s="95"/>
    </row>
    <row r="131" spans="1:1" s="100" customFormat="1" x14ac:dyDescent="0.2">
      <c r="A131" s="95"/>
    </row>
    <row r="132" spans="1:1" s="100" customFormat="1" x14ac:dyDescent="0.2">
      <c r="A132" s="95"/>
    </row>
    <row r="133" spans="1:1" s="100" customFormat="1" x14ac:dyDescent="0.2">
      <c r="A133" s="95"/>
    </row>
    <row r="134" spans="1:1" s="100" customFormat="1" x14ac:dyDescent="0.2">
      <c r="A134" s="95"/>
    </row>
    <row r="135" spans="1:1" s="100" customFormat="1" x14ac:dyDescent="0.2">
      <c r="A135" s="95"/>
    </row>
    <row r="136" spans="1:1" s="100" customFormat="1" x14ac:dyDescent="0.2">
      <c r="A136" s="95"/>
    </row>
    <row r="137" spans="1:1" s="100" customFormat="1" x14ac:dyDescent="0.2">
      <c r="A137" s="95"/>
    </row>
    <row r="138" spans="1:1" s="100" customFormat="1" x14ac:dyDescent="0.2">
      <c r="A138" s="95"/>
    </row>
    <row r="139" spans="1:1" s="100" customFormat="1" x14ac:dyDescent="0.2">
      <c r="A139" s="95"/>
    </row>
    <row r="140" spans="1:1" s="100" customFormat="1" x14ac:dyDescent="0.2">
      <c r="A140" s="95"/>
    </row>
    <row r="141" spans="1:1" s="100" customFormat="1" x14ac:dyDescent="0.2">
      <c r="A141" s="95"/>
    </row>
    <row r="142" spans="1:1" s="100" customFormat="1" x14ac:dyDescent="0.2">
      <c r="A142" s="95"/>
    </row>
    <row r="143" spans="1:1" s="100" customFormat="1" x14ac:dyDescent="0.2">
      <c r="A143" s="95"/>
    </row>
    <row r="144" spans="1:1" s="100" customFormat="1" x14ac:dyDescent="0.2">
      <c r="A144" s="95"/>
    </row>
    <row r="145" spans="1:1" s="100" customFormat="1" x14ac:dyDescent="0.2">
      <c r="A145" s="95"/>
    </row>
    <row r="146" spans="1:1" s="100" customFormat="1" x14ac:dyDescent="0.2">
      <c r="A146" s="95"/>
    </row>
    <row r="147" spans="1:1" s="100" customFormat="1" x14ac:dyDescent="0.2">
      <c r="A147" s="95"/>
    </row>
    <row r="148" spans="1:1" s="100" customFormat="1" x14ac:dyDescent="0.2">
      <c r="A148" s="95"/>
    </row>
    <row r="149" spans="1:1" s="100" customFormat="1" x14ac:dyDescent="0.2">
      <c r="A149" s="95"/>
    </row>
    <row r="150" spans="1:1" s="100" customFormat="1" x14ac:dyDescent="0.2">
      <c r="A150" s="95"/>
    </row>
    <row r="151" spans="1:1" s="100" customFormat="1" x14ac:dyDescent="0.2">
      <c r="A151" s="95"/>
    </row>
    <row r="152" spans="1:1" s="100" customFormat="1" x14ac:dyDescent="0.2">
      <c r="A152" s="95"/>
    </row>
    <row r="153" spans="1:1" s="100" customFormat="1" x14ac:dyDescent="0.2">
      <c r="A153" s="95"/>
    </row>
    <row r="154" spans="1:1" s="100" customFormat="1" x14ac:dyDescent="0.2">
      <c r="A154" s="95"/>
    </row>
    <row r="155" spans="1:1" s="100" customFormat="1" x14ac:dyDescent="0.2">
      <c r="A155" s="95"/>
    </row>
    <row r="156" spans="1:1" s="100" customFormat="1" x14ac:dyDescent="0.2">
      <c r="A156" s="95"/>
    </row>
    <row r="157" spans="1:1" s="100" customFormat="1" x14ac:dyDescent="0.2">
      <c r="A157" s="95"/>
    </row>
    <row r="158" spans="1:1" s="100" customFormat="1" x14ac:dyDescent="0.2">
      <c r="A158" s="95"/>
    </row>
    <row r="159" spans="1:1" s="100" customFormat="1" x14ac:dyDescent="0.2">
      <c r="A159" s="95"/>
    </row>
    <row r="160" spans="1:1" s="100" customFormat="1" x14ac:dyDescent="0.2">
      <c r="A160" s="95"/>
    </row>
    <row r="161" spans="1:1" s="100" customFormat="1" x14ac:dyDescent="0.2">
      <c r="A161" s="95"/>
    </row>
    <row r="162" spans="1:1" s="100" customFormat="1" x14ac:dyDescent="0.2">
      <c r="A162" s="95"/>
    </row>
    <row r="163" spans="1:1" s="100" customFormat="1" x14ac:dyDescent="0.2">
      <c r="A163" s="95"/>
    </row>
    <row r="164" spans="1:1" s="100" customFormat="1" x14ac:dyDescent="0.2">
      <c r="A164" s="95"/>
    </row>
    <row r="165" spans="1:1" s="100" customFormat="1" x14ac:dyDescent="0.2">
      <c r="A165" s="95"/>
    </row>
    <row r="166" spans="1:1" s="100" customFormat="1" x14ac:dyDescent="0.2">
      <c r="A166" s="95"/>
    </row>
    <row r="167" spans="1:1" s="100" customFormat="1" x14ac:dyDescent="0.2">
      <c r="A167" s="95"/>
    </row>
    <row r="168" spans="1:1" s="100" customFormat="1" x14ac:dyDescent="0.2">
      <c r="A168" s="95"/>
    </row>
    <row r="169" spans="1:1" s="100" customFormat="1" x14ac:dyDescent="0.2">
      <c r="A169" s="95"/>
    </row>
    <row r="170" spans="1:1" s="100" customFormat="1" x14ac:dyDescent="0.2">
      <c r="A170" s="95"/>
    </row>
    <row r="171" spans="1:1" s="100" customFormat="1" x14ac:dyDescent="0.2">
      <c r="A171" s="95"/>
    </row>
    <row r="172" spans="1:1" s="100" customFormat="1" x14ac:dyDescent="0.2">
      <c r="A172" s="95"/>
    </row>
    <row r="173" spans="1:1" s="100" customFormat="1" x14ac:dyDescent="0.2">
      <c r="A173" s="95"/>
    </row>
    <row r="174" spans="1:1" s="100" customFormat="1" x14ac:dyDescent="0.2">
      <c r="A174" s="95"/>
    </row>
    <row r="175" spans="1:1" s="100" customFormat="1" x14ac:dyDescent="0.2">
      <c r="A175" s="95"/>
    </row>
    <row r="176" spans="1:1" s="100" customFormat="1" x14ac:dyDescent="0.2">
      <c r="A176" s="95"/>
    </row>
    <row r="177" spans="1:1" s="100" customFormat="1" x14ac:dyDescent="0.2">
      <c r="A177" s="95"/>
    </row>
    <row r="178" spans="1:1" s="100" customFormat="1" x14ac:dyDescent="0.2">
      <c r="A178" s="95"/>
    </row>
    <row r="179" spans="1:1" s="100" customFormat="1" x14ac:dyDescent="0.2">
      <c r="A179" s="95"/>
    </row>
    <row r="180" spans="1:1" s="100" customFormat="1" x14ac:dyDescent="0.2">
      <c r="A180" s="95"/>
    </row>
    <row r="181" spans="1:1" s="100" customFormat="1" x14ac:dyDescent="0.2">
      <c r="A181" s="95"/>
    </row>
    <row r="182" spans="1:1" s="100" customFormat="1" x14ac:dyDescent="0.2">
      <c r="A182" s="95"/>
    </row>
    <row r="183" spans="1:1" s="100" customFormat="1" x14ac:dyDescent="0.2">
      <c r="A183" s="95"/>
    </row>
    <row r="184" spans="1:1" s="100" customFormat="1" x14ac:dyDescent="0.2">
      <c r="A184" s="95"/>
    </row>
    <row r="185" spans="1:1" s="100" customFormat="1" x14ac:dyDescent="0.2">
      <c r="A185" s="95"/>
    </row>
    <row r="186" spans="1:1" s="100" customFormat="1" x14ac:dyDescent="0.2">
      <c r="A186" s="95"/>
    </row>
    <row r="187" spans="1:1" s="100" customFormat="1" x14ac:dyDescent="0.2">
      <c r="A187" s="95"/>
    </row>
    <row r="188" spans="1:1" s="100" customFormat="1" x14ac:dyDescent="0.2">
      <c r="A188" s="95"/>
    </row>
    <row r="189" spans="1:1" s="100" customFormat="1" x14ac:dyDescent="0.2">
      <c r="A189" s="95"/>
    </row>
    <row r="190" spans="1:1" s="100" customFormat="1" x14ac:dyDescent="0.2">
      <c r="A190" s="95"/>
    </row>
    <row r="191" spans="1:1" s="100" customFormat="1" x14ac:dyDescent="0.2">
      <c r="A191" s="95"/>
    </row>
    <row r="192" spans="1:1" s="100" customFormat="1" x14ac:dyDescent="0.2">
      <c r="A192" s="95"/>
    </row>
    <row r="193" spans="1:1" s="100" customFormat="1" x14ac:dyDescent="0.2">
      <c r="A193" s="95"/>
    </row>
    <row r="194" spans="1:1" s="100" customFormat="1" x14ac:dyDescent="0.2">
      <c r="A194" s="95"/>
    </row>
    <row r="195" spans="1:1" s="100" customFormat="1" x14ac:dyDescent="0.2">
      <c r="A195" s="95"/>
    </row>
    <row r="196" spans="1:1" s="100" customFormat="1" x14ac:dyDescent="0.2">
      <c r="A196" s="95"/>
    </row>
    <row r="197" spans="1:1" s="100" customFormat="1" x14ac:dyDescent="0.2">
      <c r="A197" s="95"/>
    </row>
    <row r="198" spans="1:1" s="100" customFormat="1" x14ac:dyDescent="0.2">
      <c r="A198" s="95"/>
    </row>
    <row r="199" spans="1:1" s="100" customFormat="1" x14ac:dyDescent="0.2">
      <c r="A199" s="95"/>
    </row>
    <row r="200" spans="1:1" s="100" customFormat="1" x14ac:dyDescent="0.2">
      <c r="A200" s="95"/>
    </row>
    <row r="201" spans="1:1" s="100" customFormat="1" x14ac:dyDescent="0.2">
      <c r="A201" s="95"/>
    </row>
    <row r="202" spans="1:1" s="100" customFormat="1" x14ac:dyDescent="0.2">
      <c r="A202" s="95"/>
    </row>
    <row r="203" spans="1:1" s="100" customFormat="1" x14ac:dyDescent="0.2">
      <c r="A203" s="95"/>
    </row>
    <row r="204" spans="1:1" s="100" customFormat="1" x14ac:dyDescent="0.2">
      <c r="A204" s="95"/>
    </row>
    <row r="205" spans="1:1" s="100" customFormat="1" x14ac:dyDescent="0.2">
      <c r="A205" s="95"/>
    </row>
    <row r="206" spans="1:1" s="100" customFormat="1" x14ac:dyDescent="0.2">
      <c r="A206" s="95"/>
    </row>
    <row r="207" spans="1:1" s="100" customFormat="1" x14ac:dyDescent="0.2">
      <c r="A207" s="95"/>
    </row>
    <row r="208" spans="1:1" s="100" customFormat="1" x14ac:dyDescent="0.2">
      <c r="A208" s="95"/>
    </row>
    <row r="209" spans="1:1" s="100" customFormat="1" x14ac:dyDescent="0.2">
      <c r="A209" s="95"/>
    </row>
    <row r="210" spans="1:1" s="100" customFormat="1" x14ac:dyDescent="0.2">
      <c r="A210" s="95"/>
    </row>
    <row r="211" spans="1:1" s="100" customFormat="1" x14ac:dyDescent="0.2">
      <c r="A211" s="95"/>
    </row>
    <row r="212" spans="1:1" s="100" customFormat="1" x14ac:dyDescent="0.2">
      <c r="A212" s="95"/>
    </row>
    <row r="213" spans="1:1" s="100" customFormat="1" x14ac:dyDescent="0.2">
      <c r="A213" s="95"/>
    </row>
    <row r="214" spans="1:1" s="100" customFormat="1" x14ac:dyDescent="0.2">
      <c r="A214" s="95"/>
    </row>
    <row r="215" spans="1:1" s="100" customFormat="1" x14ac:dyDescent="0.2">
      <c r="A215" s="95"/>
    </row>
    <row r="216" spans="1:1" s="100" customFormat="1" x14ac:dyDescent="0.2">
      <c r="A216" s="95"/>
    </row>
    <row r="217" spans="1:1" s="100" customFormat="1" x14ac:dyDescent="0.2">
      <c r="A217" s="95"/>
    </row>
    <row r="218" spans="1:1" s="100" customFormat="1" x14ac:dyDescent="0.2">
      <c r="A218" s="95"/>
    </row>
  </sheetData>
  <sheetProtection sheet="1" objects="1" scenarios="1"/>
  <mergeCells count="229">
    <mergeCell ref="J1:U2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10" zoomScale="250" zoomScaleNormal="250" zoomScalePageLayoutView="160" workbookViewId="0">
      <selection activeCell="A10" sqref="A10"/>
    </sheetView>
  </sheetViews>
  <sheetFormatPr baseColWidth="10" defaultColWidth="8.83203125" defaultRowHeight="13" x14ac:dyDescent="0.15"/>
  <cols>
    <col min="1" max="1" width="32.1640625" style="200" bestFit="1" customWidth="1"/>
    <col min="2" max="2" width="22" style="200" bestFit="1" customWidth="1"/>
    <col min="3" max="3" width="16.6640625" style="199" customWidth="1"/>
    <col min="4" max="8" width="8.83203125" style="199"/>
    <col min="9" max="9" width="12.1640625" style="199" customWidth="1"/>
    <col min="10" max="16384" width="8.83203125" style="200"/>
  </cols>
  <sheetData>
    <row r="1" spans="1:9" hidden="1" x14ac:dyDescent="0.15">
      <c r="A1" s="451" t="s">
        <v>141</v>
      </c>
      <c r="B1" s="451"/>
    </row>
    <row r="2" spans="1:9" hidden="1" x14ac:dyDescent="0.15">
      <c r="A2" s="59" t="s">
        <v>143</v>
      </c>
      <c r="B2" s="201">
        <v>420000</v>
      </c>
    </row>
    <row r="3" spans="1:9" hidden="1" x14ac:dyDescent="0.15">
      <c r="A3" s="59" t="s">
        <v>142</v>
      </c>
      <c r="B3" s="202">
        <v>0.25</v>
      </c>
    </row>
    <row r="4" spans="1:9" hidden="1" x14ac:dyDescent="0.15">
      <c r="A4" s="59" t="s">
        <v>144</v>
      </c>
      <c r="B4" s="203">
        <f>B2*B3</f>
        <v>105000</v>
      </c>
    </row>
    <row r="5" spans="1:9" hidden="1" x14ac:dyDescent="0.15">
      <c r="A5" s="59" t="s">
        <v>145</v>
      </c>
      <c r="B5" s="204">
        <v>100</v>
      </c>
    </row>
    <row r="6" spans="1:9" hidden="1" x14ac:dyDescent="0.15">
      <c r="A6" s="59" t="s">
        <v>132</v>
      </c>
      <c r="B6" s="204">
        <f>B4/B5</f>
        <v>1050</v>
      </c>
    </row>
    <row r="7" spans="1:9" hidden="1" x14ac:dyDescent="0.15">
      <c r="A7" s="59"/>
      <c r="B7" s="204"/>
    </row>
    <row r="8" spans="1:9" hidden="1" x14ac:dyDescent="0.15">
      <c r="A8" s="199"/>
      <c r="B8" s="204"/>
    </row>
    <row r="9" spans="1:9" ht="14" x14ac:dyDescent="0.15">
      <c r="A9" s="454" t="s">
        <v>135</v>
      </c>
      <c r="B9" s="454"/>
    </row>
    <row r="10" spans="1:9" ht="14" x14ac:dyDescent="0.15">
      <c r="A10" s="205" t="s">
        <v>139</v>
      </c>
      <c r="B10" s="206">
        <v>4700</v>
      </c>
      <c r="D10" s="453" t="s">
        <v>146</v>
      </c>
      <c r="E10" s="453"/>
      <c r="F10" s="453"/>
      <c r="G10" s="453"/>
      <c r="H10" s="453"/>
      <c r="I10" s="453"/>
    </row>
    <row r="11" spans="1:9" ht="14" x14ac:dyDescent="0.15">
      <c r="A11" s="207" t="s">
        <v>132</v>
      </c>
      <c r="B11" s="207" t="s">
        <v>133</v>
      </c>
    </row>
    <row r="12" spans="1:9" x14ac:dyDescent="0.15">
      <c r="A12" s="208">
        <f>0.5*B10</f>
        <v>2350</v>
      </c>
      <c r="B12" s="209">
        <v>500</v>
      </c>
      <c r="D12" s="453" t="s">
        <v>147</v>
      </c>
      <c r="E12" s="453"/>
      <c r="F12" s="453"/>
      <c r="G12" s="453"/>
      <c r="H12" s="453"/>
      <c r="I12" s="453"/>
    </row>
    <row r="13" spans="1:9" x14ac:dyDescent="0.15">
      <c r="A13" s="210">
        <v>0</v>
      </c>
      <c r="B13" s="211"/>
      <c r="D13" s="453"/>
      <c r="E13" s="453"/>
      <c r="F13" s="453"/>
      <c r="G13" s="453"/>
      <c r="H13" s="453"/>
      <c r="I13" s="453"/>
    </row>
    <row r="14" spans="1:9" x14ac:dyDescent="0.15">
      <c r="A14" s="212">
        <v>0</v>
      </c>
      <c r="B14" s="213"/>
      <c r="D14" s="453"/>
      <c r="E14" s="453"/>
      <c r="F14" s="453"/>
      <c r="G14" s="453"/>
      <c r="H14" s="453"/>
      <c r="I14" s="453"/>
    </row>
    <row r="15" spans="1:9" ht="28" x14ac:dyDescent="0.15">
      <c r="A15" s="214" t="s">
        <v>131</v>
      </c>
      <c r="B15" s="215" t="s">
        <v>134</v>
      </c>
    </row>
    <row r="16" spans="1:9" x14ac:dyDescent="0.15">
      <c r="A16" s="216">
        <f>B10-(SUM('Peanut Price Calculator'!A12:A14))</f>
        <v>2350</v>
      </c>
      <c r="B16" s="217">
        <v>450</v>
      </c>
      <c r="D16" s="453" t="s">
        <v>148</v>
      </c>
      <c r="E16" s="453"/>
      <c r="F16" s="453"/>
      <c r="G16" s="453"/>
      <c r="H16" s="453"/>
      <c r="I16" s="453"/>
    </row>
    <row r="17" spans="1:9" ht="14" x14ac:dyDescent="0.15">
      <c r="A17" s="218" t="s">
        <v>137</v>
      </c>
      <c r="B17" s="219">
        <f>(A12/(SUM(A12:A14,A16:A16))*B12+A13/(SUM(A12:A14,A16:A16))*B13+A14/(SUM(A12:A14,A16:A16))*B14+A16/(SUM(A12:A14,A16:A16))*B16)</f>
        <v>475</v>
      </c>
    </row>
    <row r="18" spans="1:9" x14ac:dyDescent="0.15">
      <c r="A18" s="220"/>
      <c r="B18" s="221"/>
    </row>
    <row r="19" spans="1:9" s="199" customFormat="1" x14ac:dyDescent="0.15"/>
    <row r="20" spans="1:9" s="199" customFormat="1" x14ac:dyDescent="0.15">
      <c r="A20" s="452" t="s">
        <v>138</v>
      </c>
      <c r="B20" s="452"/>
    </row>
    <row r="21" spans="1:9" s="199" customFormat="1" ht="14" x14ac:dyDescent="0.15">
      <c r="A21" s="205" t="s">
        <v>140</v>
      </c>
      <c r="B21" s="222">
        <v>3400</v>
      </c>
      <c r="D21" s="453" t="s">
        <v>149</v>
      </c>
      <c r="E21" s="453"/>
      <c r="F21" s="453"/>
      <c r="G21" s="453"/>
      <c r="H21" s="453"/>
      <c r="I21" s="453"/>
    </row>
    <row r="22" spans="1:9" s="199" customFormat="1" ht="14" x14ac:dyDescent="0.15">
      <c r="A22" s="207" t="s">
        <v>132</v>
      </c>
      <c r="B22" s="207" t="s">
        <v>133</v>
      </c>
    </row>
    <row r="23" spans="1:9" s="199" customFormat="1" x14ac:dyDescent="0.15">
      <c r="A23" s="223">
        <f>0.5*B21</f>
        <v>1700</v>
      </c>
      <c r="B23" s="224">
        <f>B12</f>
        <v>500</v>
      </c>
      <c r="D23" s="453" t="s">
        <v>150</v>
      </c>
      <c r="E23" s="453"/>
      <c r="F23" s="453"/>
      <c r="G23" s="453"/>
      <c r="H23" s="453"/>
      <c r="I23" s="453"/>
    </row>
    <row r="24" spans="1:9" s="199" customFormat="1" x14ac:dyDescent="0.15">
      <c r="A24" s="225">
        <v>0</v>
      </c>
      <c r="B24" s="226"/>
      <c r="D24" s="453"/>
      <c r="E24" s="453"/>
      <c r="F24" s="453"/>
      <c r="G24" s="453"/>
      <c r="H24" s="453"/>
      <c r="I24" s="453"/>
    </row>
    <row r="25" spans="1:9" s="199" customFormat="1" x14ac:dyDescent="0.15">
      <c r="A25" s="227">
        <v>0</v>
      </c>
      <c r="B25" s="228"/>
      <c r="D25" s="453"/>
      <c r="E25" s="453"/>
      <c r="F25" s="453"/>
      <c r="G25" s="453"/>
      <c r="H25" s="453"/>
      <c r="I25" s="453"/>
    </row>
    <row r="26" spans="1:9" s="199" customFormat="1" ht="28" x14ac:dyDescent="0.15">
      <c r="A26" s="214" t="s">
        <v>131</v>
      </c>
      <c r="B26" s="215" t="s">
        <v>134</v>
      </c>
    </row>
    <row r="27" spans="1:9" s="199" customFormat="1" ht="15.75" customHeight="1" x14ac:dyDescent="0.15">
      <c r="A27" s="216">
        <f>B21-(SUM('Peanut Price Calculator'!A23:A25))</f>
        <v>1700</v>
      </c>
      <c r="B27" s="229">
        <v>450</v>
      </c>
      <c r="D27" s="450" t="s">
        <v>151</v>
      </c>
      <c r="E27" s="450"/>
      <c r="F27" s="450"/>
      <c r="G27" s="450"/>
      <c r="H27" s="450"/>
      <c r="I27" s="450"/>
    </row>
    <row r="28" spans="1:9" s="199" customFormat="1" ht="14" x14ac:dyDescent="0.15">
      <c r="A28" s="218" t="s">
        <v>136</v>
      </c>
      <c r="B28" s="219">
        <f>(A23/(SUM(A23:A25,A27:A27))*B23+A24/(SUM(A23:A25,A27:A27))*B24+A25/(SUM(A23:A25,A27:A27))*B25+A27/(SUM(A23:A25,A27:A27))*B27)</f>
        <v>475</v>
      </c>
      <c r="D28" s="450"/>
      <c r="E28" s="450"/>
      <c r="F28" s="450"/>
      <c r="G28" s="450"/>
      <c r="H28" s="450"/>
      <c r="I28" s="450"/>
    </row>
    <row r="29" spans="1:9" s="199" customFormat="1" x14ac:dyDescent="0.15"/>
    <row r="30" spans="1:9" s="199" customFormat="1" x14ac:dyDescent="0.15"/>
    <row r="31" spans="1:9" s="199" customFormat="1" x14ac:dyDescent="0.15"/>
    <row r="32" spans="1:9" s="199" customFormat="1" x14ac:dyDescent="0.15"/>
    <row r="33" s="199" customFormat="1" x14ac:dyDescent="0.15"/>
    <row r="34" s="199" customFormat="1" x14ac:dyDescent="0.15"/>
    <row r="35" s="199" customFormat="1" x14ac:dyDescent="0.15"/>
    <row r="36" s="199" customFormat="1" x14ac:dyDescent="0.15"/>
    <row r="37" s="199" customFormat="1" x14ac:dyDescent="0.15"/>
    <row r="38" s="199" customFormat="1" x14ac:dyDescent="0.15"/>
    <row r="39" s="199" customFormat="1" x14ac:dyDescent="0.15"/>
    <row r="40" s="199" customFormat="1" x14ac:dyDescent="0.15"/>
    <row r="41" s="199" customFormat="1" x14ac:dyDescent="0.15"/>
    <row r="42" s="199" customFormat="1" x14ac:dyDescent="0.15"/>
    <row r="43" s="199" customFormat="1" x14ac:dyDescent="0.15"/>
    <row r="44" s="199" customFormat="1" x14ac:dyDescent="0.15"/>
    <row r="45" s="199" customFormat="1" x14ac:dyDescent="0.15"/>
    <row r="46" s="199" customFormat="1" x14ac:dyDescent="0.15"/>
    <row r="47" s="199" customFormat="1" x14ac:dyDescent="0.15"/>
    <row r="48" s="199" customFormat="1" x14ac:dyDescent="0.15"/>
    <row r="49" s="199" customFormat="1" x14ac:dyDescent="0.15"/>
    <row r="50" s="199" customFormat="1" x14ac:dyDescent="0.15"/>
    <row r="51" s="199" customFormat="1" x14ac:dyDescent="0.15"/>
    <row r="52" s="199" customFormat="1" x14ac:dyDescent="0.15"/>
    <row r="53" s="199" customFormat="1" x14ac:dyDescent="0.15"/>
    <row r="54" s="199" customFormat="1" x14ac:dyDescent="0.15"/>
    <row r="55" s="199" customFormat="1" x14ac:dyDescent="0.15"/>
    <row r="56" s="199" customFormat="1" x14ac:dyDescent="0.15"/>
    <row r="57" s="199" customFormat="1" x14ac:dyDescent="0.15"/>
    <row r="58" s="199" customFormat="1" x14ac:dyDescent="0.15"/>
    <row r="59" s="199" customFormat="1" x14ac:dyDescent="0.15"/>
    <row r="60" s="199" customFormat="1" x14ac:dyDescent="0.15"/>
    <row r="61" s="199" customFormat="1" x14ac:dyDescent="0.15"/>
    <row r="62" s="199" customFormat="1" x14ac:dyDescent="0.15"/>
    <row r="63" s="199" customFormat="1" x14ac:dyDescent="0.15"/>
    <row r="64" s="199" customFormat="1" x14ac:dyDescent="0.1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Smith, UGA Extension Economist&amp;C&amp;G&amp;RAg and Applied Economics, 11/2021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6"/>
  <sheetViews>
    <sheetView zoomScale="150" zoomScaleNormal="150" zoomScalePageLayoutView="150" workbookViewId="0">
      <selection activeCell="D3" sqref="D3"/>
    </sheetView>
  </sheetViews>
  <sheetFormatPr baseColWidth="10" defaultColWidth="8.83203125" defaultRowHeight="14" x14ac:dyDescent="0.2"/>
  <cols>
    <col min="1" max="1" width="7.33203125" style="101" customWidth="1"/>
    <col min="2" max="2" width="15.6640625" style="101" bestFit="1" customWidth="1"/>
    <col min="3" max="3" width="6.33203125" style="101" customWidth="1"/>
    <col min="4" max="4" width="15.83203125" style="101" bestFit="1" customWidth="1"/>
    <col min="5" max="5" width="6.33203125" style="101" customWidth="1"/>
    <col min="6" max="6" width="14" style="101" bestFit="1" customWidth="1"/>
    <col min="7" max="7" width="7" style="101" customWidth="1"/>
    <col min="8" max="8" width="15.83203125" style="101" bestFit="1" customWidth="1"/>
    <col min="9" max="9" width="8.5" style="101" customWidth="1"/>
    <col min="10" max="21" width="8.83203125" style="177" customWidth="1"/>
    <col min="22" max="16384" width="8.83203125" style="101"/>
  </cols>
  <sheetData>
    <row r="1" spans="1:21" ht="30" customHeight="1" x14ac:dyDescent="0.2">
      <c r="A1" s="455" t="s">
        <v>118</v>
      </c>
      <c r="B1" s="456"/>
      <c r="C1" s="456"/>
      <c r="D1" s="456"/>
      <c r="E1" s="456"/>
      <c r="F1" s="456"/>
      <c r="G1" s="456"/>
      <c r="H1" s="456"/>
      <c r="I1" s="457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 x14ac:dyDescent="0.25">
      <c r="A2" s="458" t="s">
        <v>117</v>
      </c>
      <c r="B2" s="459"/>
      <c r="C2" s="459"/>
      <c r="D2" s="459"/>
      <c r="E2" s="459"/>
      <c r="F2" s="459"/>
      <c r="G2" s="459"/>
      <c r="H2" s="459"/>
      <c r="I2" s="46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 x14ac:dyDescent="0.2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5" thickBot="1" x14ac:dyDescent="0.2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 x14ac:dyDescent="0.2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5" thickBot="1" x14ac:dyDescent="0.2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 x14ac:dyDescent="0.2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 x14ac:dyDescent="0.25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5" customHeight="1" thickBot="1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 x14ac:dyDescent="0.2">
      <c r="A11" s="455" t="s">
        <v>119</v>
      </c>
      <c r="B11" s="456"/>
      <c r="C11" s="456"/>
      <c r="D11" s="456"/>
      <c r="E11" s="456"/>
      <c r="F11" s="456"/>
      <c r="G11" s="456"/>
      <c r="H11" s="456"/>
      <c r="I11" s="457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 x14ac:dyDescent="0.25">
      <c r="A12" s="458" t="s">
        <v>117</v>
      </c>
      <c r="B12" s="459"/>
      <c r="C12" s="459"/>
      <c r="D12" s="459"/>
      <c r="E12" s="459"/>
      <c r="F12" s="459"/>
      <c r="G12" s="459"/>
      <c r="H12" s="459"/>
      <c r="I12" s="46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 x14ac:dyDescent="0.2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5" thickBot="1" x14ac:dyDescent="0.2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 x14ac:dyDescent="0.2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5" thickBot="1" x14ac:dyDescent="0.2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 x14ac:dyDescent="0.2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 x14ac:dyDescent="0.25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 x14ac:dyDescent="0.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 x14ac:dyDescent="0.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 x14ac:dyDescent="0.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x14ac:dyDescent="0.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x14ac:dyDescent="0.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x14ac:dyDescent="0.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x14ac:dyDescent="0.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topLeftCell="A101" zoomScale="120" zoomScaleNormal="120" zoomScaleSheetLayoutView="100" zoomScalePageLayoutView="120" workbookViewId="0">
      <selection activeCell="G131" sqref="G131"/>
    </sheetView>
  </sheetViews>
  <sheetFormatPr baseColWidth="10" defaultColWidth="8.83203125" defaultRowHeight="14" x14ac:dyDescent="0.2"/>
  <cols>
    <col min="1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62" t="s">
        <v>93</v>
      </c>
      <c r="B29" s="462"/>
      <c r="C29" s="462"/>
      <c r="D29" s="462"/>
      <c r="E29" s="462"/>
      <c r="F29" s="462"/>
    </row>
    <row r="30" spans="1:11" x14ac:dyDescent="0.2">
      <c r="A30" s="230" t="s">
        <v>86</v>
      </c>
      <c r="B30" s="461" t="s">
        <v>90</v>
      </c>
      <c r="C30" s="461"/>
      <c r="D30" s="461"/>
      <c r="E30" s="461"/>
      <c r="F30" s="461"/>
      <c r="G30" s="461"/>
      <c r="H30" s="461"/>
      <c r="I30" s="461"/>
      <c r="J30" s="461"/>
      <c r="K30" s="461"/>
    </row>
    <row r="31" spans="1:11" x14ac:dyDescent="0.2">
      <c r="A31" s="230" t="s">
        <v>87</v>
      </c>
      <c r="B31" s="461" t="str">
        <f>CONCATENATE("Irrigated peanut yield is ",Conventional!$D$7," lbs. and irrigated cotton yield is ",Conventional!$B$7," lbs.")</f>
        <v>Irrigated peanut yield is 4700 lbs. and irrigated cotton yield is 1200 lbs.</v>
      </c>
      <c r="C31" s="461"/>
      <c r="D31" s="461"/>
      <c r="E31" s="461"/>
      <c r="F31" s="461"/>
      <c r="G31" s="461"/>
      <c r="H31" s="461"/>
      <c r="I31" s="174"/>
      <c r="J31" s="174"/>
      <c r="K31" s="174"/>
    </row>
    <row r="32" spans="1:11" x14ac:dyDescent="0.2">
      <c r="A32" s="230" t="s">
        <v>88</v>
      </c>
      <c r="B32" s="461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61"/>
      <c r="D32" s="461"/>
      <c r="E32" s="461"/>
      <c r="F32" s="461"/>
      <c r="G32" s="461"/>
      <c r="H32" s="461"/>
      <c r="I32" s="461"/>
      <c r="J32" s="174"/>
      <c r="K32" s="174"/>
    </row>
    <row r="33" spans="1:13" x14ac:dyDescent="0.2">
      <c r="A33" s="230" t="s">
        <v>89</v>
      </c>
      <c r="B33" s="461" t="s">
        <v>104</v>
      </c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</row>
    <row r="63" spans="1:11" x14ac:dyDescent="0.2">
      <c r="A63" s="461" t="s">
        <v>93</v>
      </c>
      <c r="B63" s="461"/>
      <c r="C63" s="461"/>
      <c r="D63" s="461"/>
      <c r="E63" s="461"/>
      <c r="F63" s="461"/>
    </row>
    <row r="64" spans="1:11" x14ac:dyDescent="0.2">
      <c r="A64" s="230" t="s">
        <v>86</v>
      </c>
      <c r="B64" s="461" t="s">
        <v>91</v>
      </c>
      <c r="C64" s="461"/>
      <c r="D64" s="461"/>
      <c r="E64" s="461"/>
      <c r="F64" s="461"/>
      <c r="G64" s="461"/>
      <c r="H64" s="461"/>
      <c r="I64" s="461"/>
      <c r="J64" s="461"/>
      <c r="K64" s="461"/>
    </row>
    <row r="65" spans="1:13" x14ac:dyDescent="0.2">
      <c r="A65" s="230" t="s">
        <v>87</v>
      </c>
      <c r="B65" s="461" t="str">
        <f>CONCATENATE("Irrigated corn yield is ",Conventional!$F$7," bu. and irrigated cotton yield is ",Conventional!$B$7," lbs.")</f>
        <v>Irrigated corn yield is 200 bu. and irrigated cotton yield is 1200 lbs.</v>
      </c>
      <c r="C65" s="461"/>
      <c r="D65" s="461"/>
      <c r="E65" s="461"/>
      <c r="F65" s="461"/>
      <c r="G65" s="461"/>
      <c r="H65" s="461"/>
      <c r="I65" s="174"/>
      <c r="J65" s="174"/>
      <c r="K65" s="174"/>
    </row>
    <row r="66" spans="1:13" x14ac:dyDescent="0.2">
      <c r="A66" s="230" t="s">
        <v>88</v>
      </c>
      <c r="B66" s="461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61"/>
      <c r="D66" s="461"/>
      <c r="E66" s="461"/>
      <c r="F66" s="461"/>
      <c r="G66" s="461"/>
      <c r="H66" s="461"/>
      <c r="I66" s="461"/>
      <c r="J66" s="174"/>
      <c r="K66" s="174"/>
    </row>
    <row r="67" spans="1:13" x14ac:dyDescent="0.2">
      <c r="A67" s="230" t="s">
        <v>89</v>
      </c>
      <c r="B67" s="461" t="s">
        <v>104</v>
      </c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</row>
    <row r="97" spans="1:13" x14ac:dyDescent="0.2">
      <c r="A97" s="461" t="s">
        <v>93</v>
      </c>
      <c r="B97" s="461"/>
      <c r="C97" s="461"/>
      <c r="D97" s="461"/>
      <c r="E97" s="461"/>
      <c r="F97" s="461"/>
    </row>
    <row r="98" spans="1:13" x14ac:dyDescent="0.2">
      <c r="A98" s="230" t="s">
        <v>86</v>
      </c>
      <c r="B98" s="461" t="s">
        <v>92</v>
      </c>
      <c r="C98" s="461"/>
      <c r="D98" s="461"/>
      <c r="E98" s="461"/>
      <c r="F98" s="461"/>
      <c r="G98" s="461"/>
      <c r="H98" s="461"/>
      <c r="I98" s="461"/>
      <c r="J98" s="461"/>
      <c r="K98" s="461"/>
      <c r="L98" s="461"/>
    </row>
    <row r="99" spans="1:13" x14ac:dyDescent="0.2">
      <c r="A99" s="230" t="s">
        <v>87</v>
      </c>
      <c r="B99" s="461" t="str">
        <f>CONCATENATE("Irrigated soybean yield is ",Conventional!$H$7," bu. and irrigated cotton yield is ",Conventional!$B$7," lbs.")</f>
        <v>Irrigated soybean yield is 60 bu. and irrigated cotton yield is 1200 lbs.</v>
      </c>
      <c r="C99" s="461"/>
      <c r="D99" s="461"/>
      <c r="E99" s="461"/>
      <c r="F99" s="461"/>
      <c r="G99" s="461"/>
      <c r="H99" s="461"/>
      <c r="I99" s="174"/>
      <c r="J99" s="174"/>
      <c r="K99" s="174"/>
    </row>
    <row r="100" spans="1:13" x14ac:dyDescent="0.2">
      <c r="A100" s="230" t="s">
        <v>88</v>
      </c>
      <c r="B100" s="461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61"/>
      <c r="D100" s="461"/>
      <c r="E100" s="461"/>
      <c r="F100" s="461"/>
      <c r="G100" s="461"/>
      <c r="H100" s="461"/>
      <c r="I100" s="461"/>
      <c r="J100" s="174"/>
      <c r="K100" s="174"/>
    </row>
    <row r="101" spans="1:13" x14ac:dyDescent="0.2">
      <c r="A101" s="230" t="s">
        <v>89</v>
      </c>
      <c r="B101" s="461" t="s">
        <v>104</v>
      </c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</row>
    <row r="131" spans="1:13" x14ac:dyDescent="0.2">
      <c r="A131" s="462" t="s">
        <v>93</v>
      </c>
      <c r="B131" s="462"/>
      <c r="C131" s="462"/>
      <c r="D131" s="462"/>
      <c r="E131" s="462"/>
      <c r="F131" s="462"/>
    </row>
    <row r="132" spans="1:13" x14ac:dyDescent="0.2">
      <c r="A132" s="230" t="s">
        <v>86</v>
      </c>
      <c r="B132" s="461" t="s">
        <v>94</v>
      </c>
      <c r="C132" s="461"/>
      <c r="D132" s="461"/>
      <c r="E132" s="461"/>
      <c r="F132" s="461"/>
      <c r="G132" s="461"/>
      <c r="H132" s="461"/>
      <c r="I132" s="461"/>
      <c r="J132" s="461"/>
      <c r="K132" s="461"/>
    </row>
    <row r="133" spans="1:13" x14ac:dyDescent="0.2">
      <c r="A133" s="230" t="s">
        <v>87</v>
      </c>
      <c r="B133" s="461" t="str">
        <f>CONCATENATE("Irrigated cotton yield is ",Conventional!$B$7," lbs. and irrigated peanut yield is ",Conventional!$D$7," lbs.")</f>
        <v>Irrigated cotton yield is 1200 lbs. and irrigated peanut yield is 4700 lbs.</v>
      </c>
      <c r="C133" s="461"/>
      <c r="D133" s="461"/>
      <c r="E133" s="461"/>
      <c r="F133" s="461"/>
      <c r="G133" s="461"/>
      <c r="H133" s="461"/>
      <c r="I133" s="174"/>
      <c r="J133" s="174"/>
      <c r="K133" s="174"/>
    </row>
    <row r="134" spans="1:13" x14ac:dyDescent="0.2">
      <c r="A134" s="230" t="s">
        <v>88</v>
      </c>
      <c r="B134" s="461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61"/>
      <c r="D134" s="461"/>
      <c r="E134" s="461"/>
      <c r="F134" s="461"/>
      <c r="G134" s="461"/>
      <c r="H134" s="461"/>
      <c r="I134" s="461"/>
      <c r="J134" s="174"/>
      <c r="K134" s="174"/>
    </row>
    <row r="135" spans="1:13" x14ac:dyDescent="0.2">
      <c r="A135" s="230" t="s">
        <v>89</v>
      </c>
      <c r="B135" s="461" t="s">
        <v>104</v>
      </c>
      <c r="C135" s="461"/>
      <c r="D135" s="461"/>
      <c r="E135" s="461"/>
      <c r="F135" s="461"/>
      <c r="G135" s="461"/>
      <c r="H135" s="461"/>
      <c r="I135" s="461"/>
      <c r="J135" s="461"/>
      <c r="K135" s="461"/>
      <c r="L135" s="461"/>
      <c r="M135" s="461"/>
    </row>
    <row r="165" spans="1:13" x14ac:dyDescent="0.2">
      <c r="A165" s="461" t="s">
        <v>93</v>
      </c>
      <c r="B165" s="461"/>
      <c r="C165" s="461"/>
      <c r="D165" s="461"/>
      <c r="E165" s="461"/>
      <c r="F165" s="461"/>
    </row>
    <row r="166" spans="1:13" x14ac:dyDescent="0.2">
      <c r="A166" s="230" t="s">
        <v>86</v>
      </c>
      <c r="B166" s="461" t="s">
        <v>95</v>
      </c>
      <c r="C166" s="461"/>
      <c r="D166" s="461"/>
      <c r="E166" s="461"/>
      <c r="F166" s="461"/>
      <c r="G166" s="461"/>
      <c r="H166" s="461"/>
      <c r="I166" s="461"/>
      <c r="J166" s="461"/>
      <c r="K166" s="461"/>
    </row>
    <row r="167" spans="1:13" x14ac:dyDescent="0.2">
      <c r="A167" s="230" t="s">
        <v>87</v>
      </c>
      <c r="B167" s="461" t="str">
        <f>CONCATENATE("Irrigated corn yield is ",Conventional!$F$7," bu. and irrigated peanut yield is ",Conventional!$D$7," lbs.")</f>
        <v>Irrigated corn yield is 200 bu. and irrigated peanut yield is 4700 lbs.</v>
      </c>
      <c r="C167" s="461"/>
      <c r="D167" s="461"/>
      <c r="E167" s="461"/>
      <c r="F167" s="461"/>
      <c r="G167" s="461"/>
      <c r="H167" s="461"/>
      <c r="I167" s="174"/>
      <c r="J167" s="174"/>
      <c r="K167" s="174"/>
    </row>
    <row r="168" spans="1:13" x14ac:dyDescent="0.2">
      <c r="A168" s="230" t="s">
        <v>88</v>
      </c>
      <c r="B168" s="461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61"/>
      <c r="D168" s="461"/>
      <c r="E168" s="461"/>
      <c r="F168" s="461"/>
      <c r="G168" s="461"/>
      <c r="H168" s="461"/>
      <c r="I168" s="461"/>
      <c r="J168" s="174"/>
      <c r="K168" s="174"/>
    </row>
    <row r="169" spans="1:13" x14ac:dyDescent="0.2">
      <c r="A169" s="230" t="s">
        <v>89</v>
      </c>
      <c r="B169" s="461" t="s">
        <v>104</v>
      </c>
      <c r="C169" s="461"/>
      <c r="D169" s="461"/>
      <c r="E169" s="461"/>
      <c r="F169" s="461"/>
      <c r="G169" s="461"/>
      <c r="H169" s="461"/>
      <c r="I169" s="461"/>
      <c r="J169" s="461"/>
      <c r="K169" s="461"/>
      <c r="L169" s="461"/>
      <c r="M169" s="461"/>
    </row>
    <row r="199" spans="1:13" x14ac:dyDescent="0.2">
      <c r="A199" s="461" t="s">
        <v>93</v>
      </c>
      <c r="B199" s="461"/>
      <c r="C199" s="461"/>
      <c r="D199" s="461"/>
      <c r="E199" s="461"/>
      <c r="F199" s="461"/>
    </row>
    <row r="200" spans="1:13" x14ac:dyDescent="0.2">
      <c r="A200" s="230" t="s">
        <v>86</v>
      </c>
      <c r="B200" s="461" t="s">
        <v>96</v>
      </c>
      <c r="C200" s="461"/>
      <c r="D200" s="461"/>
      <c r="E200" s="461"/>
      <c r="F200" s="461"/>
      <c r="G200" s="461"/>
      <c r="H200" s="461"/>
      <c r="I200" s="461"/>
      <c r="J200" s="461"/>
      <c r="K200" s="461"/>
      <c r="L200" s="461"/>
    </row>
    <row r="201" spans="1:13" x14ac:dyDescent="0.2">
      <c r="A201" s="230" t="s">
        <v>87</v>
      </c>
      <c r="B201" s="461" t="str">
        <f>CONCATENATE("Irrigated soybean yield is ",Conventional!$H$7," bu. and irrigated peanut yield is ",Conventional!$D$7," lbs.")</f>
        <v>Irrigated soybean yield is 60 bu. and irrigated peanut yield is 4700 lbs.</v>
      </c>
      <c r="C201" s="461"/>
      <c r="D201" s="461"/>
      <c r="E201" s="461"/>
      <c r="F201" s="461"/>
      <c r="G201" s="461"/>
      <c r="H201" s="461"/>
      <c r="I201" s="174"/>
      <c r="J201" s="174"/>
      <c r="K201" s="174"/>
    </row>
    <row r="202" spans="1:13" x14ac:dyDescent="0.2">
      <c r="A202" s="230" t="s">
        <v>88</v>
      </c>
      <c r="B202" s="461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61"/>
      <c r="D202" s="461"/>
      <c r="E202" s="461"/>
      <c r="F202" s="461"/>
      <c r="G202" s="461"/>
      <c r="H202" s="461"/>
      <c r="I202" s="461"/>
      <c r="J202" s="174"/>
      <c r="K202" s="174"/>
    </row>
    <row r="203" spans="1:13" x14ac:dyDescent="0.2">
      <c r="A203" s="230" t="s">
        <v>89</v>
      </c>
      <c r="B203" s="461" t="s">
        <v>104</v>
      </c>
      <c r="C203" s="461"/>
      <c r="D203" s="461"/>
      <c r="E203" s="461"/>
      <c r="F203" s="461"/>
      <c r="G203" s="461"/>
      <c r="H203" s="461"/>
      <c r="I203" s="461"/>
      <c r="J203" s="461"/>
      <c r="K203" s="461"/>
      <c r="L203" s="461"/>
      <c r="M203" s="461"/>
    </row>
    <row r="233" spans="1:13" x14ac:dyDescent="0.2">
      <c r="A233" s="462" t="s">
        <v>93</v>
      </c>
      <c r="B233" s="462"/>
      <c r="C233" s="462"/>
      <c r="D233" s="462"/>
      <c r="E233" s="462"/>
      <c r="F233" s="462"/>
    </row>
    <row r="234" spans="1:13" x14ac:dyDescent="0.2">
      <c r="A234" s="230" t="s">
        <v>86</v>
      </c>
      <c r="B234" s="461" t="s">
        <v>97</v>
      </c>
      <c r="C234" s="461"/>
      <c r="D234" s="461"/>
      <c r="E234" s="461"/>
      <c r="F234" s="461"/>
      <c r="G234" s="461"/>
      <c r="H234" s="461"/>
      <c r="I234" s="461"/>
      <c r="J234" s="461"/>
      <c r="K234" s="461"/>
    </row>
    <row r="235" spans="1:13" x14ac:dyDescent="0.2">
      <c r="A235" s="230" t="s">
        <v>87</v>
      </c>
      <c r="B235" s="461" t="str">
        <f>CONCATENATE("Irrigated cotton yield is ",Conventional!$B$7," lbs. and irrigated corn yield is ",Conventional!$F$7," bu.")</f>
        <v>Irrigated cotton yield is 1200 lbs. and irrigated corn yield is 200 bu.</v>
      </c>
      <c r="C235" s="461"/>
      <c r="D235" s="461"/>
      <c r="E235" s="461"/>
      <c r="F235" s="461"/>
      <c r="G235" s="461"/>
      <c r="H235" s="461"/>
      <c r="I235" s="174"/>
      <c r="J235" s="174"/>
      <c r="K235" s="174"/>
    </row>
    <row r="236" spans="1:13" x14ac:dyDescent="0.2">
      <c r="A236" s="230" t="s">
        <v>88</v>
      </c>
      <c r="B236" s="461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61"/>
      <c r="D236" s="461"/>
      <c r="E236" s="461"/>
      <c r="F236" s="461"/>
      <c r="G236" s="461"/>
      <c r="H236" s="461"/>
      <c r="I236" s="461"/>
      <c r="J236" s="174"/>
      <c r="K236" s="174"/>
    </row>
    <row r="237" spans="1:13" x14ac:dyDescent="0.2">
      <c r="A237" s="230" t="s">
        <v>89</v>
      </c>
      <c r="B237" s="461" t="s">
        <v>104</v>
      </c>
      <c r="C237" s="461"/>
      <c r="D237" s="461"/>
      <c r="E237" s="461"/>
      <c r="F237" s="461"/>
      <c r="G237" s="461"/>
      <c r="H237" s="461"/>
      <c r="I237" s="461"/>
      <c r="J237" s="461"/>
      <c r="K237" s="461"/>
      <c r="L237" s="461"/>
      <c r="M237" s="461"/>
    </row>
    <row r="267" spans="1:13" x14ac:dyDescent="0.2">
      <c r="A267" s="461" t="s">
        <v>93</v>
      </c>
      <c r="B267" s="461"/>
      <c r="C267" s="461"/>
      <c r="D267" s="461"/>
      <c r="E267" s="461"/>
      <c r="F267" s="461"/>
    </row>
    <row r="268" spans="1:13" x14ac:dyDescent="0.2">
      <c r="A268" s="230" t="s">
        <v>86</v>
      </c>
      <c r="B268" s="461" t="s">
        <v>98</v>
      </c>
      <c r="C268" s="461"/>
      <c r="D268" s="461"/>
      <c r="E268" s="461"/>
      <c r="F268" s="461"/>
      <c r="G268" s="461"/>
      <c r="H268" s="461"/>
      <c r="I268" s="461"/>
      <c r="J268" s="461"/>
      <c r="K268" s="461"/>
    </row>
    <row r="269" spans="1:13" x14ac:dyDescent="0.2">
      <c r="A269" s="230" t="s">
        <v>87</v>
      </c>
      <c r="B269" s="461" t="str">
        <f>CONCATENATE("Irrigated peanut yield is ",Conventional!$D$7," lbs. and irrigated corn yield is ",Conventional!$F$7," bu.")</f>
        <v>Irrigated peanut yield is 4700 lbs. and irrigated corn yield is 200 bu.</v>
      </c>
      <c r="C269" s="461"/>
      <c r="D269" s="461"/>
      <c r="E269" s="461"/>
      <c r="F269" s="461"/>
      <c r="G269" s="461"/>
      <c r="H269" s="461"/>
      <c r="I269" s="174"/>
      <c r="J269" s="174"/>
      <c r="K269" s="174"/>
    </row>
    <row r="270" spans="1:13" x14ac:dyDescent="0.2">
      <c r="A270" s="230" t="s">
        <v>88</v>
      </c>
      <c r="B270" s="461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61"/>
      <c r="D270" s="461"/>
      <c r="E270" s="461"/>
      <c r="F270" s="461"/>
      <c r="G270" s="461"/>
      <c r="H270" s="461"/>
      <c r="I270" s="461"/>
      <c r="J270" s="174"/>
      <c r="K270" s="174"/>
    </row>
    <row r="271" spans="1:13" x14ac:dyDescent="0.2">
      <c r="A271" s="230" t="s">
        <v>89</v>
      </c>
      <c r="B271" s="461" t="s">
        <v>104</v>
      </c>
      <c r="C271" s="461"/>
      <c r="D271" s="461"/>
      <c r="E271" s="461"/>
      <c r="F271" s="461"/>
      <c r="G271" s="461"/>
      <c r="H271" s="461"/>
      <c r="I271" s="461"/>
      <c r="J271" s="461"/>
      <c r="K271" s="461"/>
      <c r="L271" s="461"/>
      <c r="M271" s="461"/>
    </row>
    <row r="301" spans="1:12" x14ac:dyDescent="0.2">
      <c r="A301" s="461" t="s">
        <v>93</v>
      </c>
      <c r="B301" s="461"/>
      <c r="C301" s="461"/>
      <c r="D301" s="461"/>
      <c r="E301" s="461"/>
      <c r="F301" s="461"/>
    </row>
    <row r="302" spans="1:12" x14ac:dyDescent="0.2">
      <c r="A302" s="230" t="s">
        <v>86</v>
      </c>
      <c r="B302" s="461" t="s">
        <v>99</v>
      </c>
      <c r="C302" s="461"/>
      <c r="D302" s="461"/>
      <c r="E302" s="461"/>
      <c r="F302" s="461"/>
      <c r="G302" s="461"/>
      <c r="H302" s="461"/>
      <c r="I302" s="461"/>
      <c r="J302" s="461"/>
      <c r="K302" s="461"/>
      <c r="L302" s="461"/>
    </row>
    <row r="303" spans="1:12" x14ac:dyDescent="0.2">
      <c r="A303" s="230" t="s">
        <v>87</v>
      </c>
      <c r="B303" s="461" t="str">
        <f>CONCATENATE("Irrigated soybean yield is ",Conventional!$H$7," bu. and irrigated corn yield is ",Conventional!$F$7," bu.")</f>
        <v>Irrigated soybean yield is 60 bu. and irrigated corn yield is 200 bu.</v>
      </c>
      <c r="C303" s="461"/>
      <c r="D303" s="461"/>
      <c r="E303" s="461"/>
      <c r="F303" s="461"/>
      <c r="G303" s="461"/>
      <c r="H303" s="461"/>
      <c r="I303" s="174"/>
      <c r="J303" s="174"/>
      <c r="K303" s="174"/>
    </row>
    <row r="304" spans="1:12" x14ac:dyDescent="0.2">
      <c r="A304" s="230" t="s">
        <v>88</v>
      </c>
      <c r="B304" s="461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61"/>
      <c r="D304" s="461"/>
      <c r="E304" s="461"/>
      <c r="F304" s="461"/>
      <c r="G304" s="461"/>
      <c r="H304" s="461"/>
      <c r="I304" s="461"/>
      <c r="J304" s="174"/>
      <c r="K304" s="174"/>
    </row>
    <row r="305" spans="1:13" x14ac:dyDescent="0.2">
      <c r="A305" s="230" t="s">
        <v>89</v>
      </c>
      <c r="B305" s="461" t="s">
        <v>104</v>
      </c>
      <c r="C305" s="461"/>
      <c r="D305" s="461"/>
      <c r="E305" s="461"/>
      <c r="F305" s="461"/>
      <c r="G305" s="461"/>
      <c r="H305" s="461"/>
      <c r="I305" s="461"/>
      <c r="J305" s="461"/>
      <c r="K305" s="461"/>
      <c r="L305" s="461"/>
      <c r="M305" s="461"/>
    </row>
    <row r="334" spans="1:12" x14ac:dyDescent="0.2">
      <c r="A334" s="462" t="s">
        <v>93</v>
      </c>
      <c r="B334" s="462"/>
      <c r="C334" s="462"/>
      <c r="D334" s="462"/>
      <c r="E334" s="462"/>
      <c r="F334" s="462"/>
    </row>
    <row r="335" spans="1:12" x14ac:dyDescent="0.2">
      <c r="A335" s="230" t="s">
        <v>86</v>
      </c>
      <c r="B335" s="461" t="s">
        <v>100</v>
      </c>
      <c r="C335" s="461"/>
      <c r="D335" s="461"/>
      <c r="E335" s="461"/>
      <c r="F335" s="461"/>
      <c r="G335" s="461"/>
      <c r="H335" s="461"/>
      <c r="I335" s="461"/>
      <c r="J335" s="461"/>
      <c r="K335" s="461"/>
      <c r="L335" s="461"/>
    </row>
    <row r="336" spans="1:12" x14ac:dyDescent="0.2">
      <c r="A336" s="230" t="s">
        <v>87</v>
      </c>
      <c r="B336" s="461" t="str">
        <f>CONCATENATE("Irrigated cotton yield is ",Conventional!$B$7," lbs. and irrigated soybean yield is ",Conventional!$H$7," bu.")</f>
        <v>Irrigated cotton yield is 1200 lbs. and irrigated soybean yield is 60 bu.</v>
      </c>
      <c r="C336" s="461"/>
      <c r="D336" s="461"/>
      <c r="E336" s="461"/>
      <c r="F336" s="461"/>
      <c r="G336" s="461"/>
      <c r="H336" s="461"/>
      <c r="I336" s="174"/>
      <c r="J336" s="174"/>
      <c r="K336" s="174"/>
    </row>
    <row r="337" spans="1:13" x14ac:dyDescent="0.2">
      <c r="A337" s="230" t="s">
        <v>88</v>
      </c>
      <c r="B337" s="461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61"/>
      <c r="D337" s="461"/>
      <c r="E337" s="461"/>
      <c r="F337" s="461"/>
      <c r="G337" s="461"/>
      <c r="H337" s="461"/>
      <c r="I337" s="461"/>
      <c r="J337" s="174"/>
      <c r="K337" s="174"/>
    </row>
    <row r="338" spans="1:13" x14ac:dyDescent="0.2">
      <c r="A338" s="230" t="s">
        <v>89</v>
      </c>
      <c r="B338" s="461" t="s">
        <v>104</v>
      </c>
      <c r="C338" s="461"/>
      <c r="D338" s="461"/>
      <c r="E338" s="461"/>
      <c r="F338" s="461"/>
      <c r="G338" s="461"/>
      <c r="H338" s="461"/>
      <c r="I338" s="461"/>
      <c r="J338" s="461"/>
      <c r="K338" s="461"/>
      <c r="L338" s="461"/>
      <c r="M338" s="461"/>
    </row>
    <row r="369" spans="1:13" x14ac:dyDescent="0.2">
      <c r="A369" s="461" t="s">
        <v>93</v>
      </c>
      <c r="B369" s="461"/>
      <c r="C369" s="461"/>
      <c r="D369" s="461"/>
      <c r="E369" s="461"/>
      <c r="F369" s="461"/>
    </row>
    <row r="370" spans="1:13" x14ac:dyDescent="0.2">
      <c r="A370" s="230" t="s">
        <v>86</v>
      </c>
      <c r="B370" s="461" t="s">
        <v>101</v>
      </c>
      <c r="C370" s="461"/>
      <c r="D370" s="461"/>
      <c r="E370" s="461"/>
      <c r="F370" s="461"/>
      <c r="G370" s="461"/>
      <c r="H370" s="461"/>
      <c r="I370" s="461"/>
      <c r="J370" s="461"/>
      <c r="K370" s="461"/>
      <c r="L370" s="461"/>
    </row>
    <row r="371" spans="1:13" x14ac:dyDescent="0.2">
      <c r="A371" s="230" t="s">
        <v>87</v>
      </c>
      <c r="B371" s="461" t="str">
        <f>CONCATENATE("Irrigated peanut yield is ",Conventional!$D$7," lbs. and irrigated soybean yield is ",Conventional!$H$7," bu.")</f>
        <v>Irrigated peanut yield is 4700 lbs. and irrigated soybean yield is 60 bu.</v>
      </c>
      <c r="C371" s="461"/>
      <c r="D371" s="461"/>
      <c r="E371" s="461"/>
      <c r="F371" s="461"/>
      <c r="G371" s="461"/>
      <c r="H371" s="461"/>
      <c r="I371" s="174"/>
      <c r="J371" s="174"/>
      <c r="K371" s="174"/>
    </row>
    <row r="372" spans="1:13" x14ac:dyDescent="0.2">
      <c r="A372" s="230" t="s">
        <v>88</v>
      </c>
      <c r="B372" s="461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61"/>
      <c r="D372" s="461"/>
      <c r="E372" s="461"/>
      <c r="F372" s="461"/>
      <c r="G372" s="461"/>
      <c r="H372" s="461"/>
      <c r="I372" s="461"/>
      <c r="J372" s="174"/>
      <c r="K372" s="174"/>
    </row>
    <row r="373" spans="1:13" x14ac:dyDescent="0.2">
      <c r="A373" s="230" t="s">
        <v>89</v>
      </c>
      <c r="B373" s="461" t="s">
        <v>104</v>
      </c>
      <c r="C373" s="461"/>
      <c r="D373" s="461"/>
      <c r="E373" s="461"/>
      <c r="F373" s="461"/>
      <c r="G373" s="461"/>
      <c r="H373" s="461"/>
      <c r="I373" s="461"/>
      <c r="J373" s="461"/>
      <c r="K373" s="461"/>
      <c r="L373" s="461"/>
      <c r="M373" s="461"/>
    </row>
    <row r="403" spans="1:13" x14ac:dyDescent="0.2">
      <c r="A403" s="461" t="s">
        <v>93</v>
      </c>
      <c r="B403" s="461"/>
      <c r="C403" s="461"/>
      <c r="D403" s="461"/>
      <c r="E403" s="461"/>
      <c r="F403" s="461"/>
    </row>
    <row r="404" spans="1:13" x14ac:dyDescent="0.2">
      <c r="A404" s="230" t="s">
        <v>86</v>
      </c>
      <c r="B404" s="461" t="s">
        <v>102</v>
      </c>
      <c r="C404" s="461"/>
      <c r="D404" s="461"/>
      <c r="E404" s="461"/>
      <c r="F404" s="461"/>
      <c r="G404" s="461"/>
      <c r="H404" s="461"/>
      <c r="I404" s="461"/>
      <c r="J404" s="461"/>
      <c r="K404" s="461"/>
      <c r="L404" s="461"/>
    </row>
    <row r="405" spans="1:13" x14ac:dyDescent="0.2">
      <c r="A405" s="230" t="s">
        <v>87</v>
      </c>
      <c r="B405" s="461" t="str">
        <f>CONCATENATE("Irrigated corn yield is ",Conventional!$F$7," bu. and irrigated soybean yield is ",Conventional!$H$7," bu.")</f>
        <v>Irrigated corn yield is 200 bu. and irrigated soybean yield is 60 bu.</v>
      </c>
      <c r="C405" s="461"/>
      <c r="D405" s="461"/>
      <c r="E405" s="461"/>
      <c r="F405" s="461"/>
      <c r="G405" s="461"/>
      <c r="H405" s="461"/>
      <c r="I405" s="174"/>
      <c r="J405" s="174"/>
      <c r="K405" s="174"/>
    </row>
    <row r="406" spans="1:13" x14ac:dyDescent="0.2">
      <c r="A406" s="230" t="s">
        <v>88</v>
      </c>
      <c r="B406" s="461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61"/>
      <c r="D406" s="461"/>
      <c r="E406" s="461"/>
      <c r="F406" s="461"/>
      <c r="G406" s="461"/>
      <c r="H406" s="461"/>
      <c r="I406" s="461"/>
      <c r="J406" s="174"/>
      <c r="K406" s="174"/>
    </row>
    <row r="407" spans="1:13" x14ac:dyDescent="0.2">
      <c r="A407" s="230" t="s">
        <v>89</v>
      </c>
      <c r="B407" s="461" t="s">
        <v>104</v>
      </c>
      <c r="C407" s="461"/>
      <c r="D407" s="461"/>
      <c r="E407" s="461"/>
      <c r="F407" s="461"/>
      <c r="G407" s="461"/>
      <c r="H407" s="461"/>
      <c r="I407" s="461"/>
      <c r="J407" s="461"/>
      <c r="K407" s="461"/>
      <c r="L407" s="461"/>
      <c r="M407" s="461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 and Yangxuan Liu&amp;RAg and Applied Economics, 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>
      <selection activeCell="B30" sqref="B30:K30"/>
    </sheetView>
  </sheetViews>
  <sheetFormatPr baseColWidth="10" defaultColWidth="8.83203125" defaultRowHeight="14" x14ac:dyDescent="0.2"/>
  <cols>
    <col min="1" max="1" width="8.83203125" style="100"/>
    <col min="2" max="2" width="8.83203125" style="174"/>
    <col min="3" max="26" width="8.83203125" style="100"/>
    <col min="27" max="27" width="8.83203125" style="100" customWidth="1"/>
    <col min="28" max="16384" width="8.83203125" style="100"/>
  </cols>
  <sheetData>
    <row r="29" spans="1:11" x14ac:dyDescent="0.2">
      <c r="A29" s="462" t="s">
        <v>93</v>
      </c>
      <c r="B29" s="462"/>
      <c r="C29" s="462"/>
      <c r="D29" s="462"/>
      <c r="E29" s="462"/>
      <c r="F29" s="462"/>
    </row>
    <row r="30" spans="1:11" x14ac:dyDescent="0.2">
      <c r="A30" s="230" t="s">
        <v>86</v>
      </c>
      <c r="B30" s="461" t="s">
        <v>90</v>
      </c>
      <c r="C30" s="461"/>
      <c r="D30" s="461"/>
      <c r="E30" s="461"/>
      <c r="F30" s="461"/>
      <c r="G30" s="461"/>
      <c r="H30" s="461"/>
      <c r="I30" s="461"/>
      <c r="J30" s="461"/>
      <c r="K30" s="461"/>
    </row>
    <row r="31" spans="1:11" x14ac:dyDescent="0.2">
      <c r="A31" s="230" t="s">
        <v>87</v>
      </c>
      <c r="B31" s="461" t="str">
        <f>CONCATENATE("Irrigated peanut yield is ",'Strip-Till'!$D$7," lbs. and irrigated cotton yield is ",'Strip-Till'!B7," lbs.")</f>
        <v>Irrigated peanut yield is 4700 lbs. and irrigated cotton yield is 1200 lbs.</v>
      </c>
      <c r="C31" s="461"/>
      <c r="D31" s="461"/>
      <c r="E31" s="461"/>
      <c r="F31" s="461"/>
      <c r="G31" s="461"/>
      <c r="H31" s="461"/>
      <c r="I31" s="174"/>
      <c r="J31" s="174"/>
      <c r="K31" s="174"/>
    </row>
    <row r="32" spans="1:11" x14ac:dyDescent="0.2">
      <c r="A32" s="230" t="s">
        <v>88</v>
      </c>
      <c r="B32" s="461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61"/>
      <c r="D32" s="461"/>
      <c r="E32" s="461"/>
      <c r="F32" s="461"/>
      <c r="G32" s="461"/>
      <c r="H32" s="461"/>
      <c r="I32" s="461"/>
      <c r="J32" s="174"/>
      <c r="K32" s="174"/>
    </row>
    <row r="33" spans="1:13" x14ac:dyDescent="0.2">
      <c r="A33" s="230" t="s">
        <v>89</v>
      </c>
      <c r="B33" s="461" t="s">
        <v>103</v>
      </c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</row>
    <row r="63" spans="1:11" x14ac:dyDescent="0.2">
      <c r="A63" s="461" t="s">
        <v>93</v>
      </c>
      <c r="B63" s="461"/>
      <c r="C63" s="461"/>
      <c r="D63" s="461"/>
      <c r="E63" s="461"/>
      <c r="F63" s="461"/>
    </row>
    <row r="64" spans="1:11" x14ac:dyDescent="0.2">
      <c r="A64" s="230" t="s">
        <v>86</v>
      </c>
      <c r="B64" s="461" t="s">
        <v>91</v>
      </c>
      <c r="C64" s="461"/>
      <c r="D64" s="461"/>
      <c r="E64" s="461"/>
      <c r="F64" s="461"/>
      <c r="G64" s="461"/>
      <c r="H64" s="461"/>
      <c r="I64" s="461"/>
      <c r="J64" s="461"/>
      <c r="K64" s="461"/>
    </row>
    <row r="65" spans="1:13" x14ac:dyDescent="0.2">
      <c r="A65" s="230" t="s">
        <v>87</v>
      </c>
      <c r="B65" s="461" t="str">
        <f>CONCATENATE("Irrigated corn yield is ",'Strip-Till'!F7," bu. and irrigated cotton yield is ",'Strip-Till'!B7," lbs.")</f>
        <v>Irrigated corn yield is 200 bu. and irrigated cotton yield is 1200 lbs.</v>
      </c>
      <c r="C65" s="461"/>
      <c r="D65" s="461"/>
      <c r="E65" s="461"/>
      <c r="F65" s="461"/>
      <c r="G65" s="461"/>
      <c r="H65" s="461"/>
      <c r="I65" s="174"/>
      <c r="J65" s="174"/>
      <c r="K65" s="174"/>
    </row>
    <row r="66" spans="1:13" x14ac:dyDescent="0.2">
      <c r="A66" s="230" t="s">
        <v>88</v>
      </c>
      <c r="B66" s="461" t="str">
        <f>CONCATENATE("Non-irrigated corn yield is ",'Strip-Till'!P7," bu. and non-irrigated cotton yield is ",'Strip-Till'!L7," lbs.")</f>
        <v>Non-irrigated corn yield is 85 bu. and non-irrigated cotton yield is 750 lbs.</v>
      </c>
      <c r="C66" s="461"/>
      <c r="D66" s="461"/>
      <c r="E66" s="461"/>
      <c r="F66" s="461"/>
      <c r="G66" s="461"/>
      <c r="H66" s="461"/>
      <c r="I66" s="461"/>
      <c r="J66" s="174"/>
      <c r="K66" s="174"/>
    </row>
    <row r="67" spans="1:13" x14ac:dyDescent="0.2">
      <c r="A67" s="230" t="s">
        <v>89</v>
      </c>
      <c r="B67" s="461" t="s">
        <v>103</v>
      </c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</row>
    <row r="97" spans="1:13" x14ac:dyDescent="0.2">
      <c r="A97" s="461" t="s">
        <v>93</v>
      </c>
      <c r="B97" s="461"/>
      <c r="C97" s="461"/>
      <c r="D97" s="461"/>
      <c r="E97" s="461"/>
      <c r="F97" s="461"/>
    </row>
    <row r="98" spans="1:13" x14ac:dyDescent="0.2">
      <c r="A98" s="230" t="s">
        <v>86</v>
      </c>
      <c r="B98" s="461" t="s">
        <v>92</v>
      </c>
      <c r="C98" s="461"/>
      <c r="D98" s="461"/>
      <c r="E98" s="461"/>
      <c r="F98" s="461"/>
      <c r="G98" s="461"/>
      <c r="H98" s="461"/>
      <c r="I98" s="461"/>
      <c r="J98" s="461"/>
      <c r="K98" s="461"/>
      <c r="L98" s="461"/>
    </row>
    <row r="99" spans="1:13" x14ac:dyDescent="0.2">
      <c r="A99" s="230" t="s">
        <v>87</v>
      </c>
      <c r="B99" s="461" t="str">
        <f>CONCATENATE("Irrigated soybean yield is ",'Strip-Till'!H7," bu. and irrigated cotton yield is ",'Strip-Till'!B7," lbs.")</f>
        <v>Irrigated soybean yield is 60 bu. and irrigated cotton yield is 1200 lbs.</v>
      </c>
      <c r="C99" s="461"/>
      <c r="D99" s="461"/>
      <c r="E99" s="461"/>
      <c r="F99" s="461"/>
      <c r="G99" s="461"/>
      <c r="H99" s="461"/>
      <c r="I99" s="174"/>
      <c r="J99" s="174"/>
      <c r="K99" s="174"/>
    </row>
    <row r="100" spans="1:13" x14ac:dyDescent="0.2">
      <c r="A100" s="230" t="s">
        <v>88</v>
      </c>
      <c r="B100" s="461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61"/>
      <c r="D100" s="461"/>
      <c r="E100" s="461"/>
      <c r="F100" s="461"/>
      <c r="G100" s="461"/>
      <c r="H100" s="461"/>
      <c r="I100" s="461"/>
      <c r="J100" s="174"/>
      <c r="K100" s="174"/>
    </row>
    <row r="101" spans="1:13" x14ac:dyDescent="0.2">
      <c r="A101" s="230" t="s">
        <v>89</v>
      </c>
      <c r="B101" s="461" t="s">
        <v>103</v>
      </c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</row>
    <row r="131" spans="1:13" x14ac:dyDescent="0.2">
      <c r="A131" s="462" t="s">
        <v>93</v>
      </c>
      <c r="B131" s="462"/>
      <c r="C131" s="462"/>
      <c r="D131" s="462"/>
      <c r="E131" s="462"/>
      <c r="F131" s="462"/>
    </row>
    <row r="132" spans="1:13" x14ac:dyDescent="0.2">
      <c r="A132" s="230" t="s">
        <v>86</v>
      </c>
      <c r="B132" s="461" t="s">
        <v>94</v>
      </c>
      <c r="C132" s="461"/>
      <c r="D132" s="461"/>
      <c r="E132" s="461"/>
      <c r="F132" s="461"/>
      <c r="G132" s="461"/>
      <c r="H132" s="461"/>
      <c r="I132" s="461"/>
      <c r="J132" s="461"/>
      <c r="K132" s="461"/>
    </row>
    <row r="133" spans="1:13" x14ac:dyDescent="0.2">
      <c r="A133" s="230" t="s">
        <v>87</v>
      </c>
      <c r="B133" s="461" t="str">
        <f>CONCATENATE("Irrigated cotton yield is ",'Strip-Till'!B7," lbs. and irrigated peanut yield is ",'Strip-Till'!D7," lbs.")</f>
        <v>Irrigated cotton yield is 1200 lbs. and irrigated peanut yield is 4700 lbs.</v>
      </c>
      <c r="C133" s="461"/>
      <c r="D133" s="461"/>
      <c r="E133" s="461"/>
      <c r="F133" s="461"/>
      <c r="G133" s="461"/>
      <c r="H133" s="461"/>
      <c r="I133" s="174"/>
      <c r="J133" s="174"/>
      <c r="K133" s="174"/>
    </row>
    <row r="134" spans="1:13" x14ac:dyDescent="0.2">
      <c r="A134" s="230" t="s">
        <v>88</v>
      </c>
      <c r="B134" s="461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61"/>
      <c r="D134" s="461"/>
      <c r="E134" s="461"/>
      <c r="F134" s="461"/>
      <c r="G134" s="461"/>
      <c r="H134" s="461"/>
      <c r="I134" s="461"/>
      <c r="J134" s="174"/>
      <c r="K134" s="174"/>
    </row>
    <row r="135" spans="1:13" x14ac:dyDescent="0.2">
      <c r="A135" s="230" t="s">
        <v>89</v>
      </c>
      <c r="B135" s="461" t="s">
        <v>103</v>
      </c>
      <c r="C135" s="461"/>
      <c r="D135" s="461"/>
      <c r="E135" s="461"/>
      <c r="F135" s="461"/>
      <c r="G135" s="461"/>
      <c r="H135" s="461"/>
      <c r="I135" s="461"/>
      <c r="J135" s="461"/>
      <c r="K135" s="461"/>
      <c r="L135" s="461"/>
      <c r="M135" s="461"/>
    </row>
    <row r="165" spans="1:13" x14ac:dyDescent="0.2">
      <c r="A165" s="461" t="s">
        <v>93</v>
      </c>
      <c r="B165" s="461"/>
      <c r="C165" s="461"/>
      <c r="D165" s="461"/>
      <c r="E165" s="461"/>
      <c r="F165" s="461"/>
    </row>
    <row r="166" spans="1:13" x14ac:dyDescent="0.2">
      <c r="A166" s="230" t="s">
        <v>86</v>
      </c>
      <c r="B166" s="461" t="s">
        <v>95</v>
      </c>
      <c r="C166" s="461"/>
      <c r="D166" s="461"/>
      <c r="E166" s="461"/>
      <c r="F166" s="461"/>
      <c r="G166" s="461"/>
      <c r="H166" s="461"/>
      <c r="I166" s="461"/>
      <c r="J166" s="461"/>
      <c r="K166" s="461"/>
    </row>
    <row r="167" spans="1:13" x14ac:dyDescent="0.2">
      <c r="A167" s="230" t="s">
        <v>87</v>
      </c>
      <c r="B167" s="461" t="str">
        <f>CONCATENATE("Irrigated corn yield is ",'Strip-Till'!$F$7," bu. and irrigated peanut yield is ",'Strip-Till'!$D$7," lbs.")</f>
        <v>Irrigated corn yield is 200 bu. and irrigated peanut yield is 4700 lbs.</v>
      </c>
      <c r="C167" s="461"/>
      <c r="D167" s="461"/>
      <c r="E167" s="461"/>
      <c r="F167" s="461"/>
      <c r="G167" s="461"/>
      <c r="H167" s="461"/>
      <c r="I167" s="174"/>
      <c r="J167" s="174"/>
      <c r="K167" s="174"/>
    </row>
    <row r="168" spans="1:13" x14ac:dyDescent="0.2">
      <c r="A168" s="230" t="s">
        <v>88</v>
      </c>
      <c r="B168" s="461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61"/>
      <c r="D168" s="461"/>
      <c r="E168" s="461"/>
      <c r="F168" s="461"/>
      <c r="G168" s="461"/>
      <c r="H168" s="461"/>
      <c r="I168" s="461"/>
      <c r="J168" s="174"/>
      <c r="K168" s="174"/>
    </row>
    <row r="169" spans="1:13" x14ac:dyDescent="0.2">
      <c r="A169" s="230" t="s">
        <v>89</v>
      </c>
      <c r="B169" s="461" t="s">
        <v>103</v>
      </c>
      <c r="C169" s="461"/>
      <c r="D169" s="461"/>
      <c r="E169" s="461"/>
      <c r="F169" s="461"/>
      <c r="G169" s="461"/>
      <c r="H169" s="461"/>
      <c r="I169" s="461"/>
      <c r="J169" s="461"/>
      <c r="K169" s="461"/>
      <c r="L169" s="461"/>
      <c r="M169" s="461"/>
    </row>
    <row r="199" spans="1:13" x14ac:dyDescent="0.2">
      <c r="A199" s="461" t="s">
        <v>93</v>
      </c>
      <c r="B199" s="461"/>
      <c r="C199" s="461"/>
      <c r="D199" s="461"/>
      <c r="E199" s="461"/>
      <c r="F199" s="461"/>
    </row>
    <row r="200" spans="1:13" x14ac:dyDescent="0.2">
      <c r="A200" s="230" t="s">
        <v>86</v>
      </c>
      <c r="B200" s="461" t="s">
        <v>96</v>
      </c>
      <c r="C200" s="461"/>
      <c r="D200" s="461"/>
      <c r="E200" s="461"/>
      <c r="F200" s="461"/>
      <c r="G200" s="461"/>
      <c r="H200" s="461"/>
      <c r="I200" s="461"/>
      <c r="J200" s="461"/>
      <c r="K200" s="461"/>
      <c r="L200" s="461"/>
    </row>
    <row r="201" spans="1:13" x14ac:dyDescent="0.2">
      <c r="A201" s="230" t="s">
        <v>87</v>
      </c>
      <c r="B201" s="461" t="str">
        <f>CONCATENATE("Irrigated soybean yield is ",'Strip-Till'!$H$7," bu. and irrigated peanut yield is ",'Strip-Till'!$D$7," lbs.")</f>
        <v>Irrigated soybean yield is 60 bu. and irrigated peanut yield is 4700 lbs.</v>
      </c>
      <c r="C201" s="461"/>
      <c r="D201" s="461"/>
      <c r="E201" s="461"/>
      <c r="F201" s="461"/>
      <c r="G201" s="461"/>
      <c r="H201" s="461"/>
      <c r="I201" s="174"/>
      <c r="J201" s="174"/>
      <c r="K201" s="174"/>
    </row>
    <row r="202" spans="1:13" x14ac:dyDescent="0.2">
      <c r="A202" s="230" t="s">
        <v>88</v>
      </c>
      <c r="B202" s="461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61"/>
      <c r="D202" s="461"/>
      <c r="E202" s="461"/>
      <c r="F202" s="461"/>
      <c r="G202" s="461"/>
      <c r="H202" s="461"/>
      <c r="I202" s="461"/>
      <c r="J202" s="174"/>
      <c r="K202" s="174"/>
    </row>
    <row r="203" spans="1:13" x14ac:dyDescent="0.2">
      <c r="A203" s="230" t="s">
        <v>89</v>
      </c>
      <c r="B203" s="461" t="s">
        <v>103</v>
      </c>
      <c r="C203" s="461"/>
      <c r="D203" s="461"/>
      <c r="E203" s="461"/>
      <c r="F203" s="461"/>
      <c r="G203" s="461"/>
      <c r="H203" s="461"/>
      <c r="I203" s="461"/>
      <c r="J203" s="461"/>
      <c r="K203" s="461"/>
      <c r="L203" s="461"/>
      <c r="M203" s="461"/>
    </row>
    <row r="233" spans="1:13" x14ac:dyDescent="0.2">
      <c r="A233" s="462" t="s">
        <v>93</v>
      </c>
      <c r="B233" s="462"/>
      <c r="C233" s="462"/>
      <c r="D233" s="462"/>
      <c r="E233" s="462"/>
      <c r="F233" s="462"/>
    </row>
    <row r="234" spans="1:13" x14ac:dyDescent="0.2">
      <c r="A234" s="230" t="s">
        <v>86</v>
      </c>
      <c r="B234" s="461" t="s">
        <v>97</v>
      </c>
      <c r="C234" s="461"/>
      <c r="D234" s="461"/>
      <c r="E234" s="461"/>
      <c r="F234" s="461"/>
      <c r="G234" s="461"/>
      <c r="H234" s="461"/>
      <c r="I234" s="461"/>
      <c r="J234" s="461"/>
      <c r="K234" s="461"/>
    </row>
    <row r="235" spans="1:13" x14ac:dyDescent="0.2">
      <c r="A235" s="230" t="s">
        <v>87</v>
      </c>
      <c r="B235" s="461" t="str">
        <f>CONCATENATE("Irrigated cotton yield is ",'Strip-Till'!$B$7," lbs. and irrigated corn yield is ",'Strip-Till'!$F$7," bu.")</f>
        <v>Irrigated cotton yield is 1200 lbs. and irrigated corn yield is 200 bu.</v>
      </c>
      <c r="C235" s="461"/>
      <c r="D235" s="461"/>
      <c r="E235" s="461"/>
      <c r="F235" s="461"/>
      <c r="G235" s="461"/>
      <c r="H235" s="461"/>
      <c r="I235" s="174"/>
      <c r="J235" s="174"/>
      <c r="K235" s="174"/>
    </row>
    <row r="236" spans="1:13" x14ac:dyDescent="0.2">
      <c r="A236" s="230" t="s">
        <v>88</v>
      </c>
      <c r="B236" s="461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61"/>
      <c r="D236" s="461"/>
      <c r="E236" s="461"/>
      <c r="F236" s="461"/>
      <c r="G236" s="461"/>
      <c r="H236" s="461"/>
      <c r="I236" s="461"/>
      <c r="J236" s="174"/>
      <c r="K236" s="174"/>
    </row>
    <row r="237" spans="1:13" x14ac:dyDescent="0.2">
      <c r="A237" s="230" t="s">
        <v>89</v>
      </c>
      <c r="B237" s="461" t="s">
        <v>103</v>
      </c>
      <c r="C237" s="461"/>
      <c r="D237" s="461"/>
      <c r="E237" s="461"/>
      <c r="F237" s="461"/>
      <c r="G237" s="461"/>
      <c r="H237" s="461"/>
      <c r="I237" s="461"/>
      <c r="J237" s="461"/>
      <c r="K237" s="461"/>
      <c r="L237" s="461"/>
      <c r="M237" s="461"/>
    </row>
    <row r="267" spans="1:13" x14ac:dyDescent="0.2">
      <c r="A267" s="461" t="s">
        <v>93</v>
      </c>
      <c r="B267" s="461"/>
      <c r="C267" s="461"/>
      <c r="D267" s="461"/>
      <c r="E267" s="461"/>
      <c r="F267" s="461"/>
    </row>
    <row r="268" spans="1:13" x14ac:dyDescent="0.2">
      <c r="A268" s="230" t="s">
        <v>86</v>
      </c>
      <c r="B268" s="461" t="s">
        <v>98</v>
      </c>
      <c r="C268" s="461"/>
      <c r="D268" s="461"/>
      <c r="E268" s="461"/>
      <c r="F268" s="461"/>
      <c r="G268" s="461"/>
      <c r="H268" s="461"/>
      <c r="I268" s="461"/>
      <c r="J268" s="461"/>
      <c r="K268" s="461"/>
    </row>
    <row r="269" spans="1:13" x14ac:dyDescent="0.2">
      <c r="A269" s="230" t="s">
        <v>87</v>
      </c>
      <c r="B269" s="461" t="str">
        <f>CONCATENATE("Irrigated peanut yield is ",'Strip-Till'!$D$7," lbs. and irrigated corn yield is ",'Strip-Till'!$F$7," bu.")</f>
        <v>Irrigated peanut yield is 4700 lbs. and irrigated corn yield is 200 bu.</v>
      </c>
      <c r="C269" s="461"/>
      <c r="D269" s="461"/>
      <c r="E269" s="461"/>
      <c r="F269" s="461"/>
      <c r="G269" s="461"/>
      <c r="H269" s="461"/>
      <c r="I269" s="174"/>
      <c r="J269" s="174"/>
      <c r="K269" s="174"/>
    </row>
    <row r="270" spans="1:13" x14ac:dyDescent="0.2">
      <c r="A270" s="230" t="s">
        <v>88</v>
      </c>
      <c r="B270" s="461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61"/>
      <c r="D270" s="461"/>
      <c r="E270" s="461"/>
      <c r="F270" s="461"/>
      <c r="G270" s="461"/>
      <c r="H270" s="461"/>
      <c r="I270" s="461"/>
      <c r="J270" s="174"/>
      <c r="K270" s="174"/>
    </row>
    <row r="271" spans="1:13" x14ac:dyDescent="0.2">
      <c r="A271" s="230" t="s">
        <v>89</v>
      </c>
      <c r="B271" s="461" t="s">
        <v>103</v>
      </c>
      <c r="C271" s="461"/>
      <c r="D271" s="461"/>
      <c r="E271" s="461"/>
      <c r="F271" s="461"/>
      <c r="G271" s="461"/>
      <c r="H271" s="461"/>
      <c r="I271" s="461"/>
      <c r="J271" s="461"/>
      <c r="K271" s="461"/>
      <c r="L271" s="461"/>
      <c r="M271" s="461"/>
    </row>
    <row r="301" spans="1:12" x14ac:dyDescent="0.2">
      <c r="A301" s="461" t="s">
        <v>93</v>
      </c>
      <c r="B301" s="461"/>
      <c r="C301" s="461"/>
      <c r="D301" s="461"/>
      <c r="E301" s="461"/>
      <c r="F301" s="461"/>
    </row>
    <row r="302" spans="1:12" x14ac:dyDescent="0.2">
      <c r="A302" s="230" t="s">
        <v>86</v>
      </c>
      <c r="B302" s="461" t="s">
        <v>99</v>
      </c>
      <c r="C302" s="461"/>
      <c r="D302" s="461"/>
      <c r="E302" s="461"/>
      <c r="F302" s="461"/>
      <c r="G302" s="461"/>
      <c r="H302" s="461"/>
      <c r="I302" s="461"/>
      <c r="J302" s="461"/>
      <c r="K302" s="461"/>
      <c r="L302" s="461"/>
    </row>
    <row r="303" spans="1:12" x14ac:dyDescent="0.2">
      <c r="A303" s="230" t="s">
        <v>87</v>
      </c>
      <c r="B303" s="461" t="str">
        <f>CONCATENATE("Irrigated soybean yield is ",'Strip-Till'!$H$7," bu. and irrigated corn yield is ",'Strip-Till'!$F$7," bu.")</f>
        <v>Irrigated soybean yield is 60 bu. and irrigated corn yield is 200 bu.</v>
      </c>
      <c r="C303" s="461"/>
      <c r="D303" s="461"/>
      <c r="E303" s="461"/>
      <c r="F303" s="461"/>
      <c r="G303" s="461"/>
      <c r="H303" s="461"/>
      <c r="I303" s="174"/>
      <c r="J303" s="174"/>
      <c r="K303" s="174"/>
    </row>
    <row r="304" spans="1:12" x14ac:dyDescent="0.2">
      <c r="A304" s="230" t="s">
        <v>88</v>
      </c>
      <c r="B304" s="461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61"/>
      <c r="D304" s="461"/>
      <c r="E304" s="461"/>
      <c r="F304" s="461"/>
      <c r="G304" s="461"/>
      <c r="H304" s="461"/>
      <c r="I304" s="461"/>
      <c r="J304" s="174"/>
      <c r="K304" s="174"/>
    </row>
    <row r="305" spans="1:13" x14ac:dyDescent="0.2">
      <c r="A305" s="230" t="s">
        <v>89</v>
      </c>
      <c r="B305" s="461" t="s">
        <v>103</v>
      </c>
      <c r="C305" s="461"/>
      <c r="D305" s="461"/>
      <c r="E305" s="461"/>
      <c r="F305" s="461"/>
      <c r="G305" s="461"/>
      <c r="H305" s="461"/>
      <c r="I305" s="461"/>
      <c r="J305" s="461"/>
      <c r="K305" s="461"/>
      <c r="L305" s="461"/>
      <c r="M305" s="461"/>
    </row>
    <row r="334" spans="1:12" x14ac:dyDescent="0.2">
      <c r="A334" s="462" t="s">
        <v>93</v>
      </c>
      <c r="B334" s="462"/>
      <c r="C334" s="462"/>
      <c r="D334" s="462"/>
      <c r="E334" s="462"/>
      <c r="F334" s="462"/>
    </row>
    <row r="335" spans="1:12" x14ac:dyDescent="0.2">
      <c r="A335" s="230" t="s">
        <v>86</v>
      </c>
      <c r="B335" s="461" t="s">
        <v>100</v>
      </c>
      <c r="C335" s="461"/>
      <c r="D335" s="461"/>
      <c r="E335" s="461"/>
      <c r="F335" s="461"/>
      <c r="G335" s="461"/>
      <c r="H335" s="461"/>
      <c r="I335" s="461"/>
      <c r="J335" s="461"/>
      <c r="K335" s="461"/>
      <c r="L335" s="461"/>
    </row>
    <row r="336" spans="1:12" x14ac:dyDescent="0.2">
      <c r="A336" s="230" t="s">
        <v>87</v>
      </c>
      <c r="B336" s="461" t="str">
        <f>CONCATENATE("Irrigated cotton yield is ",'Strip-Till'!$B$7," lbs. and irrigated soybean yield is ",'Strip-Till'!$H$7," bu.")</f>
        <v>Irrigated cotton yield is 1200 lbs. and irrigated soybean yield is 60 bu.</v>
      </c>
      <c r="C336" s="461"/>
      <c r="D336" s="461"/>
      <c r="E336" s="461"/>
      <c r="F336" s="461"/>
      <c r="G336" s="461"/>
      <c r="H336" s="461"/>
      <c r="I336" s="174"/>
      <c r="J336" s="174"/>
      <c r="K336" s="174"/>
    </row>
    <row r="337" spans="1:13" x14ac:dyDescent="0.2">
      <c r="A337" s="230" t="s">
        <v>88</v>
      </c>
      <c r="B337" s="461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61"/>
      <c r="D337" s="461"/>
      <c r="E337" s="461"/>
      <c r="F337" s="461"/>
      <c r="G337" s="461"/>
      <c r="H337" s="461"/>
      <c r="I337" s="461"/>
      <c r="J337" s="174"/>
      <c r="K337" s="174"/>
    </row>
    <row r="338" spans="1:13" x14ac:dyDescent="0.2">
      <c r="A338" s="230" t="s">
        <v>89</v>
      </c>
      <c r="B338" s="461" t="s">
        <v>103</v>
      </c>
      <c r="C338" s="461"/>
      <c r="D338" s="461"/>
      <c r="E338" s="461"/>
      <c r="F338" s="461"/>
      <c r="G338" s="461"/>
      <c r="H338" s="461"/>
      <c r="I338" s="461"/>
      <c r="J338" s="461"/>
      <c r="K338" s="461"/>
      <c r="L338" s="461"/>
      <c r="M338" s="461"/>
    </row>
    <row r="369" spans="1:13" x14ac:dyDescent="0.2">
      <c r="A369" s="461" t="s">
        <v>93</v>
      </c>
      <c r="B369" s="461"/>
      <c r="C369" s="461"/>
      <c r="D369" s="461"/>
      <c r="E369" s="461"/>
      <c r="F369" s="461"/>
    </row>
    <row r="370" spans="1:13" x14ac:dyDescent="0.2">
      <c r="A370" s="230" t="s">
        <v>86</v>
      </c>
      <c r="B370" s="461" t="s">
        <v>101</v>
      </c>
      <c r="C370" s="461"/>
      <c r="D370" s="461"/>
      <c r="E370" s="461"/>
      <c r="F370" s="461"/>
      <c r="G370" s="461"/>
      <c r="H370" s="461"/>
      <c r="I370" s="461"/>
      <c r="J370" s="461"/>
      <c r="K370" s="461"/>
      <c r="L370" s="461"/>
    </row>
    <row r="371" spans="1:13" x14ac:dyDescent="0.2">
      <c r="A371" s="230" t="s">
        <v>87</v>
      </c>
      <c r="B371" s="461" t="str">
        <f>CONCATENATE("Irrigated peanut yield is ",'Strip-Till'!$D$7," lbs. and irrigated soybean yield is ",'Strip-Till'!$H$7," bu.")</f>
        <v>Irrigated peanut yield is 4700 lbs. and irrigated soybean yield is 60 bu.</v>
      </c>
      <c r="C371" s="461"/>
      <c r="D371" s="461"/>
      <c r="E371" s="461"/>
      <c r="F371" s="461"/>
      <c r="G371" s="461"/>
      <c r="H371" s="461"/>
      <c r="I371" s="174"/>
      <c r="J371" s="174"/>
      <c r="K371" s="174"/>
    </row>
    <row r="372" spans="1:13" x14ac:dyDescent="0.2">
      <c r="A372" s="230" t="s">
        <v>88</v>
      </c>
      <c r="B372" s="461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61"/>
      <c r="D372" s="461"/>
      <c r="E372" s="461"/>
      <c r="F372" s="461"/>
      <c r="G372" s="461"/>
      <c r="H372" s="461"/>
      <c r="I372" s="461"/>
      <c r="J372" s="174"/>
      <c r="K372" s="174"/>
    </row>
    <row r="373" spans="1:13" x14ac:dyDescent="0.2">
      <c r="A373" s="230" t="s">
        <v>89</v>
      </c>
      <c r="B373" s="461" t="s">
        <v>103</v>
      </c>
      <c r="C373" s="461"/>
      <c r="D373" s="461"/>
      <c r="E373" s="461"/>
      <c r="F373" s="461"/>
      <c r="G373" s="461"/>
      <c r="H373" s="461"/>
      <c r="I373" s="461"/>
      <c r="J373" s="461"/>
      <c r="K373" s="461"/>
      <c r="L373" s="461"/>
      <c r="M373" s="461"/>
    </row>
    <row r="403" spans="1:13" x14ac:dyDescent="0.2">
      <c r="A403" s="461" t="s">
        <v>93</v>
      </c>
      <c r="B403" s="461"/>
      <c r="C403" s="461"/>
      <c r="D403" s="461"/>
      <c r="E403" s="461"/>
      <c r="F403" s="461"/>
    </row>
    <row r="404" spans="1:13" x14ac:dyDescent="0.2">
      <c r="A404" s="230" t="s">
        <v>86</v>
      </c>
      <c r="B404" s="461" t="s">
        <v>102</v>
      </c>
      <c r="C404" s="461"/>
      <c r="D404" s="461"/>
      <c r="E404" s="461"/>
      <c r="F404" s="461"/>
      <c r="G404" s="461"/>
      <c r="H404" s="461"/>
      <c r="I404" s="461"/>
      <c r="J404" s="461"/>
      <c r="K404" s="461"/>
      <c r="L404" s="461"/>
    </row>
    <row r="405" spans="1:13" x14ac:dyDescent="0.2">
      <c r="A405" s="230" t="s">
        <v>87</v>
      </c>
      <c r="B405" s="461" t="str">
        <f>CONCATENATE("Irrigated corn yield is ",'Strip-Till'!$F$7," bu. and irrigated soybean yield is ",'Strip-Till'!$H$7," bu.")</f>
        <v>Irrigated corn yield is 200 bu. and irrigated soybean yield is 60 bu.</v>
      </c>
      <c r="C405" s="461"/>
      <c r="D405" s="461"/>
      <c r="E405" s="461"/>
      <c r="F405" s="461"/>
      <c r="G405" s="461"/>
      <c r="H405" s="461"/>
      <c r="I405" s="174"/>
      <c r="J405" s="174"/>
      <c r="K405" s="174"/>
    </row>
    <row r="406" spans="1:13" x14ac:dyDescent="0.2">
      <c r="A406" s="230" t="s">
        <v>88</v>
      </c>
      <c r="B406" s="461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61"/>
      <c r="D406" s="461"/>
      <c r="E406" s="461"/>
      <c r="F406" s="461"/>
      <c r="G406" s="461"/>
      <c r="H406" s="461"/>
      <c r="I406" s="461"/>
      <c r="J406" s="174"/>
      <c r="K406" s="174"/>
    </row>
    <row r="407" spans="1:13" x14ac:dyDescent="0.2">
      <c r="A407" s="230" t="s">
        <v>89</v>
      </c>
      <c r="B407" s="461" t="s">
        <v>103</v>
      </c>
      <c r="C407" s="461"/>
      <c r="D407" s="461"/>
      <c r="E407" s="461"/>
      <c r="F407" s="461"/>
      <c r="G407" s="461"/>
      <c r="H407" s="461"/>
      <c r="I407" s="461"/>
      <c r="J407" s="461"/>
      <c r="K407" s="461"/>
      <c r="L407" s="461"/>
      <c r="M407" s="461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 and Yangxuan Liu&amp;RAg and Applied Economics,11/2021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8" width="9.33203125" style="75" customWidth="1"/>
    <col min="9" max="16384" width="9.33203125" style="75"/>
  </cols>
  <sheetData>
    <row r="1" spans="1:13" s="62" customFormat="1" ht="12" hidden="1" x14ac:dyDescent="0.15">
      <c r="A1" s="61"/>
      <c r="B1" s="468" t="s">
        <v>45</v>
      </c>
      <c r="C1" s="468"/>
      <c r="D1" s="468"/>
      <c r="E1" s="468"/>
      <c r="F1" s="468"/>
      <c r="G1" s="468"/>
      <c r="H1" s="61"/>
    </row>
    <row r="2" spans="1:13" s="62" customFormat="1" ht="12" hidden="1" x14ac:dyDescent="0.15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 x14ac:dyDescent="0.15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 x14ac:dyDescent="0.15">
      <c r="A4" s="62" t="s">
        <v>42</v>
      </c>
      <c r="B4" s="67">
        <f>Conventional!B8</f>
        <v>0.95</v>
      </c>
      <c r="C4" s="68">
        <f>Conventional!D8</f>
        <v>475</v>
      </c>
      <c r="D4" s="69">
        <f>Conventional!F8</f>
        <v>6.5</v>
      </c>
      <c r="E4" s="69">
        <f>Conventional!H8</f>
        <v>13</v>
      </c>
      <c r="F4" s="69">
        <f>Conventional!J8</f>
        <v>6</v>
      </c>
      <c r="G4" s="69">
        <f>Conventional!V8</f>
        <v>8</v>
      </c>
      <c r="H4" s="69"/>
    </row>
    <row r="5" spans="1:13" s="62" customFormat="1" ht="12" hidden="1" x14ac:dyDescent="0.15">
      <c r="A5" s="70" t="s">
        <v>44</v>
      </c>
      <c r="B5" s="71">
        <f>B3*B4</f>
        <v>1140</v>
      </c>
      <c r="C5" s="71">
        <f>C3*C4/2000</f>
        <v>1116.25</v>
      </c>
      <c r="D5" s="71">
        <f>D3*D4</f>
        <v>1300</v>
      </c>
      <c r="E5" s="71">
        <f>E3*E4</f>
        <v>780</v>
      </c>
      <c r="F5" s="71">
        <f>F3*F4</f>
        <v>600</v>
      </c>
      <c r="G5" s="71">
        <f>G3*G4</f>
        <v>600</v>
      </c>
      <c r="H5" s="72"/>
    </row>
    <row r="6" spans="1:13" s="62" customFormat="1" ht="12" hidden="1" x14ac:dyDescent="0.15">
      <c r="A6" s="70" t="s">
        <v>43</v>
      </c>
      <c r="B6" s="73">
        <f>Conventional!B30</f>
        <v>762.71362881818186</v>
      </c>
      <c r="C6" s="73">
        <f>Conventional!D30</f>
        <v>755.91143499999998</v>
      </c>
      <c r="D6" s="73">
        <f>Conventional!F30</f>
        <v>948.07125500000018</v>
      </c>
      <c r="E6" s="73">
        <f>Conventional!H30</f>
        <v>374.56600080000004</v>
      </c>
      <c r="F6" s="73">
        <f>Conventional!J30</f>
        <v>525.99116499999991</v>
      </c>
      <c r="G6" s="73">
        <f>Conventional!V30</f>
        <v>481.35727725000004</v>
      </c>
      <c r="H6" s="68"/>
    </row>
    <row r="7" spans="1:13" s="62" customFormat="1" ht="16" x14ac:dyDescent="0.2">
      <c r="A7" s="469" t="s">
        <v>127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</row>
    <row r="8" spans="1:13" s="62" customFormat="1" ht="16" x14ac:dyDescent="0.2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15">
      <c r="A9" s="470" t="s">
        <v>153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</row>
    <row r="10" spans="1:13" x14ac:dyDescent="0.15">
      <c r="A10" s="464" t="s">
        <v>47</v>
      </c>
      <c r="B10" s="464"/>
      <c r="C10" s="464"/>
      <c r="D10" s="464"/>
      <c r="E10" s="464"/>
      <c r="F10" s="464"/>
      <c r="H10" s="464" t="s">
        <v>50</v>
      </c>
      <c r="I10" s="464"/>
      <c r="J10" s="464"/>
      <c r="K10" s="464"/>
      <c r="L10" s="464"/>
      <c r="M10" s="464"/>
    </row>
    <row r="11" spans="1:13" s="62" customFormat="1" ht="12" x14ac:dyDescent="0.15">
      <c r="A11" s="463" t="s">
        <v>36</v>
      </c>
      <c r="B11" s="463"/>
      <c r="C11" s="463"/>
      <c r="D11" s="463"/>
      <c r="E11" s="463"/>
      <c r="F11" s="463"/>
      <c r="H11" s="467" t="s">
        <v>36</v>
      </c>
      <c r="I11" s="467"/>
      <c r="J11" s="467"/>
      <c r="K11" s="467"/>
      <c r="L11" s="467"/>
      <c r="M11" s="467"/>
    </row>
    <row r="12" spans="1:13" x14ac:dyDescent="0.15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 x14ac:dyDescent="0.15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15">
      <c r="A14" s="84">
        <f>A16*0.7</f>
        <v>4.55</v>
      </c>
      <c r="B14" s="85">
        <f>$A$14*B$13-$D$6</f>
        <v>-265.57125500000018</v>
      </c>
      <c r="C14" s="85">
        <f>$A$14*C$13-$D$6</f>
        <v>-129.07125500000018</v>
      </c>
      <c r="D14" s="85">
        <f>$A$14*D$13-$D$6</f>
        <v>-38.071255000000178</v>
      </c>
      <c r="E14" s="85">
        <f>$A$14*E$13-$D$6</f>
        <v>52.928744999999935</v>
      </c>
      <c r="F14" s="85">
        <f>$A$14*F$13-$D$6</f>
        <v>189.42874499999982</v>
      </c>
      <c r="H14" s="84">
        <f>H16*0.7</f>
        <v>0.66499999999999992</v>
      </c>
      <c r="I14" s="87">
        <f>$H$14*$I$13-$B$6</f>
        <v>-164.21362881818197</v>
      </c>
      <c r="J14" s="87">
        <f>$H$14*J13-$B$6</f>
        <v>-44.513628818181928</v>
      </c>
      <c r="K14" s="87">
        <f>$H$14*K13-$B$6</f>
        <v>35.286371181818026</v>
      </c>
      <c r="L14" s="87">
        <f>$H$14*L13-$B$6</f>
        <v>115.08637118181809</v>
      </c>
      <c r="M14" s="87">
        <f>$H$14*M13-$B$6</f>
        <v>234.78637118181803</v>
      </c>
    </row>
    <row r="15" spans="1:13" x14ac:dyDescent="0.15">
      <c r="A15" s="86">
        <f>A16*0.85</f>
        <v>5.5249999999999995</v>
      </c>
      <c r="B15" s="87">
        <f>$A$15*B$13-$D$6</f>
        <v>-119.32125500000029</v>
      </c>
      <c r="C15" s="87">
        <f>$A$15*C$13-$D$6</f>
        <v>46.428744999999708</v>
      </c>
      <c r="D15" s="87">
        <f>$A$15*D$13-$D$6</f>
        <v>156.92874499999982</v>
      </c>
      <c r="E15" s="87">
        <f>$A$15*E$13-$D$6</f>
        <v>267.42874499999982</v>
      </c>
      <c r="F15" s="87">
        <f>$A$15*F$13-$D$6</f>
        <v>433.17874499999959</v>
      </c>
      <c r="H15" s="86">
        <f>H16*0.85</f>
        <v>0.8075</v>
      </c>
      <c r="I15" s="87">
        <f>$H$15*$I$13-$B$6</f>
        <v>-35.96362881818186</v>
      </c>
      <c r="J15" s="87">
        <f>$H$15*J13-$B$6</f>
        <v>109.38637118181816</v>
      </c>
      <c r="K15" s="87">
        <f>$H$15*K13-$B$6</f>
        <v>206.28637118181814</v>
      </c>
      <c r="L15" s="87">
        <f>$H$15*L13-$B$6</f>
        <v>303.18637118181823</v>
      </c>
      <c r="M15" s="87">
        <f>$H$15*M13-$B$6</f>
        <v>448.53637118181814</v>
      </c>
    </row>
    <row r="16" spans="1:13" x14ac:dyDescent="0.15">
      <c r="A16" s="86">
        <f>D4</f>
        <v>6.5</v>
      </c>
      <c r="B16" s="87">
        <f>$A$16*B$13-$D$6</f>
        <v>26.928744999999822</v>
      </c>
      <c r="C16" s="87">
        <f>$A$16*C$13-$D$6</f>
        <v>221.92874499999982</v>
      </c>
      <c r="D16" s="87">
        <f>$A$16*D$13-$D$6</f>
        <v>351.92874499999982</v>
      </c>
      <c r="E16" s="87">
        <f>$A$16*E$13-$D$6</f>
        <v>481.92874500000005</v>
      </c>
      <c r="F16" s="87">
        <f>$A$16*F$13-$D$6</f>
        <v>676.92874499999982</v>
      </c>
      <c r="H16" s="86">
        <f>B4</f>
        <v>0.95</v>
      </c>
      <c r="I16" s="87">
        <f>$H$16*$I$13-$B$6</f>
        <v>92.28637118181814</v>
      </c>
      <c r="J16" s="87">
        <f>$H$16*J13-$B$6</f>
        <v>263.28637118181814</v>
      </c>
      <c r="K16" s="87">
        <f>$H$16*K13-$B$6</f>
        <v>377.28637118181814</v>
      </c>
      <c r="L16" s="87">
        <f>$H$16*L13-$B$6</f>
        <v>491.28637118181814</v>
      </c>
      <c r="M16" s="87">
        <f>$H$16*M13-$B$6</f>
        <v>662.28637118181814</v>
      </c>
    </row>
    <row r="17" spans="1:13" x14ac:dyDescent="0.15">
      <c r="A17" s="86">
        <f>A16*1.15</f>
        <v>7.4749999999999996</v>
      </c>
      <c r="B17" s="87">
        <f>$A$17*B$13-$D$6</f>
        <v>173.17874499999982</v>
      </c>
      <c r="C17" s="87">
        <f>$A$17*C$13-$D$6</f>
        <v>397.42874499999982</v>
      </c>
      <c r="D17" s="87">
        <f>$A$17*D$13-$D$6</f>
        <v>546.92874499999982</v>
      </c>
      <c r="E17" s="87">
        <f>$A$17*E$13-$D$6</f>
        <v>696.42874500000005</v>
      </c>
      <c r="F17" s="87">
        <f>$A$17*F$13-$D$6</f>
        <v>920.67874499999982</v>
      </c>
      <c r="H17" s="86">
        <f>H16*1.15</f>
        <v>1.0924999999999998</v>
      </c>
      <c r="I17" s="87">
        <f>$H$17*$I$13-$B$6</f>
        <v>220.53637118181791</v>
      </c>
      <c r="J17" s="87">
        <f>$H$17*J13-$B$6</f>
        <v>417.186371181818</v>
      </c>
      <c r="K17" s="87">
        <f>$H$17*K13-$B$6</f>
        <v>548.28637118181791</v>
      </c>
      <c r="L17" s="87">
        <f>$H$17*L13-$B$6</f>
        <v>679.38637118181782</v>
      </c>
      <c r="M17" s="87">
        <f>$H$17*M13-$B$6</f>
        <v>876.03637118181791</v>
      </c>
    </row>
    <row r="18" spans="1:13" x14ac:dyDescent="0.15">
      <c r="A18" s="88">
        <f>A16*1.3</f>
        <v>8.4500000000000011</v>
      </c>
      <c r="B18" s="89">
        <f>$A$18*B$13-$D$6</f>
        <v>319.42874500000005</v>
      </c>
      <c r="C18" s="89">
        <f>$A$18*C$13-$D$6</f>
        <v>572.92874500000005</v>
      </c>
      <c r="D18" s="89">
        <f>$A$18*D$13-$D$6</f>
        <v>741.92874500000005</v>
      </c>
      <c r="E18" s="89">
        <f>$A$18*E$13-$D$6</f>
        <v>910.92874500000028</v>
      </c>
      <c r="F18" s="89">
        <f>$A$18*F$13-$D$6</f>
        <v>1164.4287450000002</v>
      </c>
      <c r="H18" s="88">
        <f>H16*1.3</f>
        <v>1.2349999999999999</v>
      </c>
      <c r="I18" s="89">
        <f>$H$18*$I$13-$B$6</f>
        <v>348.78637118181814</v>
      </c>
      <c r="J18" s="89">
        <f>$H$18*J13-$B$6</f>
        <v>571.08637118181809</v>
      </c>
      <c r="K18" s="89">
        <f>$H$18*K13-$B$6</f>
        <v>719.28637118181791</v>
      </c>
      <c r="L18" s="89">
        <f>$H$18*L13-$B$6</f>
        <v>867.48637118181796</v>
      </c>
      <c r="M18" s="89">
        <f>$H$18*M13-$B$6</f>
        <v>1089.7863711818179</v>
      </c>
    </row>
    <row r="20" spans="1:13" x14ac:dyDescent="0.15">
      <c r="A20" s="464" t="s">
        <v>48</v>
      </c>
      <c r="B20" s="464"/>
      <c r="C20" s="464"/>
      <c r="D20" s="464"/>
      <c r="E20" s="464"/>
      <c r="F20" s="464"/>
      <c r="H20" s="465" t="s">
        <v>120</v>
      </c>
      <c r="I20" s="465"/>
      <c r="J20" s="465"/>
      <c r="K20" s="465"/>
      <c r="L20" s="465"/>
      <c r="M20" s="465"/>
    </row>
    <row r="21" spans="1:13" s="62" customFormat="1" ht="12" x14ac:dyDescent="0.15">
      <c r="A21" s="463" t="s">
        <v>36</v>
      </c>
      <c r="B21" s="463"/>
      <c r="C21" s="463"/>
      <c r="D21" s="463"/>
      <c r="E21" s="463"/>
      <c r="F21" s="463"/>
      <c r="H21" s="466" t="s">
        <v>36</v>
      </c>
      <c r="I21" s="466"/>
      <c r="J21" s="466"/>
      <c r="K21" s="466"/>
      <c r="L21" s="466"/>
      <c r="M21" s="466"/>
    </row>
    <row r="22" spans="1:13" x14ac:dyDescent="0.15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 x14ac:dyDescent="0.15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15">
      <c r="A24" s="84">
        <f>A26*0.7</f>
        <v>4.1999999999999993</v>
      </c>
      <c r="B24" s="85">
        <f>$A$24*B$23-$F$6</f>
        <v>-210.99116499999997</v>
      </c>
      <c r="C24" s="85">
        <f>$A$24*C$23-$F$6</f>
        <v>-147.99116499999997</v>
      </c>
      <c r="D24" s="85">
        <f>$A$24*D$23-$F$6</f>
        <v>-105.99116499999997</v>
      </c>
      <c r="E24" s="85">
        <f>$A$24*E$23-$F$6</f>
        <v>-63.99116499999991</v>
      </c>
      <c r="F24" s="85">
        <f>$A$24*F$23-$F$6</f>
        <v>-0.99116500000002361</v>
      </c>
      <c r="H24" s="90">
        <f>H26*0.7</f>
        <v>332.5</v>
      </c>
      <c r="I24" s="85">
        <f>$H$24*I$23/2000-$C$6</f>
        <v>-169.88018499999998</v>
      </c>
      <c r="J24" s="85">
        <f>$H$24*J$23/2000-$C$6</f>
        <v>-52.673935000000029</v>
      </c>
      <c r="K24" s="85">
        <f>$H$24*K$23/2000-$C$6</f>
        <v>25.463565000000017</v>
      </c>
      <c r="L24" s="85">
        <f>$H$24*L$23/2000-$C$6</f>
        <v>103.60106500000006</v>
      </c>
      <c r="M24" s="85">
        <f>$H$24*M$23/2000-$C$6</f>
        <v>220.80731500000002</v>
      </c>
    </row>
    <row r="25" spans="1:13" x14ac:dyDescent="0.15">
      <c r="A25" s="86">
        <f>A26*0.85</f>
        <v>5.0999999999999996</v>
      </c>
      <c r="B25" s="87">
        <f>$A$25*B$23-$F$6</f>
        <v>-143.49116499999991</v>
      </c>
      <c r="C25" s="87">
        <f>$A$25*C$23-$F$6</f>
        <v>-66.991164999999967</v>
      </c>
      <c r="D25" s="87">
        <f>$A$25*D$23-$F$6</f>
        <v>-15.991164999999967</v>
      </c>
      <c r="E25" s="87">
        <f>$A$25*E$23-$F$6</f>
        <v>35.00883500000009</v>
      </c>
      <c r="F25" s="87">
        <f>$A$25*F$23-$F$6</f>
        <v>111.50883500000009</v>
      </c>
      <c r="H25" s="91">
        <f>H26*0.85</f>
        <v>403.75</v>
      </c>
      <c r="I25" s="87">
        <f>$H$25*I$23/2000-$C$6</f>
        <v>-44.302059999999983</v>
      </c>
      <c r="J25" s="87">
        <f>$H$25*J$23/2000-$C$6</f>
        <v>98.019814999999994</v>
      </c>
      <c r="K25" s="87">
        <f>$H$25*K$23/2000-$C$6</f>
        <v>192.90106500000002</v>
      </c>
      <c r="L25" s="87">
        <f>$H$25*L$23/2000-$C$6</f>
        <v>287.78231499999993</v>
      </c>
      <c r="M25" s="87">
        <f>$H$25*M$23/2000-$C$6</f>
        <v>430.10419000000002</v>
      </c>
    </row>
    <row r="26" spans="1:13" x14ac:dyDescent="0.15">
      <c r="A26" s="86">
        <f>F4</f>
        <v>6</v>
      </c>
      <c r="B26" s="87">
        <f>$A$26*B$23-$F$6</f>
        <v>-75.99116499999991</v>
      </c>
      <c r="C26" s="87">
        <f>$A$26*C$23-$F$6</f>
        <v>14.00883500000009</v>
      </c>
      <c r="D26" s="87">
        <f>$A$26*D$23-$F$6</f>
        <v>74.00883500000009</v>
      </c>
      <c r="E26" s="87">
        <f>$A$26*E$23-$F$6</f>
        <v>134.0088350000002</v>
      </c>
      <c r="F26" s="87">
        <f>$A$26*F$23-$F$6</f>
        <v>224.00883500000009</v>
      </c>
      <c r="H26" s="91">
        <f>C4</f>
        <v>475</v>
      </c>
      <c r="I26" s="87">
        <f>$H$26*I$23/2000-$C$6</f>
        <v>81.276065000000017</v>
      </c>
      <c r="J26" s="87">
        <f>$H$26*J$23/2000-$C$6</f>
        <v>248.71356500000002</v>
      </c>
      <c r="K26" s="87">
        <f>$H$26*K$23/2000-$C$6</f>
        <v>360.33856500000002</v>
      </c>
      <c r="L26" s="87">
        <f>$H$26*L$23/2000-$C$6</f>
        <v>471.96356500000002</v>
      </c>
      <c r="M26" s="87">
        <f>$H$26*M$23/2000-$C$6</f>
        <v>639.40106500000002</v>
      </c>
    </row>
    <row r="27" spans="1:13" x14ac:dyDescent="0.15">
      <c r="A27" s="86">
        <f>A26*1.15</f>
        <v>6.8999999999999995</v>
      </c>
      <c r="B27" s="87">
        <f>$A$27*B$23-$F$6</f>
        <v>-8.4911649999999099</v>
      </c>
      <c r="C27" s="87">
        <f>$A$27*C$23-$F$6</f>
        <v>95.00883500000009</v>
      </c>
      <c r="D27" s="87">
        <f>$A$27*D$23-$F$6</f>
        <v>164.00883500000009</v>
      </c>
      <c r="E27" s="87">
        <f>$A$27*E$23-$F$6</f>
        <v>233.00883500000009</v>
      </c>
      <c r="F27" s="87">
        <f>$A$27*F$23-$F$6</f>
        <v>336.50883499999998</v>
      </c>
      <c r="H27" s="91">
        <f>H26*1.15</f>
        <v>546.25</v>
      </c>
      <c r="I27" s="87">
        <f>$H$27*I$23/2000-$C$6</f>
        <v>206.85419000000002</v>
      </c>
      <c r="J27" s="87">
        <f>$H$27*J$23/2000-$C$6</f>
        <v>399.40731499999993</v>
      </c>
      <c r="K27" s="87">
        <f>$H$27*K$23/2000-$C$6</f>
        <v>527.77606500000002</v>
      </c>
      <c r="L27" s="87">
        <f>$H$27*L$23/2000-$C$6</f>
        <v>656.14481500000011</v>
      </c>
      <c r="M27" s="87">
        <f>$H$27*M$23/2000-$C$6</f>
        <v>848.69794000000002</v>
      </c>
    </row>
    <row r="28" spans="1:13" x14ac:dyDescent="0.15">
      <c r="A28" s="88">
        <f>A26*1.3</f>
        <v>7.8000000000000007</v>
      </c>
      <c r="B28" s="89">
        <f>$A$28*B$23-$F$6</f>
        <v>59.00883500000009</v>
      </c>
      <c r="C28" s="89">
        <f>$A$28*C$23-$F$6</f>
        <v>176.0088350000002</v>
      </c>
      <c r="D28" s="89">
        <f>$A$28*D$23-$F$6</f>
        <v>254.0088350000002</v>
      </c>
      <c r="E28" s="89">
        <f>$A$28*E$23-$F$6</f>
        <v>332.00883500000032</v>
      </c>
      <c r="F28" s="89">
        <f>$A$28*F$23-$F$6</f>
        <v>449.0088350000002</v>
      </c>
      <c r="H28" s="92">
        <f>H26*1.3</f>
        <v>617.5</v>
      </c>
      <c r="I28" s="89">
        <f>$H$28*I$23/2000-$C$6</f>
        <v>332.43231500000002</v>
      </c>
      <c r="J28" s="89">
        <f>$H$28*J$23/2000-$C$6</f>
        <v>550.10106500000006</v>
      </c>
      <c r="K28" s="89">
        <f>$H$28*K$23/2000-$C$6</f>
        <v>695.21356500000002</v>
      </c>
      <c r="L28" s="89">
        <f>$H$28*L$23/2000-$C$6</f>
        <v>840.32606499999997</v>
      </c>
      <c r="M28" s="89">
        <f>$H$28*M$23/2000-$C$6</f>
        <v>1057.994815</v>
      </c>
    </row>
    <row r="30" spans="1:13" x14ac:dyDescent="0.15">
      <c r="A30" s="464" t="s">
        <v>49</v>
      </c>
      <c r="B30" s="464"/>
      <c r="C30" s="464"/>
      <c r="D30" s="464"/>
      <c r="E30" s="464"/>
      <c r="F30" s="464"/>
      <c r="H30" s="464" t="s">
        <v>64</v>
      </c>
      <c r="I30" s="464"/>
      <c r="J30" s="464"/>
      <c r="K30" s="464"/>
      <c r="L30" s="464"/>
      <c r="M30" s="464"/>
    </row>
    <row r="31" spans="1:13" s="62" customFormat="1" ht="12" x14ac:dyDescent="0.15">
      <c r="A31" s="463" t="s">
        <v>36</v>
      </c>
      <c r="B31" s="463"/>
      <c r="C31" s="463"/>
      <c r="D31" s="463"/>
      <c r="E31" s="463"/>
      <c r="F31" s="463"/>
      <c r="H31" s="463" t="s">
        <v>36</v>
      </c>
      <c r="I31" s="463"/>
      <c r="J31" s="463"/>
      <c r="K31" s="463"/>
      <c r="L31" s="463"/>
      <c r="M31" s="463"/>
    </row>
    <row r="32" spans="1:13" x14ac:dyDescent="0.15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 x14ac:dyDescent="0.15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15">
      <c r="A34" s="84">
        <f>A36*0.7</f>
        <v>9.1</v>
      </c>
      <c r="B34" s="85">
        <f>$A$34*B$33-$E$6</f>
        <v>34.93399919999996</v>
      </c>
      <c r="C34" s="85">
        <f>$A$34*C$33-$E$6</f>
        <v>116.83399919999994</v>
      </c>
      <c r="D34" s="85">
        <f>$A$34*D$33-$E$6</f>
        <v>171.43399919999996</v>
      </c>
      <c r="E34" s="85">
        <f>$A$34*E$33-$E$6</f>
        <v>226.03399919999998</v>
      </c>
      <c r="F34" s="85">
        <f>$A$34*F$33-$E$6</f>
        <v>307.93399919999996</v>
      </c>
      <c r="H34" s="84">
        <f>H36*0.7</f>
        <v>5.6</v>
      </c>
      <c r="I34" s="85">
        <f>$H$34*I$33-$G$6</f>
        <v>-166.35727725000004</v>
      </c>
      <c r="J34" s="85">
        <f>$H$34*J$33-$G$6</f>
        <v>-103.35727725000004</v>
      </c>
      <c r="K34" s="85">
        <f>$H$34*K$33-$G$6</f>
        <v>-61.357277250000038</v>
      </c>
      <c r="L34" s="85">
        <f>$H$34*L$33-$G$6</f>
        <v>-19.357277250000095</v>
      </c>
      <c r="M34" s="85">
        <f>$H$34*M$33-$G$6</f>
        <v>43.642722749999962</v>
      </c>
    </row>
    <row r="35" spans="1:13" x14ac:dyDescent="0.15">
      <c r="A35" s="86">
        <f>A36*0.85</f>
        <v>11.049999999999999</v>
      </c>
      <c r="B35" s="87">
        <f>$A$35*B$33-$E$6</f>
        <v>122.6839991999999</v>
      </c>
      <c r="C35" s="87">
        <f>$A$35*C$33-$E$6</f>
        <v>222.13399919999989</v>
      </c>
      <c r="D35" s="87">
        <f>$A$35*D$33-$E$6</f>
        <v>288.43399919999985</v>
      </c>
      <c r="E35" s="87">
        <f>$A$35*E$33-$E$6</f>
        <v>354.73399919999991</v>
      </c>
      <c r="F35" s="87">
        <f>$A$35*F$33-$E$6</f>
        <v>454.18399919999985</v>
      </c>
      <c r="H35" s="86">
        <f>H36*0.85</f>
        <v>6.8</v>
      </c>
      <c r="I35" s="87">
        <f>$H$35*I$33-$G$6</f>
        <v>-98.857277250000038</v>
      </c>
      <c r="J35" s="87">
        <f>$H$35*J$33-$G$6</f>
        <v>-22.357277250000038</v>
      </c>
      <c r="K35" s="87">
        <f>$H$35*K$33-$G$6</f>
        <v>28.642722749999962</v>
      </c>
      <c r="L35" s="87">
        <f>$H$35*L$33-$G$6</f>
        <v>79.642722749999962</v>
      </c>
      <c r="M35" s="87">
        <f>$H$35*M$33-$G$6</f>
        <v>156.14272274999996</v>
      </c>
    </row>
    <row r="36" spans="1:13" x14ac:dyDescent="0.15">
      <c r="A36" s="86">
        <f>E4</f>
        <v>13</v>
      </c>
      <c r="B36" s="87">
        <f>$A$36*B$33-$E$6</f>
        <v>210.43399919999996</v>
      </c>
      <c r="C36" s="87">
        <f>$A$36*C$33-$E$6</f>
        <v>327.43399919999996</v>
      </c>
      <c r="D36" s="87">
        <f>$A$36*D$33-$E$6</f>
        <v>405.43399919999996</v>
      </c>
      <c r="E36" s="87">
        <f>$A$36*E$33-$E$6</f>
        <v>483.43399919999996</v>
      </c>
      <c r="F36" s="87">
        <f>$A$36*F$33-$E$6</f>
        <v>600.43399920000002</v>
      </c>
      <c r="H36" s="86">
        <f>G4</f>
        <v>8</v>
      </c>
      <c r="I36" s="87">
        <f>$H$36*I$33-$G$6</f>
        <v>-31.357277250000038</v>
      </c>
      <c r="J36" s="87">
        <f>$H$36*J$33-$G$6</f>
        <v>58.642722749999962</v>
      </c>
      <c r="K36" s="87">
        <f>$H$36*K$33-$G$6</f>
        <v>118.64272274999996</v>
      </c>
      <c r="L36" s="87">
        <f>$H$36*L$33-$G$6</f>
        <v>178.64272274999996</v>
      </c>
      <c r="M36" s="87">
        <f>$H$36*M$33-$G$6</f>
        <v>268.64272274999996</v>
      </c>
    </row>
    <row r="37" spans="1:13" x14ac:dyDescent="0.15">
      <c r="A37" s="86">
        <f>A36*1.15</f>
        <v>14.95</v>
      </c>
      <c r="B37" s="87">
        <f>$A$37*B$33-$E$6</f>
        <v>298.18399919999996</v>
      </c>
      <c r="C37" s="87">
        <f>$A$37*C$33-$E$6</f>
        <v>432.73399919999991</v>
      </c>
      <c r="D37" s="87">
        <f>$A$37*D$33-$E$6</f>
        <v>522.43399920000002</v>
      </c>
      <c r="E37" s="87">
        <f>$A$37*E$33-$E$6</f>
        <v>612.13399919999983</v>
      </c>
      <c r="F37" s="87">
        <f>$A$37*F$33-$E$6</f>
        <v>746.68399920000002</v>
      </c>
      <c r="H37" s="86">
        <f>H36*1.15</f>
        <v>9.1999999999999993</v>
      </c>
      <c r="I37" s="87">
        <f>$H$37*I$33-$G$6</f>
        <v>36.142722749999962</v>
      </c>
      <c r="J37" s="87">
        <f>$H$37*J$33-$G$6</f>
        <v>139.64272274999996</v>
      </c>
      <c r="K37" s="87">
        <f>$H$37*K$33-$G$6</f>
        <v>208.64272274999996</v>
      </c>
      <c r="L37" s="87">
        <f>$H$37*L$33-$G$6</f>
        <v>277.64272274999985</v>
      </c>
      <c r="M37" s="87">
        <f>$H$37*M$33-$G$6</f>
        <v>381.14272274999985</v>
      </c>
    </row>
    <row r="38" spans="1:13" x14ac:dyDescent="0.15">
      <c r="A38" s="88">
        <f>A36*1.3</f>
        <v>16.900000000000002</v>
      </c>
      <c r="B38" s="89">
        <f>$A$38*B$33-$E$6</f>
        <v>385.93399920000007</v>
      </c>
      <c r="C38" s="89">
        <f>$A$38*C$33-$E$6</f>
        <v>538.03399920000015</v>
      </c>
      <c r="D38" s="89">
        <f>$A$38*D$33-$E$6</f>
        <v>639.43399920000002</v>
      </c>
      <c r="E38" s="89">
        <f>$A$38*E$33-$E$6</f>
        <v>740.83399920000011</v>
      </c>
      <c r="F38" s="89">
        <f>$A$38*F$33-$E$6</f>
        <v>892.93399920000024</v>
      </c>
      <c r="H38" s="88">
        <f>H36*1.3</f>
        <v>10.4</v>
      </c>
      <c r="I38" s="89">
        <f>$H$38*I$33-$G$6</f>
        <v>103.64272274999996</v>
      </c>
      <c r="J38" s="89">
        <f>$H$38*J$33-$G$6</f>
        <v>220.64272274999996</v>
      </c>
      <c r="K38" s="89">
        <f>$H$38*K$33-$G$6</f>
        <v>298.64272274999996</v>
      </c>
      <c r="L38" s="89">
        <f>$H$38*L$33-$G$6</f>
        <v>376.64272274999996</v>
      </c>
      <c r="M38" s="89">
        <f>$H$38*M$33-$G$6</f>
        <v>493.64272274999996</v>
      </c>
    </row>
    <row r="39" spans="1:13" s="62" customFormat="1" ht="12" x14ac:dyDescent="0.15"/>
    <row r="49" s="62" customFormat="1" ht="12" x14ac:dyDescent="0.15"/>
    <row r="59" s="62" customFormat="1" ht="12" x14ac:dyDescent="0.15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Microsoft Office User</cp:lastModifiedBy>
  <cp:lastPrinted>2019-03-04T16:28:48Z</cp:lastPrinted>
  <dcterms:created xsi:type="dcterms:W3CDTF">2007-11-26T00:37:18Z</dcterms:created>
  <dcterms:modified xsi:type="dcterms:W3CDTF">2022-03-10T20:25:31Z</dcterms:modified>
</cp:coreProperties>
</file>