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SSet" sheetId="9" r:id="rId9"/>
    <sheet name="Returns" sheetId="10" r:id="rId10"/>
  </sheets>
  <definedNames>
    <definedName name="\AUTOEXEC">'Bud'!$W$148:$W$150</definedName>
    <definedName name="\C">'Bud'!$I$148:$I$188</definedName>
    <definedName name="\T">'Bud'!$C$148:$C$188</definedName>
    <definedName name="\V">'Bud'!$O$148:$O$188</definedName>
    <definedName name="\X">'Bud'!$F$148:$F$188</definedName>
    <definedName name="\Y">'Bud'!$L$148:$L$188</definedName>
    <definedName name="\Z">'Bud'!$R$148:$R$188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fn.SINGLE" hidden="1">#NAME?</definedName>
    <definedName name="ENR">'Bud'!$P$90:$P$90</definedName>
    <definedName name="ENR_MNR">'Bud'!$P$90:$P$90</definedName>
    <definedName name="ETR">'Bud'!$N$89:$N$89</definedName>
    <definedName name="EXPP">'Bud'!$P$71:$P$71</definedName>
    <definedName name="EXPY">'Bud'!$N$71:$N$71</definedName>
    <definedName name="MEDP">'Bud'!$G$16:$G$16</definedName>
    <definedName name="MEDY">'Bud'!$G$15:$G$15</definedName>
    <definedName name="MNR">'Bud'!$N$91:$N$91</definedName>
    <definedName name="MTC">'Bud'!$P$89:$P$89</definedName>
    <definedName name="MTCV">'Bud'!$P$89:$P$89</definedName>
    <definedName name="MTR">'Bud'!$N$90:$N$90</definedName>
    <definedName name="_xlnm.Print_Area" localSheetId="4">'Chem'!$A$1:$H$51</definedName>
    <definedName name="_xlnm.Print_Area" localSheetId="6">'FxdCost'!$A$1:$K$50</definedName>
    <definedName name="_xlnm.Print_Area" localSheetId="3">'Yr3'!$A$1:$S$50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"$D$5"</definedName>
    <definedName name="RiskSelectedNameCell1" hidden="1">"$B$5"</definedName>
    <definedName name="RiskSelectedNameCell2" hidden="1">"$D$3"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TRHH">'Bud'!$N$85:$N$85</definedName>
    <definedName name="STRHL">'Bud'!$N$86:$N$86</definedName>
    <definedName name="STRLH">'Bud'!$P$86:$P$86</definedName>
    <definedName name="STRLL">'Bud'!$P$85:$P$85</definedName>
    <definedName name="STRO">'Bud'!$N$87:$N$87</definedName>
    <definedName name="STRP">'Bud'!$P$87:$P$87</definedName>
    <definedName name="UNIT">'Bud'!$I$11:$I$11</definedName>
    <definedName name="UNITCOST">'Bud'!$I$51:$I$51</definedName>
  </definedNames>
  <calcPr fullCalcOnLoad="1"/>
</workbook>
</file>

<file path=xl/sharedStrings.xml><?xml version="1.0" encoding="utf-8"?>
<sst xmlns="http://schemas.openxmlformats.org/spreadsheetml/2006/main" count="986" uniqueCount="398">
  <si>
    <t/>
  </si>
  <si>
    <t xml:space="preserve"> </t>
  </si>
  <si>
    <t xml:space="preserve">  </t>
  </si>
  <si>
    <t xml:space="preserve">          RISK RATED RETURNS OVER TOTAL COSTS</t>
  </si>
  <si>
    <t xml:space="preserve">         (Total Cost Budget)</t>
  </si>
  <si>
    <t xml:space="preserve">        *Number of acres =</t>
  </si>
  <si>
    <t xml:space="preserve">       the desired output.</t>
  </si>
  <si>
    <t xml:space="preserve">      The installation and initial investment cost per acre would vary with system size, design, PVC pipe and</t>
  </si>
  <si>
    <t xml:space="preserve">    Must match budget Entries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</si>
  <si>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</si>
  <si>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</si>
  <si>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</si>
  <si>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</si>
  <si>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</si>
  <si>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</si>
  <si>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</si>
  <si>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</si>
  <si>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</si>
  <si>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</si>
  <si>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</si>
  <si>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</si>
  <si>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</si>
  <si>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</si>
  <si>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</si>
  <si>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</si>
  <si>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</si>
  <si>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</si>
  <si>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</si>
  <si>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</si>
  <si>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</si>
  <si>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</si>
  <si>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</si>
  <si>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</si>
  <si>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</si>
  <si>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</si>
  <si>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</si>
  <si>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</si>
  <si>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</si>
  <si>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</si>
  <si>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</si>
  <si>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</si>
  <si>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</si>
  <si>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</si>
  <si>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</si>
  <si>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</si>
  <si>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</si>
  <si>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</si>
  <si>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</si>
  <si>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</si>
  <si>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</si>
  <si>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</si>
  <si>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</si>
  <si>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</si>
  <si>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Item</t>
  </si>
  <si>
    <t xml:space="preserve"> Operation</t>
  </si>
  <si>
    <t xml:space="preserve"> Rotary Mower(5')</t>
  </si>
  <si>
    <t xml:space="preserve"> Shielded herbicide Sprayer</t>
  </si>
  <si>
    <t xml:space="preserve"> Sprayer,airblast</t>
  </si>
  <si>
    <t>$</t>
  </si>
  <si>
    <t>$Amt/ac</t>
  </si>
  <si>
    <t>%</t>
  </si>
  <si>
    <t>($)</t>
  </si>
  <si>
    <t>(ft.)</t>
  </si>
  <si>
    <t>(Gal.)</t>
  </si>
  <si>
    <t>(Hr.)</t>
  </si>
  <si>
    <t>(mph)</t>
  </si>
  <si>
    <t>*Price per lb.</t>
  </si>
  <si>
    <t>*Returns($)</t>
  </si>
  <si>
    <t>*Yield (lbs)</t>
  </si>
  <si>
    <t>::</t>
  </si>
  <si>
    <t>1/  Fertigation is based on 2 lbs of N per acre /week</t>
  </si>
  <si>
    <t xml:space="preserve">1/  Normally irrigation/ freeze protection initial investment would cost the grower $2500 to $3000 per acre.  </t>
  </si>
  <si>
    <t>1/yr</t>
  </si>
  <si>
    <t>12/yr</t>
  </si>
  <si>
    <t>2/  Range from $300 - $1200 depending on the number and size of stumps.</t>
  </si>
  <si>
    <t>2/yr</t>
  </si>
  <si>
    <t xml:space="preserve">2/yr </t>
  </si>
  <si>
    <t>3/yr</t>
  </si>
  <si>
    <t>4/yr</t>
  </si>
  <si>
    <t>5/yr</t>
  </si>
  <si>
    <t>8/yr</t>
  </si>
  <si>
    <t>Acre</t>
  </si>
  <si>
    <t>Acres</t>
  </si>
  <si>
    <t>ACRES</t>
  </si>
  <si>
    <t>Air Blast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</si>
  <si>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</si>
  <si>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</si>
  <si>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</si>
  <si>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</si>
  <si>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</si>
  <si>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</si>
  <si>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</si>
  <si>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Appli</t>
  </si>
  <si>
    <t>Application</t>
  </si>
  <si>
    <t>BASED ON</t>
  </si>
  <si>
    <t>Bedding</t>
  </si>
  <si>
    <t>Best</t>
  </si>
  <si>
    <t>Botrytis (Elevate 50 WDG)</t>
  </si>
  <si>
    <t>Breaking aisles</t>
  </si>
  <si>
    <t>Calculation of NR and for Z values</t>
  </si>
  <si>
    <t>Calculations</t>
  </si>
  <si>
    <t>Chances</t>
  </si>
  <si>
    <t>CHANCES FOR PROFIT =</t>
  </si>
  <si>
    <t>Check valve</t>
  </si>
  <si>
    <t>Chopping</t>
  </si>
  <si>
    <t>Cooling, Handling &amp; Brokerage (15%)</t>
  </si>
  <si>
    <t>Copper sulfate</t>
  </si>
  <si>
    <t>Cost</t>
  </si>
  <si>
    <t>Crop</t>
  </si>
  <si>
    <t>Custom Packing</t>
  </si>
  <si>
    <t>Cut off valve</t>
  </si>
  <si>
    <t>Deprec.</t>
  </si>
  <si>
    <t>DEPTH OF WELL IN FEET</t>
  </si>
  <si>
    <t>Disk</t>
  </si>
  <si>
    <t>Ditching and drainage</t>
  </si>
  <si>
    <t>Dump wagon</t>
  </si>
  <si>
    <t>Effic.</t>
  </si>
  <si>
    <t>ELECTRICITY</t>
  </si>
  <si>
    <t>Equip.</t>
  </si>
  <si>
    <t>EXPECTED</t>
  </si>
  <si>
    <t>EXPECTED RETURNS FROM TOTAL ACREAGE</t>
  </si>
  <si>
    <t>FC/Ac</t>
  </si>
  <si>
    <t>FERT (10-10-10, banded)</t>
  </si>
  <si>
    <t>Fertigation is based on 5 lbs of N per acre/ week</t>
  </si>
  <si>
    <t>Fertilizer (Fertigation)</t>
  </si>
  <si>
    <t>Fertilizer (Liquid)</t>
  </si>
  <si>
    <t xml:space="preserve">Fertilizer (liquid) </t>
  </si>
  <si>
    <t>Fertilizer 1/</t>
  </si>
  <si>
    <t>Fertilizer tank (1500 gallon)</t>
  </si>
  <si>
    <t>Fertilizers</t>
  </si>
  <si>
    <t xml:space="preserve">Fertilizers </t>
  </si>
  <si>
    <t>Fertilzer Spreader (Side-to-side)</t>
  </si>
  <si>
    <t>Field</t>
  </si>
  <si>
    <t>Filter</t>
  </si>
  <si>
    <t>FIXED COSTS</t>
  </si>
  <si>
    <t>FIXED COSTS per ACRE</t>
  </si>
  <si>
    <t>fl.oz.</t>
  </si>
  <si>
    <t>For</t>
  </si>
  <si>
    <t>Fuel</t>
  </si>
  <si>
    <t>Fuel/hr</t>
  </si>
  <si>
    <t>Fungicide</t>
  </si>
  <si>
    <t>Fungicide (Indar 75WSP)</t>
  </si>
  <si>
    <t>Fungicides</t>
  </si>
  <si>
    <t>Gal</t>
  </si>
  <si>
    <t>Gross Establishment Cost per Acre</t>
  </si>
  <si>
    <t>Handsprayer (back pack)</t>
  </si>
  <si>
    <t>Harrow (5')</t>
  </si>
  <si>
    <t>Harrowing</t>
  </si>
  <si>
    <t>Harvest</t>
  </si>
  <si>
    <t>Harvester</t>
  </si>
  <si>
    <t xml:space="preserve">Harvesting </t>
  </si>
  <si>
    <t>Harvesting &amp; Marketing Costs</t>
  </si>
  <si>
    <t>Hour</t>
  </si>
  <si>
    <t>Hrs</t>
  </si>
  <si>
    <t>Ibs</t>
  </si>
  <si>
    <t>In reality , the higher fixed costs may begin earlier or later.</t>
  </si>
  <si>
    <t xml:space="preserve">Injector System </t>
  </si>
  <si>
    <t>Injector System (+ Labor)</t>
  </si>
  <si>
    <t>Insect &amp; Disease Control</t>
  </si>
  <si>
    <t>Insecticide</t>
  </si>
  <si>
    <t>Insecticide (sevin 4L)</t>
  </si>
  <si>
    <t>Insecticides</t>
  </si>
  <si>
    <t>Installation</t>
  </si>
  <si>
    <t>Installation and Labor</t>
  </si>
  <si>
    <t>Int</t>
  </si>
  <si>
    <t>Interest</t>
  </si>
  <si>
    <t>INTEREST ON INVESTMENT CAPITAL</t>
  </si>
  <si>
    <t>Interest on Oper. Costs</t>
  </si>
  <si>
    <t>INVESTMENT AND ANNUAL FIXED COSTS</t>
  </si>
  <si>
    <t>Irrigation</t>
  </si>
  <si>
    <t>Irrigation Accessories</t>
  </si>
  <si>
    <t>Item</t>
  </si>
  <si>
    <t>Labor</t>
  </si>
  <si>
    <t xml:space="preserve">Labor </t>
  </si>
  <si>
    <t>Land prep 1/</t>
  </si>
  <si>
    <t>lbs</t>
  </si>
  <si>
    <t>Leaf Spots (Aliette WDG)</t>
  </si>
  <si>
    <t>Less Return From Receipts</t>
  </si>
  <si>
    <t>Life</t>
  </si>
  <si>
    <t>Mach</t>
  </si>
  <si>
    <t>MARKETED</t>
  </si>
  <si>
    <t xml:space="preserve">Mechanical topping </t>
  </si>
  <si>
    <t>Median</t>
  </si>
  <si>
    <t>Meter base</t>
  </si>
  <si>
    <t xml:space="preserve">Milled Pine Bark </t>
  </si>
  <si>
    <t>Misc</t>
  </si>
  <si>
    <t>MISC.</t>
  </si>
  <si>
    <t>MOTOR SIZE (HP)</t>
  </si>
  <si>
    <t>Mower</t>
  </si>
  <si>
    <t xml:space="preserve">Mummy Berry (Captan 50W) </t>
  </si>
  <si>
    <t>Net return levels (TOP ROW);</t>
  </si>
  <si>
    <t>Number</t>
  </si>
  <si>
    <t>OPERATING COST PER ACRE PER YEAR</t>
  </si>
  <si>
    <t>OPERATING COSTS</t>
  </si>
  <si>
    <t>Opt</t>
  </si>
  <si>
    <t>Other</t>
  </si>
  <si>
    <t>Over</t>
  </si>
  <si>
    <t>Overhead &amp; Management</t>
  </si>
  <si>
    <t>Ozs</t>
  </si>
  <si>
    <t>Per</t>
  </si>
  <si>
    <t>Percent</t>
  </si>
  <si>
    <t>Pess</t>
  </si>
  <si>
    <t>Pest &amp; Disease Control</t>
  </si>
  <si>
    <t>Phytophthora root rot (Ridomil Gold 4EC)</t>
  </si>
  <si>
    <t>Planting</t>
  </si>
  <si>
    <t>Planting labor</t>
  </si>
  <si>
    <t>Plants</t>
  </si>
  <si>
    <t>Post Harvest Fert (18-46-0)</t>
  </si>
  <si>
    <t>Post-emergence</t>
  </si>
  <si>
    <t>Post-emergence (select 2 EC)</t>
  </si>
  <si>
    <t xml:space="preserve">Pre-emergence </t>
  </si>
  <si>
    <t>Pre-emergence (oryzlin)</t>
  </si>
  <si>
    <t>Pre-emergence (Simazine 4F)</t>
  </si>
  <si>
    <t>Pre-emergence (Solicam 80 WDG)</t>
  </si>
  <si>
    <t>Pre-Harvest</t>
  </si>
  <si>
    <t>Pre-Harvest Variable Costs</t>
  </si>
  <si>
    <t>Preplant weed Control</t>
  </si>
  <si>
    <t>Preplant Weed Control</t>
  </si>
  <si>
    <t>Price</t>
  </si>
  <si>
    <t>PRICE</t>
  </si>
  <si>
    <t>Pruning</t>
  </si>
  <si>
    <t xml:space="preserve">Pruning     </t>
  </si>
  <si>
    <t>pt</t>
  </si>
  <si>
    <t>Pump &amp; Motor (electric)</t>
  </si>
  <si>
    <t>Purchase</t>
  </si>
  <si>
    <t>Qts</t>
  </si>
  <si>
    <t>Quant.</t>
  </si>
  <si>
    <t>Quantity</t>
  </si>
  <si>
    <t>Repairs</t>
  </si>
  <si>
    <t>REPAIRS</t>
  </si>
  <si>
    <t>Return over</t>
  </si>
  <si>
    <t>RETURNS</t>
  </si>
  <si>
    <t>Rots (Abound)</t>
  </si>
  <si>
    <t xml:space="preserve">Roundup   </t>
  </si>
  <si>
    <t>Roundup row middles (6' band)</t>
  </si>
  <si>
    <t>Rpr/hr</t>
  </si>
  <si>
    <t xml:space="preserve">Salvage </t>
  </si>
  <si>
    <t>Shaker</t>
  </si>
  <si>
    <t xml:space="preserve">SOUTHERN HIGHBUSH BLUEBERRIES IN SOIL RETURNS </t>
  </si>
  <si>
    <t>SOUTHERN HIGHBUSH BLUEBERRY IN SOIL BUDGET</t>
  </si>
  <si>
    <t>SPACING</t>
  </si>
  <si>
    <t>Speed</t>
  </si>
  <si>
    <t>Sprayer</t>
  </si>
  <si>
    <t>Stumping, pushing, burning 2/</t>
  </si>
  <si>
    <t>Sweeper/Blower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</si>
  <si>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</si>
  <si>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</si>
  <si>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</si>
  <si>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</si>
  <si>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</si>
  <si>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</si>
  <si>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</si>
  <si>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</si>
  <si>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</si>
  <si>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</si>
  <si>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</si>
  <si>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Cost</t>
  </si>
  <si>
    <t>Total Establishment Costs</t>
  </si>
  <si>
    <t>Total Fixed Costs</t>
  </si>
  <si>
    <t>Total Gross Returns Per Acre</t>
  </si>
  <si>
    <t>Total Harvest</t>
  </si>
  <si>
    <t>Total Harvesting &amp; Marketing Costs</t>
  </si>
  <si>
    <t>Total Harvesting and Marketing Costs</t>
  </si>
  <si>
    <t>Total Investment</t>
  </si>
  <si>
    <t>TOTAL INVESTMENT</t>
  </si>
  <si>
    <t>Total Operating Cost</t>
  </si>
  <si>
    <t>Total Operations Costs</t>
  </si>
  <si>
    <t>Total Pre-Harvest</t>
  </si>
  <si>
    <t>Total Variable Costs</t>
  </si>
  <si>
    <t>Total Variable, Harvesting &amp; Marketing Costs</t>
  </si>
  <si>
    <t>Tractor  &amp; Equipment</t>
  </si>
  <si>
    <t>Tractor  &amp; sprayer</t>
  </si>
  <si>
    <t>Tractor &amp; sprayer</t>
  </si>
  <si>
    <t>Tractor &amp; sprayor</t>
  </si>
  <si>
    <t>Tractor &amp; spreader</t>
  </si>
  <si>
    <t>Tractor (95hp)</t>
  </si>
  <si>
    <t>Tractor and equipment</t>
  </si>
  <si>
    <t>Tractor and Equipment</t>
  </si>
  <si>
    <t>Tractor,75(2)</t>
  </si>
  <si>
    <t>Tractor125</t>
  </si>
  <si>
    <t>Truck</t>
  </si>
  <si>
    <t>Unit</t>
  </si>
  <si>
    <t>Use</t>
  </si>
  <si>
    <t>Used</t>
  </si>
  <si>
    <t>Value</t>
  </si>
  <si>
    <t>Var. Cost</t>
  </si>
  <si>
    <t>Variable Costs</t>
  </si>
  <si>
    <t>VOLUME</t>
  </si>
  <si>
    <t>Wagon (used)</t>
  </si>
  <si>
    <t>Water tank</t>
  </si>
  <si>
    <t>Weed Control</t>
  </si>
  <si>
    <t>Weed Control (4' Band)</t>
  </si>
  <si>
    <t>Well (4") (50 gal/minute/acre)</t>
  </si>
  <si>
    <t>Width</t>
  </si>
  <si>
    <t>Worst</t>
  </si>
  <si>
    <t>Year</t>
  </si>
  <si>
    <t>Yield</t>
  </si>
  <si>
    <t>YIELD/AC</t>
  </si>
  <si>
    <t>yr</t>
  </si>
  <si>
    <t>Yr</t>
  </si>
  <si>
    <t>Yrs.</t>
  </si>
  <si>
    <t>Plants (3' x 12')</t>
  </si>
  <si>
    <t>6/yr</t>
  </si>
  <si>
    <t xml:space="preserve">Pipe &amp; Fittings </t>
  </si>
  <si>
    <t xml:space="preserve">Sprinklers </t>
  </si>
  <si>
    <t>Well (8") (600 Gals/min)</t>
  </si>
  <si>
    <t xml:space="preserve">           ANNUAL FIXED MACHINERY COSTS FOR S.H BLUEBERRY IN SOIL        </t>
  </si>
  <si>
    <t xml:space="preserve"> 1st Year Estimated Establishment And Maintenance Cost Per Acre </t>
  </si>
  <si>
    <t xml:space="preserve">Quant. </t>
  </si>
  <si>
    <t>Amount</t>
  </si>
  <si>
    <t xml:space="preserve">            2nd Year Estimated And Maintenance Cost Per Acre </t>
  </si>
  <si>
    <t>Operating Costs</t>
  </si>
  <si>
    <t xml:space="preserve">Total Operating Costs </t>
  </si>
  <si>
    <t xml:space="preserve">Fixed Costs </t>
  </si>
  <si>
    <t xml:space="preserve">Total Fixed Costs </t>
  </si>
  <si>
    <t xml:space="preserve">Gross Establishment Cost Per Acre </t>
  </si>
  <si>
    <t>Total Establishment Cost Per Acre</t>
  </si>
  <si>
    <t>Pruning  (manual) (3' X 12')</t>
  </si>
  <si>
    <t>Sensitivity Analysis for Price and Yields</t>
  </si>
  <si>
    <t>Expected</t>
  </si>
  <si>
    <t>Prices/Yield</t>
  </si>
  <si>
    <t>Solid Set Irrigation - Southern Highbush Blueberries</t>
  </si>
  <si>
    <t>13/yr</t>
  </si>
  <si>
    <t xml:space="preserve">Phosphate (DAP or MAP) </t>
  </si>
  <si>
    <t>BE Yields (Lb.)</t>
  </si>
  <si>
    <t>Break-Even (BE) Costs Per Lb.</t>
  </si>
  <si>
    <t>BE Pre-harvest variable cost per lb. ($)</t>
  </si>
  <si>
    <t>BE Harvest &amp; marketing cost per lb. ($)</t>
  </si>
  <si>
    <t>BE Total budgeted cost per lb ($).</t>
  </si>
  <si>
    <t xml:space="preserve">Total Variable Costs (VC) </t>
  </si>
  <si>
    <t>Total Establishment Cost/ Returns Per Acre</t>
  </si>
  <si>
    <t xml:space="preserve">     The initial investment for this example is $8,007 per acre based on only a 5 acre system.</t>
  </si>
  <si>
    <t xml:space="preserve">                                 BASE BUDGETED NET REVENUE =</t>
  </si>
  <si>
    <t xml:space="preserve">Tractor &amp; Equipment </t>
  </si>
  <si>
    <t>GROWERS ARE EXPECTED TO INPUT THEIR ACTUAL DATA HERE</t>
  </si>
  <si>
    <t>THIS BUDGET IS INTERACTIVE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</si>
  <si>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</si>
  <si>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</si>
  <si>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</si>
  <si>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</si>
  <si>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  BEH&amp;MC</t>
  </si>
  <si>
    <t>*********************************************************</t>
  </si>
  <si>
    <t>********************************************************</t>
  </si>
  <si>
    <t>**********************************************************</t>
  </si>
  <si>
    <t>James Jacobs and Shane Curry</t>
  </si>
  <si>
    <t xml:space="preserve">                                          </t>
  </si>
  <si>
    <t xml:space="preserve">  Extension Economist and Co. Agents, University of Georgia</t>
  </si>
  <si>
    <t>************************************************************</t>
  </si>
  <si>
    <t xml:space="preserve"> GROWERS ARE EXPECTED TO INPUT THEIR ACTUAL DATA HERE</t>
  </si>
  <si>
    <t>Quant</t>
  </si>
  <si>
    <t xml:space="preserve">            3rd Year Estimated And Maintenance Cost Per Acre </t>
  </si>
  <si>
    <t xml:space="preserve"> Labor</t>
  </si>
  <si>
    <t>CHEMICALS FOR SOUTHERN HIGHBUSH BLUEBERRY IN SOILS IN GEORGIA</t>
  </si>
  <si>
    <t>Herbicide</t>
  </si>
  <si>
    <t>Rotary Mower</t>
  </si>
  <si>
    <t>Shake</t>
  </si>
  <si>
    <t>Sweep</t>
  </si>
  <si>
    <t>Haul</t>
  </si>
  <si>
    <t>ESTIMATING MACHINERY OPERATING COSTS FOR S.H BLUEBERRIES</t>
  </si>
  <si>
    <t>Tax &amp;</t>
  </si>
  <si>
    <t>Ins</t>
  </si>
  <si>
    <t>* These prices are for new equipments. Used equipments could be purchased.</t>
  </si>
  <si>
    <t>10 by 10</t>
  </si>
  <si>
    <t>Operations</t>
  </si>
  <si>
    <t>Demand (standby charge) per YEAR</t>
  </si>
  <si>
    <t>Rate $ per KWH</t>
  </si>
  <si>
    <t>Years</t>
  </si>
  <si>
    <t>New</t>
  </si>
  <si>
    <t>Deprec</t>
  </si>
  <si>
    <t>Tax $</t>
  </si>
  <si>
    <t>and installation will run about $3,000 ~ $1.00/gal.</t>
  </si>
  <si>
    <t>1/- Optional fertigation using injection pump and motor including holding tanks and plumbing</t>
  </si>
  <si>
    <t>Insurance</t>
  </si>
  <si>
    <t>SPRINKLER SPACING</t>
  </si>
  <si>
    <t>per acre</t>
  </si>
  <si>
    <t>The cost based on HB planted on 12' x 5' pattern would incure $200 more because of about 25 more rows</t>
  </si>
  <si>
    <t>40 by 48</t>
  </si>
  <si>
    <t xml:space="preserve">BE Fixed costs per lb. ($)               </t>
  </si>
  <si>
    <t xml:space="preserve">  FC&amp;PHVC</t>
  </si>
  <si>
    <t>Expect Yield</t>
  </si>
  <si>
    <t>Expected Price</t>
  </si>
  <si>
    <t>Net Revenue</t>
  </si>
  <si>
    <t>Return</t>
  </si>
  <si>
    <t xml:space="preserve">Sensitivity Analysis </t>
  </si>
  <si>
    <t>Calculation of NPV</t>
  </si>
  <si>
    <t>R</t>
  </si>
  <si>
    <t>IRRIGATION: 1 (Enter 0 for none, 1 for drip, 2 for Solid Set)</t>
  </si>
  <si>
    <t>****Assuming yield as 1700 lbs per acre in 2nd year</t>
  </si>
  <si>
    <t>****Assuming yield as 4000 lbs per acre in 3rd year</t>
  </si>
  <si>
    <t>Georgia Southern Highbush Blueberry In Soil Fertigation</t>
  </si>
  <si>
    <t>Southern Highbush Blueberry In Soil in Georgia</t>
  </si>
  <si>
    <t>DRIP IRRIGATION FOR S. H.  BLUEBERRY IN SOIL</t>
  </si>
  <si>
    <t>NPV_5%</t>
  </si>
  <si>
    <t>NPV_2%</t>
  </si>
  <si>
    <t>Assuming discount rate as 2% and 5%</t>
  </si>
  <si>
    <t>Prepared By Esendugue Greg Fonsah, Saurav Raj Kunwar, Renee Holland</t>
  </si>
  <si>
    <t>SOUTHERN HIGHBUSH BLUEBERRY IN SOIL BUDGET  - 2022</t>
  </si>
  <si>
    <t>% Chance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</si>
</sst>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[$$-409]\ #,##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&quot;$&quot;#,##0.00"/>
    <numFmt numFmtId="179" formatCode="[$$-409]\ #,##0.0"/>
    <numFmt numFmtId="180" formatCode=";;"/>
    <numFmt numFmtId="181" formatCode="[$$-409]#,##0.00"/>
    <numFmt numFmtId="182" formatCode="0.000000000000%"/>
    <numFmt numFmtId="183" formatCode="0.00000000000"/>
    <numFmt numFmtId="184" formatCode="0.0000000000"/>
    <numFmt numFmtId="185" formatCode="0.000000000"/>
    <numFmt numFmtId="186" formatCode="0.00000000"/>
    <numFmt numFmtId="187" formatCode="0.000000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24"/>
      <name val="Arial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u val="single"/>
      <sz val="10"/>
      <color indexed="19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8"/>
      <color indexed="50"/>
      <name val="Calibri Light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double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0"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0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1" fillId="2" borderId="0" xfId="0" applyFont="1" applyFill="1" applyAlignment="1">
      <alignment/>
    </xf>
    <xf numFmtId="0" fontId="52" fillId="2" borderId="0" xfId="0" applyFont="1" applyFill="1" applyAlignment="1">
      <alignment/>
    </xf>
    <xf numFmtId="2" fontId="51" fillId="2" borderId="0" xfId="0" applyNumberFormat="1" applyFont="1" applyFill="1" applyAlignment="1">
      <alignment/>
    </xf>
    <xf numFmtId="2" fontId="5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2" fontId="3" fillId="2" borderId="13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52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2" fontId="3" fillId="2" borderId="0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ont="1" applyFill="1" applyBorder="1" applyAlignment="1">
      <alignment/>
    </xf>
    <xf numFmtId="2" fontId="0" fillId="2" borderId="11" xfId="0" applyNumberFormat="1" applyFill="1" applyBorder="1" applyAlignment="1">
      <alignment horizontal="right"/>
    </xf>
    <xf numFmtId="2" fontId="0" fillId="2" borderId="11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52" fillId="34" borderId="0" xfId="0" applyFont="1" applyFill="1" applyAlignment="1">
      <alignment vertical="center"/>
    </xf>
    <xf numFmtId="165" fontId="0" fillId="2" borderId="0" xfId="0" applyNumberFormat="1" applyFill="1" applyAlignment="1">
      <alignment horizontal="center"/>
    </xf>
    <xf numFmtId="0" fontId="53" fillId="2" borderId="0" xfId="0" applyFont="1" applyFill="1" applyAlignment="1">
      <alignment/>
    </xf>
    <xf numFmtId="0" fontId="54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2" fontId="6" fillId="2" borderId="14" xfId="0" applyNumberFormat="1" applyFont="1" applyFill="1" applyBorder="1" applyAlignment="1">
      <alignment horizontal="right"/>
    </xf>
    <xf numFmtId="2" fontId="6" fillId="2" borderId="15" xfId="0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2" fontId="3" fillId="2" borderId="0" xfId="0" applyNumberFormat="1" applyFont="1" applyFill="1" applyAlignment="1">
      <alignment/>
    </xf>
    <xf numFmtId="2" fontId="3" fillId="2" borderId="12" xfId="0" applyNumberFormat="1" applyFont="1" applyFill="1" applyBorder="1" applyAlignment="1">
      <alignment/>
    </xf>
    <xf numFmtId="2" fontId="3" fillId="2" borderId="16" xfId="0" applyNumberFormat="1" applyFont="1" applyFill="1" applyBorder="1" applyAlignment="1">
      <alignment horizontal="right"/>
    </xf>
    <xf numFmtId="2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2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/>
    </xf>
    <xf numFmtId="179" fontId="3" fillId="2" borderId="17" xfId="0" applyNumberFormat="1" applyFont="1" applyFill="1" applyBorder="1" applyAlignment="1">
      <alignment horizontal="center"/>
    </xf>
    <xf numFmtId="166" fontId="3" fillId="2" borderId="17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10" fontId="3" fillId="2" borderId="0" xfId="0" applyNumberFormat="1" applyFont="1" applyFill="1" applyAlignment="1">
      <alignment/>
    </xf>
    <xf numFmtId="1" fontId="3" fillId="2" borderId="10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164" fontId="0" fillId="2" borderId="0" xfId="0" applyNumberFormat="1" applyFont="1" applyFill="1" applyAlignment="1">
      <alignment horizontal="center"/>
    </xf>
    <xf numFmtId="0" fontId="52" fillId="34" borderId="0" xfId="0" applyFont="1" applyFill="1" applyAlignment="1">
      <alignment vertical="center"/>
    </xf>
    <xf numFmtId="0" fontId="0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2" borderId="0" xfId="0" applyNumberForma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3" fillId="2" borderId="18" xfId="0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/>
    </xf>
    <xf numFmtId="1" fontId="0" fillId="2" borderId="19" xfId="0" applyNumberFormat="1" applyFill="1" applyBorder="1" applyAlignment="1">
      <alignment/>
    </xf>
    <xf numFmtId="0" fontId="3" fillId="2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8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2" fontId="6" fillId="2" borderId="22" xfId="0" applyNumberFormat="1" applyFont="1" applyFill="1" applyBorder="1" applyAlignment="1">
      <alignment horizontal="right"/>
    </xf>
    <xf numFmtId="178" fontId="3" fillId="2" borderId="0" xfId="0" applyNumberFormat="1" applyFont="1" applyFill="1" applyAlignment="1">
      <alignment/>
    </xf>
    <xf numFmtId="0" fontId="55" fillId="34" borderId="0" xfId="0" applyFont="1" applyFill="1" applyAlignment="1">
      <alignment vertical="center"/>
    </xf>
    <xf numFmtId="1" fontId="0" fillId="2" borderId="0" xfId="0" applyNumberFormat="1" applyFill="1" applyBorder="1" applyAlignment="1">
      <alignment/>
    </xf>
    <xf numFmtId="10" fontId="0" fillId="2" borderId="0" xfId="0" applyNumberFormat="1" applyFill="1" applyAlignment="1">
      <alignment/>
    </xf>
    <xf numFmtId="178" fontId="0" fillId="2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80" fontId="0" fillId="2" borderId="0" xfId="0" applyNumberFormat="1" applyFill="1" applyBorder="1" applyAlignment="1">
      <alignment horizontal="right"/>
    </xf>
    <xf numFmtId="1" fontId="55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1" fontId="51" fillId="2" borderId="0" xfId="0" applyNumberFormat="1" applyFont="1" applyFill="1" applyBorder="1" applyAlignment="1">
      <alignment horizontal="right"/>
    </xf>
    <xf numFmtId="9" fontId="0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1" fontId="52" fillId="2" borderId="0" xfId="0" applyNumberFormat="1" applyFont="1" applyFill="1" applyBorder="1" applyAlignment="1">
      <alignment horizontal="right"/>
    </xf>
    <xf numFmtId="9" fontId="3" fillId="2" borderId="0" xfId="0" applyNumberFormat="1" applyFont="1" applyFill="1" applyBorder="1" applyAlignment="1">
      <alignment horizontal="right"/>
    </xf>
    <xf numFmtId="1" fontId="0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2" fontId="3" fillId="2" borderId="23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2" fontId="6" fillId="2" borderId="19" xfId="0" applyNumberFormat="1" applyFont="1" applyFill="1" applyBorder="1" applyAlignment="1">
      <alignment horizontal="right"/>
    </xf>
    <xf numFmtId="0" fontId="52" fillId="34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53" fillId="2" borderId="24" xfId="0" applyFont="1" applyFill="1" applyBorder="1" applyAlignment="1">
      <alignment horizontal="center"/>
    </xf>
    <xf numFmtId="0" fontId="53" fillId="2" borderId="25" xfId="0" applyFont="1" applyFill="1" applyBorder="1" applyAlignment="1">
      <alignment horizontal="center"/>
    </xf>
    <xf numFmtId="0" fontId="53" fillId="2" borderId="2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3" fontId="0" fillId="2" borderId="0" xfId="0" applyNumberFormat="1" applyFill="1" applyAlignment="1">
      <alignment horizontal="right"/>
    </xf>
    <xf numFmtId="0" fontId="0" fillId="2" borderId="0" xfId="0" applyFont="1" applyFill="1" applyBorder="1" applyAlignment="1">
      <alignment/>
    </xf>
    <xf numFmtId="9" fontId="0" fillId="2" borderId="0" xfId="0" applyNumberFormat="1" applyFill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00FFFF"/>
      <rgbColor rgb="00FF00FF"/>
      <rgbColor rgb="00000080"/>
      <rgbColor rgb="00FFFFFF"/>
      <rgbColor rgb="00B0B0FF"/>
      <rgbColor rgb="00C890FF"/>
      <rgbColor rgb="000080FF"/>
      <rgbColor rgb="00B0FFFF"/>
      <rgbColor rgb="0070FFFF"/>
      <rgbColor rgb="00FFB0B0"/>
      <rgbColor rgb="00FFB870"/>
      <rgbColor rgb="00FF0080"/>
      <rgbColor rgb="00FF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104</xdr:row>
      <xdr:rowOff>161925</xdr:rowOff>
    </xdr:from>
    <xdr:to>
      <xdr:col>9</xdr:col>
      <xdr:colOff>323850</xdr:colOff>
      <xdr:row>107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7173575"/>
          <a:ext cx="1943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48</xdr:row>
      <xdr:rowOff>0</xdr:rowOff>
    </xdr:from>
    <xdr:to>
      <xdr:col>9</xdr:col>
      <xdr:colOff>600075</xdr:colOff>
      <xdr:row>51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7800975"/>
          <a:ext cx="2590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485775</xdr:colOff>
      <xdr:row>50</xdr:row>
      <xdr:rowOff>85725</xdr:rowOff>
    </xdr:from>
    <xdr:to>
      <xdr:col>21</xdr:col>
      <xdr:colOff>0</xdr:colOff>
      <xdr:row>53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8324850"/>
          <a:ext cx="1600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48</xdr:row>
      <xdr:rowOff>28575</xdr:rowOff>
    </xdr:from>
    <xdr:to>
      <xdr:col>22</xdr:col>
      <xdr:colOff>0</xdr:colOff>
      <xdr:row>52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8001000"/>
          <a:ext cx="2028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428625</xdr:colOff>
      <xdr:row>45</xdr:row>
      <xdr:rowOff>161925</xdr:rowOff>
    </xdr:from>
    <xdr:to>
      <xdr:col>19</xdr:col>
      <xdr:colOff>0</xdr:colOff>
      <xdr:row>49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7667625"/>
          <a:ext cx="2524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46</xdr:row>
      <xdr:rowOff>161925</xdr:rowOff>
    </xdr:from>
    <xdr:to>
      <xdr:col>7</xdr:col>
      <xdr:colOff>600075</xdr:colOff>
      <xdr:row>49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7724775"/>
          <a:ext cx="1866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46</xdr:row>
      <xdr:rowOff>47625</xdr:rowOff>
    </xdr:from>
    <xdr:to>
      <xdr:col>10</xdr:col>
      <xdr:colOff>600075</xdr:colOff>
      <xdr:row>49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7553325"/>
          <a:ext cx="2562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47</xdr:row>
      <xdr:rowOff>47625</xdr:rowOff>
    </xdr:from>
    <xdr:to>
      <xdr:col>11</xdr:col>
      <xdr:colOff>0</xdr:colOff>
      <xdr:row>50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7800975"/>
          <a:ext cx="2495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47</xdr:row>
      <xdr:rowOff>133350</xdr:rowOff>
    </xdr:from>
    <xdr:to>
      <xdr:col>10</xdr:col>
      <xdr:colOff>0</xdr:colOff>
      <xdr:row>50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7896225"/>
          <a:ext cx="1828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46</xdr:row>
      <xdr:rowOff>114300</xdr:rowOff>
    </xdr:from>
    <xdr:to>
      <xdr:col>7</xdr:col>
      <xdr:colOff>723900</xdr:colOff>
      <xdr:row>49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777240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1:W133"/>
  <sheetViews>
    <sheetView tabSelected="1" zoomScale="120" zoomScaleNormal="120" workbookViewId="0" topLeftCell="A1">
      <selection activeCell="V7" sqref="L5:V7"/>
    </sheetView>
  </sheetViews>
  <sheetFormatPr defaultColWidth="9.140625" defaultRowHeight="12.75"/>
  <cols>
    <col min="1" max="1" width="1.28515625" style="0" customWidth="1"/>
    <col min="2" max="2" width="12.00390625" style="0" customWidth="1"/>
    <col min="3" max="3" width="9.00390625" style="0" customWidth="1"/>
    <col min="4" max="4" width="8.57421875" style="0" customWidth="1"/>
    <col min="5" max="5" width="10.28125" style="0" customWidth="1"/>
    <col min="6" max="6" width="8.421875" style="0" customWidth="1"/>
    <col min="7" max="7" width="10.57421875" style="0" customWidth="1"/>
    <col min="8" max="8" width="10.140625" style="0" customWidth="1"/>
    <col min="9" max="9" width="11.140625" style="0" customWidth="1"/>
    <col min="10" max="10" width="9.140625" style="0" customWidth="1"/>
    <col min="11" max="11" width="11.00390625" style="0" customWidth="1"/>
    <col min="12" max="12" width="8.140625" style="0" customWidth="1"/>
    <col min="13" max="13" width="8.57421875" style="0" customWidth="1"/>
    <col min="14" max="14" width="9.8515625" style="0" customWidth="1"/>
    <col min="15" max="15" width="8.00390625" style="0" customWidth="1"/>
    <col min="16" max="16" width="9.421875" style="0" bestFit="1" customWidth="1"/>
    <col min="17" max="17" width="7.28125" style="0" customWidth="1"/>
    <col min="18" max="18" width="8.140625" style="0" customWidth="1"/>
    <col min="19" max="19" width="0.71875" style="0" customWidth="1"/>
    <col min="20" max="20" width="7.421875" style="0" customWidth="1"/>
    <col min="21" max="21" width="2.57421875" style="0" customWidth="1"/>
    <col min="22" max="22" width="10.7109375" style="0" customWidth="1"/>
    <col min="23" max="23" width="10.7109375" style="0" bestFit="1" customWidth="1"/>
    <col min="34" max="34" width="3.28125" style="0" customWidth="1"/>
    <col min="35" max="35" width="1.57421875" style="0" customWidth="1"/>
    <col min="36" max="36" width="2.421875" style="0" customWidth="1"/>
    <col min="37" max="37" width="54.7109375" style="0" customWidth="1"/>
    <col min="38" max="38" width="2.421875" style="0" customWidth="1"/>
    <col min="39" max="39" width="1.57421875" style="0" customWidth="1"/>
  </cols>
  <sheetData>
    <row r="1" spans="2:10" ht="12.75">
      <c r="B1" s="30"/>
      <c r="C1" s="30"/>
      <c r="D1" s="30"/>
      <c r="E1" s="30"/>
      <c r="F1" s="30"/>
      <c r="G1" s="30"/>
      <c r="H1" s="30"/>
      <c r="I1" s="30"/>
      <c r="J1" s="30"/>
    </row>
    <row r="2" spans="2:10" ht="12.75">
      <c r="B2" s="30"/>
      <c r="C2" s="30"/>
      <c r="D2" s="30"/>
      <c r="E2" s="30"/>
      <c r="F2" s="30"/>
      <c r="G2" s="30"/>
      <c r="H2" s="30"/>
      <c r="I2" s="30"/>
      <c r="J2" s="30"/>
    </row>
    <row r="3" spans="2:10" ht="12.75">
      <c r="B3" s="30"/>
      <c r="C3" s="156" t="s">
        <v>239</v>
      </c>
      <c r="D3" s="156"/>
      <c r="E3" s="156"/>
      <c r="F3" s="156"/>
      <c r="G3" s="156"/>
      <c r="H3" s="156"/>
      <c r="I3" s="156"/>
      <c r="J3" s="30"/>
    </row>
    <row r="4" spans="2:11" ht="12.75">
      <c r="B4" s="30"/>
      <c r="C4" s="156" t="s">
        <v>395</v>
      </c>
      <c r="D4" s="156"/>
      <c r="E4" s="156"/>
      <c r="F4" s="156"/>
      <c r="G4" s="156"/>
      <c r="H4" s="156"/>
      <c r="I4" s="156"/>
      <c r="J4" s="30"/>
    </row>
    <row r="5" spans="2:18" ht="12.75">
      <c r="B5" s="30"/>
      <c r="C5" s="156" t="s">
        <v>344</v>
      </c>
      <c r="D5" s="156"/>
      <c r="E5" s="156"/>
      <c r="F5" s="156"/>
      <c r="G5" s="156"/>
      <c r="H5" s="156"/>
      <c r="I5" s="156"/>
      <c r="J5" s="30"/>
      <c r="N5" s="54"/>
      <c r="O5" s="54"/>
      <c r="P5" s="54"/>
      <c r="Q5" s="104"/>
      <c r="R5" s="104"/>
    </row>
    <row r="6" spans="2:18" ht="12.75">
      <c r="B6" s="30" t="s">
        <v>345</v>
      </c>
      <c r="C6" s="156" t="s">
        <v>346</v>
      </c>
      <c r="D6" s="156"/>
      <c r="E6" s="156"/>
      <c r="F6" s="156"/>
      <c r="G6" s="156"/>
      <c r="H6" s="156"/>
      <c r="I6" s="156"/>
      <c r="J6" s="30" t="s">
        <v>0</v>
      </c>
      <c r="N6" s="105"/>
      <c r="O6" s="105"/>
      <c r="P6" s="106"/>
      <c r="Q6" s="105"/>
      <c r="R6" s="105"/>
    </row>
    <row r="7" spans="2:18" ht="21">
      <c r="B7" s="30"/>
      <c r="C7" s="157" t="s">
        <v>335</v>
      </c>
      <c r="D7" s="157"/>
      <c r="E7" s="157"/>
      <c r="F7" s="157"/>
      <c r="G7" s="157"/>
      <c r="H7" s="157"/>
      <c r="I7" s="157"/>
      <c r="J7" s="30"/>
      <c r="N7" s="55"/>
      <c r="O7" s="55"/>
      <c r="P7" s="104"/>
      <c r="Q7" s="55"/>
      <c r="R7" s="55"/>
    </row>
    <row r="8" spans="3:11" ht="13.5" customHeight="1">
      <c r="C8" s="158" t="s">
        <v>396</v>
      </c>
      <c r="D8" s="158"/>
      <c r="E8" s="158"/>
      <c r="F8" s="158"/>
      <c r="G8" s="158"/>
      <c r="H8" s="158"/>
      <c r="I8" s="158"/>
    </row>
    <row r="9" ht="6.75" customHeight="1"/>
    <row r="10" spans="2:21" ht="12.75">
      <c r="B10" s="30"/>
      <c r="C10" s="30"/>
      <c r="D10" s="30"/>
      <c r="E10" s="30" t="s">
        <v>4</v>
      </c>
      <c r="F10" s="30"/>
      <c r="G10" s="30"/>
      <c r="H10" s="30"/>
      <c r="I10" s="30"/>
      <c r="L10" s="3"/>
      <c r="N10" s="30"/>
      <c r="O10" s="30"/>
      <c r="P10" s="30"/>
      <c r="Q10" s="30"/>
      <c r="R10" s="30"/>
      <c r="S10" s="30"/>
      <c r="T10" s="30"/>
      <c r="U10" s="30"/>
    </row>
    <row r="11" spans="2:21" ht="12.75">
      <c r="B11" s="30"/>
      <c r="C11" s="30"/>
      <c r="D11" s="30"/>
      <c r="E11" s="30" t="s">
        <v>5</v>
      </c>
      <c r="F11" s="30"/>
      <c r="G11" s="30"/>
      <c r="H11" s="30"/>
      <c r="I11" s="145">
        <v>1</v>
      </c>
      <c r="N11" s="30"/>
      <c r="O11" s="30"/>
      <c r="P11" s="30"/>
      <c r="Q11" s="30"/>
      <c r="R11" s="30"/>
      <c r="S11" s="30"/>
      <c r="T11" s="30"/>
      <c r="U11" s="30"/>
    </row>
    <row r="12" spans="2:21" ht="12.75">
      <c r="B12" s="30"/>
      <c r="C12" s="30"/>
      <c r="D12" s="103" t="s">
        <v>386</v>
      </c>
      <c r="E12" s="30"/>
      <c r="F12" s="30"/>
      <c r="G12" s="30"/>
      <c r="H12" s="30"/>
      <c r="I12" s="106"/>
      <c r="N12" s="30"/>
      <c r="O12" s="30"/>
      <c r="P12" s="30"/>
      <c r="Q12" s="30"/>
      <c r="R12" s="30"/>
      <c r="S12" s="30"/>
      <c r="T12" s="30"/>
      <c r="U12" s="30"/>
    </row>
    <row r="13" spans="2:21" ht="13.5" thickBot="1">
      <c r="B13" s="30"/>
      <c r="C13" s="30"/>
      <c r="D13" s="30"/>
      <c r="E13" s="30"/>
      <c r="F13" s="30"/>
      <c r="G13" s="30"/>
      <c r="H13" s="30"/>
      <c r="I13" s="30"/>
      <c r="N13" s="30"/>
      <c r="O13" s="30"/>
      <c r="P13" s="30"/>
      <c r="Q13" s="30"/>
      <c r="R13" s="30"/>
      <c r="S13" s="30"/>
      <c r="T13" s="30"/>
      <c r="U13" s="30"/>
    </row>
    <row r="14" spans="2:23" ht="15">
      <c r="B14" s="30"/>
      <c r="C14" s="30"/>
      <c r="D14" s="30"/>
      <c r="E14" s="54" t="s">
        <v>96</v>
      </c>
      <c r="F14" s="54" t="s">
        <v>194</v>
      </c>
      <c r="G14" s="54" t="s">
        <v>182</v>
      </c>
      <c r="H14" s="104" t="s">
        <v>201</v>
      </c>
      <c r="I14" s="104" t="s">
        <v>294</v>
      </c>
      <c r="J14" s="1" t="s">
        <v>0</v>
      </c>
      <c r="M14" s="153" t="s">
        <v>348</v>
      </c>
      <c r="N14" s="154"/>
      <c r="O14" s="154"/>
      <c r="P14" s="154"/>
      <c r="Q14" s="154"/>
      <c r="R14" s="154"/>
      <c r="S14" s="154"/>
      <c r="T14" s="154"/>
      <c r="U14" s="154"/>
      <c r="V14" s="155"/>
      <c r="W14" s="75"/>
    </row>
    <row r="15" spans="2:22" ht="12.75">
      <c r="B15" s="30" t="s">
        <v>68</v>
      </c>
      <c r="C15" s="30"/>
      <c r="D15" s="30"/>
      <c r="E15" s="105">
        <f>MEDY*1.2</f>
        <v>8400</v>
      </c>
      <c r="F15" s="105">
        <f>MEDY*1.1</f>
        <v>7700.000000000001</v>
      </c>
      <c r="G15" s="106">
        <v>7000</v>
      </c>
      <c r="H15" s="105">
        <f>MEDY*0.9</f>
        <v>6300</v>
      </c>
      <c r="I15" s="105">
        <f>MEDY*0.8</f>
        <v>5600</v>
      </c>
      <c r="M15" s="112"/>
      <c r="N15" s="30"/>
      <c r="O15" s="30"/>
      <c r="P15" s="30"/>
      <c r="Q15" s="30"/>
      <c r="R15" s="30"/>
      <c r="S15" s="30"/>
      <c r="T15" s="30"/>
      <c r="U15" s="30"/>
      <c r="V15" s="113"/>
    </row>
    <row r="16" spans="2:22" ht="12.75">
      <c r="B16" s="30" t="s">
        <v>66</v>
      </c>
      <c r="C16" s="30"/>
      <c r="D16" s="30"/>
      <c r="E16" s="55">
        <v>3.3</v>
      </c>
      <c r="F16" s="55">
        <v>3.03</v>
      </c>
      <c r="G16" s="104">
        <v>2.75</v>
      </c>
      <c r="H16" s="55">
        <v>2.48</v>
      </c>
      <c r="I16" s="55">
        <v>2.2</v>
      </c>
      <c r="K16" t="s">
        <v>1</v>
      </c>
      <c r="M16" s="112"/>
      <c r="N16" s="30"/>
      <c r="O16" s="30"/>
      <c r="P16" s="30"/>
      <c r="Q16" s="30"/>
      <c r="R16" s="30"/>
      <c r="S16" s="30"/>
      <c r="T16" s="30"/>
      <c r="U16" s="30"/>
      <c r="V16" s="113"/>
    </row>
    <row r="17" spans="2:22" ht="12.75">
      <c r="B17" s="30"/>
      <c r="C17" s="30"/>
      <c r="D17" s="30"/>
      <c r="E17" s="30"/>
      <c r="F17" s="30"/>
      <c r="G17" s="30"/>
      <c r="H17" s="30"/>
      <c r="I17" s="30"/>
      <c r="M17" s="112"/>
      <c r="N17" s="30"/>
      <c r="O17" s="30"/>
      <c r="P17" s="30"/>
      <c r="Q17" s="30"/>
      <c r="R17" s="30"/>
      <c r="S17" s="30"/>
      <c r="T17" s="30"/>
      <c r="U17" s="30"/>
      <c r="V17" s="113"/>
    </row>
    <row r="18" spans="2:22" ht="12.75">
      <c r="B18" s="130" t="s">
        <v>171</v>
      </c>
      <c r="C18" s="54"/>
      <c r="D18" s="54"/>
      <c r="E18" s="54" t="s">
        <v>93</v>
      </c>
      <c r="F18" s="54" t="s">
        <v>281</v>
      </c>
      <c r="G18" s="54" t="s">
        <v>226</v>
      </c>
      <c r="H18" s="104" t="s">
        <v>218</v>
      </c>
      <c r="I18" s="106" t="s">
        <v>59</v>
      </c>
      <c r="M18" s="114" t="s">
        <v>171</v>
      </c>
      <c r="N18" s="54"/>
      <c r="O18" s="54"/>
      <c r="P18" s="54" t="s">
        <v>93</v>
      </c>
      <c r="Q18" s="54" t="s">
        <v>281</v>
      </c>
      <c r="R18" s="54" t="s">
        <v>226</v>
      </c>
      <c r="S18" s="30"/>
      <c r="T18" s="104" t="s">
        <v>218</v>
      </c>
      <c r="U18" s="30"/>
      <c r="V18" s="115" t="s">
        <v>59</v>
      </c>
    </row>
    <row r="19" spans="2:22" ht="12.75">
      <c r="B19" s="131" t="s">
        <v>286</v>
      </c>
      <c r="C19" s="30"/>
      <c r="D19" s="30"/>
      <c r="E19" s="30"/>
      <c r="F19" s="30"/>
      <c r="G19" s="30"/>
      <c r="H19" s="30"/>
      <c r="I19" s="127" t="s">
        <v>0</v>
      </c>
      <c r="M19" s="116" t="s">
        <v>286</v>
      </c>
      <c r="N19" s="30"/>
      <c r="O19" s="30"/>
      <c r="P19" s="30"/>
      <c r="Q19" s="30"/>
      <c r="R19" s="30"/>
      <c r="S19" s="30"/>
      <c r="T19" s="30"/>
      <c r="U19" s="30"/>
      <c r="V19" s="117" t="s">
        <v>0</v>
      </c>
    </row>
    <row r="20" spans="2:22" ht="12.75">
      <c r="B20" s="61" t="s">
        <v>129</v>
      </c>
      <c r="C20" s="61"/>
      <c r="D20" s="30"/>
      <c r="E20" s="30"/>
      <c r="F20" s="39"/>
      <c r="G20" s="39"/>
      <c r="H20" s="55"/>
      <c r="I20" s="30"/>
      <c r="M20" s="118" t="s">
        <v>129</v>
      </c>
      <c r="N20" s="61"/>
      <c r="O20" s="30"/>
      <c r="P20" s="30"/>
      <c r="Q20" s="39"/>
      <c r="R20" s="39"/>
      <c r="S20" s="30"/>
      <c r="T20" s="55"/>
      <c r="U20" s="30"/>
      <c r="V20" s="113"/>
    </row>
    <row r="21" spans="2:22" ht="12.75">
      <c r="B21" s="107" t="s">
        <v>124</v>
      </c>
      <c r="C21" s="107"/>
      <c r="D21" s="107"/>
      <c r="E21" s="30" t="s">
        <v>298</v>
      </c>
      <c r="F21" s="30" t="s">
        <v>143</v>
      </c>
      <c r="G21" s="30">
        <v>85</v>
      </c>
      <c r="H21" s="63">
        <v>1.95</v>
      </c>
      <c r="I21" s="146">
        <f aca="true" t="shared" si="0" ref="I21:I31">G21*H21</f>
        <v>165.75</v>
      </c>
      <c r="M21" s="119" t="s">
        <v>124</v>
      </c>
      <c r="N21" s="107"/>
      <c r="O21" s="107"/>
      <c r="P21" s="107" t="s">
        <v>298</v>
      </c>
      <c r="Q21" s="120" t="s">
        <v>143</v>
      </c>
      <c r="R21" s="149"/>
      <c r="S21" s="30"/>
      <c r="T21" s="149"/>
      <c r="U21" s="30"/>
      <c r="V21" s="150">
        <f aca="true" t="shared" si="1" ref="V21:V31">R21*T21</f>
        <v>0</v>
      </c>
    </row>
    <row r="22" spans="2:22" ht="12.75">
      <c r="B22" s="61" t="s">
        <v>291</v>
      </c>
      <c r="C22" s="61"/>
      <c r="D22" s="61"/>
      <c r="E22" s="30"/>
      <c r="F22" s="39"/>
      <c r="G22" s="108"/>
      <c r="H22" s="108"/>
      <c r="I22" s="108">
        <f t="shared" si="0"/>
        <v>0</v>
      </c>
      <c r="M22" s="118" t="s">
        <v>291</v>
      </c>
      <c r="N22" s="61"/>
      <c r="O22" s="61"/>
      <c r="P22" s="30"/>
      <c r="Q22" s="39"/>
      <c r="R22" s="30"/>
      <c r="S22" s="30"/>
      <c r="T22" s="30"/>
      <c r="U22" s="30"/>
      <c r="V22" s="113"/>
    </row>
    <row r="23" spans="2:22" ht="12.75">
      <c r="B23" s="30" t="s">
        <v>210</v>
      </c>
      <c r="C23" s="30"/>
      <c r="D23" s="30"/>
      <c r="E23" s="30" t="s">
        <v>75</v>
      </c>
      <c r="F23" s="39" t="s">
        <v>81</v>
      </c>
      <c r="G23" s="108">
        <v>2</v>
      </c>
      <c r="H23" s="108">
        <v>52.5</v>
      </c>
      <c r="I23" s="108">
        <f t="shared" si="0"/>
        <v>105</v>
      </c>
      <c r="M23" s="112" t="s">
        <v>210</v>
      </c>
      <c r="N23" s="30"/>
      <c r="O23" s="30"/>
      <c r="P23" s="30" t="s">
        <v>75</v>
      </c>
      <c r="Q23" s="39" t="s">
        <v>81</v>
      </c>
      <c r="R23" s="149"/>
      <c r="S23" s="30"/>
      <c r="T23" s="149"/>
      <c r="U23" s="30"/>
      <c r="V23" s="150">
        <f t="shared" si="1"/>
        <v>0</v>
      </c>
    </row>
    <row r="24" spans="2:22" ht="12.75">
      <c r="B24" s="30" t="s">
        <v>208</v>
      </c>
      <c r="C24" s="30"/>
      <c r="D24" s="30"/>
      <c r="E24" s="30" t="s">
        <v>77</v>
      </c>
      <c r="F24" s="39" t="s">
        <v>81</v>
      </c>
      <c r="G24" s="108">
        <v>3</v>
      </c>
      <c r="H24" s="108">
        <v>15.75</v>
      </c>
      <c r="I24" s="108">
        <f t="shared" si="0"/>
        <v>47.25</v>
      </c>
      <c r="M24" s="112" t="s">
        <v>208</v>
      </c>
      <c r="N24" s="30"/>
      <c r="O24" s="30"/>
      <c r="P24" s="30" t="s">
        <v>77</v>
      </c>
      <c r="Q24" s="39" t="s">
        <v>81</v>
      </c>
      <c r="R24" s="149"/>
      <c r="S24" s="30"/>
      <c r="T24" s="149"/>
      <c r="U24" s="30"/>
      <c r="V24" s="150">
        <f t="shared" si="1"/>
        <v>0</v>
      </c>
    </row>
    <row r="25" spans="2:22" ht="12.75">
      <c r="B25" s="30" t="s">
        <v>272</v>
      </c>
      <c r="C25" s="30"/>
      <c r="D25" s="30"/>
      <c r="E25" s="30" t="s">
        <v>78</v>
      </c>
      <c r="F25" s="39" t="s">
        <v>153</v>
      </c>
      <c r="G25" s="108">
        <v>4</v>
      </c>
      <c r="H25" s="108">
        <v>12</v>
      </c>
      <c r="I25" s="108">
        <f t="shared" si="0"/>
        <v>48</v>
      </c>
      <c r="M25" s="112" t="s">
        <v>272</v>
      </c>
      <c r="N25" s="30"/>
      <c r="O25" s="30"/>
      <c r="P25" s="30" t="s">
        <v>78</v>
      </c>
      <c r="Q25" s="39" t="s">
        <v>153</v>
      </c>
      <c r="R25" s="149"/>
      <c r="S25" s="30"/>
      <c r="T25" s="149"/>
      <c r="U25" s="30"/>
      <c r="V25" s="150">
        <f t="shared" si="1"/>
        <v>0</v>
      </c>
    </row>
    <row r="26" spans="2:22" ht="12.75">
      <c r="B26" s="103" t="s">
        <v>172</v>
      </c>
      <c r="C26" s="30"/>
      <c r="D26" s="30"/>
      <c r="E26" s="30" t="s">
        <v>78</v>
      </c>
      <c r="F26" s="39" t="s">
        <v>153</v>
      </c>
      <c r="G26" s="108">
        <v>4</v>
      </c>
      <c r="H26" s="108">
        <v>9</v>
      </c>
      <c r="I26" s="108">
        <f t="shared" si="0"/>
        <v>36</v>
      </c>
      <c r="M26" s="121" t="s">
        <v>172</v>
      </c>
      <c r="N26" s="30"/>
      <c r="O26" s="30"/>
      <c r="P26" s="30" t="s">
        <v>78</v>
      </c>
      <c r="Q26" s="39" t="s">
        <v>153</v>
      </c>
      <c r="R26" s="149"/>
      <c r="S26" s="30"/>
      <c r="T26" s="149"/>
      <c r="U26" s="30"/>
      <c r="V26" s="150">
        <f t="shared" si="1"/>
        <v>0</v>
      </c>
    </row>
    <row r="27" spans="2:22" ht="12.75">
      <c r="B27" s="61" t="s">
        <v>158</v>
      </c>
      <c r="C27" s="61"/>
      <c r="D27" s="61"/>
      <c r="E27" s="30"/>
      <c r="F27" s="39"/>
      <c r="G27" s="108"/>
      <c r="H27" s="108"/>
      <c r="I27" s="108">
        <f t="shared" si="0"/>
        <v>0</v>
      </c>
      <c r="M27" s="118" t="s">
        <v>158</v>
      </c>
      <c r="N27" s="61"/>
      <c r="O27" s="61"/>
      <c r="P27" s="30"/>
      <c r="Q27" s="39"/>
      <c r="R27" s="30"/>
      <c r="S27" s="30"/>
      <c r="T27" s="30"/>
      <c r="U27" s="30"/>
      <c r="V27" s="113"/>
    </row>
    <row r="28" spans="2:22" ht="12.75">
      <c r="B28" s="30" t="s">
        <v>161</v>
      </c>
      <c r="C28" s="30"/>
      <c r="D28" s="30"/>
      <c r="E28" s="30" t="s">
        <v>79</v>
      </c>
      <c r="F28" s="39" t="s">
        <v>81</v>
      </c>
      <c r="G28" s="108">
        <v>5</v>
      </c>
      <c r="H28" s="108">
        <v>7.35</v>
      </c>
      <c r="I28" s="108">
        <f t="shared" si="0"/>
        <v>36.75</v>
      </c>
      <c r="M28" s="112" t="s">
        <v>161</v>
      </c>
      <c r="N28" s="30"/>
      <c r="O28" s="30"/>
      <c r="P28" s="30" t="s">
        <v>79</v>
      </c>
      <c r="Q28" s="39" t="s">
        <v>81</v>
      </c>
      <c r="R28" s="149"/>
      <c r="S28" s="30"/>
      <c r="T28" s="149"/>
      <c r="U28" s="30"/>
      <c r="V28" s="150">
        <f t="shared" si="1"/>
        <v>0</v>
      </c>
    </row>
    <row r="29" spans="2:22" ht="12.75">
      <c r="B29" s="30" t="s">
        <v>142</v>
      </c>
      <c r="C29" s="30"/>
      <c r="D29" s="30"/>
      <c r="E29" s="30" t="s">
        <v>80</v>
      </c>
      <c r="F29" s="39" t="s">
        <v>81</v>
      </c>
      <c r="G29" s="108">
        <v>8</v>
      </c>
      <c r="H29" s="108">
        <v>48.44</v>
      </c>
      <c r="I29" s="108">
        <f t="shared" si="0"/>
        <v>387.52</v>
      </c>
      <c r="M29" s="112" t="s">
        <v>142</v>
      </c>
      <c r="N29" s="30"/>
      <c r="O29" s="30"/>
      <c r="P29" s="30" t="s">
        <v>80</v>
      </c>
      <c r="Q29" s="39" t="s">
        <v>81</v>
      </c>
      <c r="R29" s="149"/>
      <c r="S29" s="30"/>
      <c r="T29" s="149"/>
      <c r="U29" s="30"/>
      <c r="V29" s="150">
        <f t="shared" si="1"/>
        <v>0</v>
      </c>
    </row>
    <row r="30" spans="2:22" ht="12.75">
      <c r="B30" s="30" t="s">
        <v>272</v>
      </c>
      <c r="C30" s="30"/>
      <c r="D30" s="30"/>
      <c r="E30" s="30" t="s">
        <v>322</v>
      </c>
      <c r="F30" s="39" t="s">
        <v>153</v>
      </c>
      <c r="G30" s="108">
        <v>13</v>
      </c>
      <c r="H30" s="108">
        <v>12</v>
      </c>
      <c r="I30" s="108">
        <f t="shared" si="0"/>
        <v>156</v>
      </c>
      <c r="M30" s="112" t="s">
        <v>272</v>
      </c>
      <c r="N30" s="30"/>
      <c r="O30" s="30"/>
      <c r="P30" s="30" t="s">
        <v>322</v>
      </c>
      <c r="Q30" s="39" t="s">
        <v>153</v>
      </c>
      <c r="R30" s="149"/>
      <c r="S30" s="30"/>
      <c r="T30" s="149"/>
      <c r="U30" s="30"/>
      <c r="V30" s="150">
        <f t="shared" si="1"/>
        <v>0</v>
      </c>
    </row>
    <row r="31" spans="2:22" ht="12.75">
      <c r="B31" s="30" t="s">
        <v>173</v>
      </c>
      <c r="C31" s="30"/>
      <c r="D31" s="30"/>
      <c r="E31" s="30" t="s">
        <v>322</v>
      </c>
      <c r="F31" s="39" t="s">
        <v>81</v>
      </c>
      <c r="G31" s="108">
        <v>13</v>
      </c>
      <c r="H31" s="108">
        <v>9</v>
      </c>
      <c r="I31" s="108">
        <f t="shared" si="0"/>
        <v>117</v>
      </c>
      <c r="M31" s="112" t="s">
        <v>173</v>
      </c>
      <c r="N31" s="30"/>
      <c r="O31" s="30"/>
      <c r="P31" s="30" t="s">
        <v>322</v>
      </c>
      <c r="Q31" s="39" t="s">
        <v>81</v>
      </c>
      <c r="R31" s="149"/>
      <c r="S31" s="30"/>
      <c r="T31" s="149"/>
      <c r="U31" s="30"/>
      <c r="V31" s="150">
        <f t="shared" si="1"/>
        <v>0</v>
      </c>
    </row>
    <row r="32" spans="2:22" ht="12.75">
      <c r="B32" s="61" t="s">
        <v>221</v>
      </c>
      <c r="C32" s="61"/>
      <c r="D32" s="30"/>
      <c r="E32" s="30"/>
      <c r="F32" s="39"/>
      <c r="G32" s="108"/>
      <c r="H32" s="108"/>
      <c r="I32" s="108"/>
      <c r="M32" s="118" t="s">
        <v>221</v>
      </c>
      <c r="N32" s="61"/>
      <c r="O32" s="30"/>
      <c r="P32" s="30"/>
      <c r="Q32" s="39"/>
      <c r="R32" s="30"/>
      <c r="S32" s="30"/>
      <c r="T32" s="30"/>
      <c r="U32" s="30"/>
      <c r="V32" s="113"/>
    </row>
    <row r="33" spans="2:22" ht="12.75">
      <c r="B33" s="30" t="s">
        <v>317</v>
      </c>
      <c r="C33" s="30"/>
      <c r="D33" s="30"/>
      <c r="E33" s="30" t="s">
        <v>72</v>
      </c>
      <c r="F33" s="39" t="s">
        <v>206</v>
      </c>
      <c r="G33" s="108">
        <v>1210</v>
      </c>
      <c r="H33" s="108">
        <v>0.23</v>
      </c>
      <c r="I33" s="108">
        <f>G33*H33</f>
        <v>278.3</v>
      </c>
      <c r="M33" s="112" t="s">
        <v>317</v>
      </c>
      <c r="N33" s="30"/>
      <c r="O33" s="30"/>
      <c r="P33" s="30" t="s">
        <v>72</v>
      </c>
      <c r="Q33" s="39" t="s">
        <v>206</v>
      </c>
      <c r="R33" s="149"/>
      <c r="S33" s="30"/>
      <c r="T33" s="149"/>
      <c r="U33" s="30"/>
      <c r="V33" s="150">
        <f>R33*T33</f>
        <v>0</v>
      </c>
    </row>
    <row r="34" spans="2:22" ht="12.75">
      <c r="B34" s="30" t="s">
        <v>181</v>
      </c>
      <c r="C34" s="30"/>
      <c r="D34" s="30"/>
      <c r="E34" s="30" t="s">
        <v>72</v>
      </c>
      <c r="F34" s="39" t="s">
        <v>81</v>
      </c>
      <c r="G34" s="108">
        <v>1</v>
      </c>
      <c r="H34" s="108">
        <v>78.75</v>
      </c>
      <c r="I34" s="108">
        <f>G34*H34</f>
        <v>78.75</v>
      </c>
      <c r="M34" s="112" t="s">
        <v>181</v>
      </c>
      <c r="N34" s="30"/>
      <c r="O34" s="30"/>
      <c r="P34" s="30" t="s">
        <v>72</v>
      </c>
      <c r="Q34" s="39" t="s">
        <v>81</v>
      </c>
      <c r="R34" s="149"/>
      <c r="S34" s="30"/>
      <c r="T34" s="149"/>
      <c r="U34" s="30"/>
      <c r="V34" s="150">
        <f>R34*T34</f>
        <v>0</v>
      </c>
    </row>
    <row r="35" spans="2:22" ht="12.75">
      <c r="B35" s="103" t="s">
        <v>169</v>
      </c>
      <c r="C35" s="30"/>
      <c r="D35" s="30"/>
      <c r="E35" s="30"/>
      <c r="F35" s="39" t="s">
        <v>81</v>
      </c>
      <c r="G35" s="108">
        <v>1</v>
      </c>
      <c r="H35" s="108">
        <f>Drip!I40</f>
        <v>140</v>
      </c>
      <c r="I35" s="108">
        <f>G35*H35</f>
        <v>140</v>
      </c>
      <c r="M35" s="121" t="s">
        <v>169</v>
      </c>
      <c r="N35" s="30"/>
      <c r="O35" s="30"/>
      <c r="P35" s="30"/>
      <c r="Q35" s="39" t="s">
        <v>81</v>
      </c>
      <c r="R35" s="149"/>
      <c r="S35" s="30"/>
      <c r="T35" s="149"/>
      <c r="U35" s="30"/>
      <c r="V35" s="150">
        <f>R35*T35</f>
        <v>0</v>
      </c>
    </row>
    <row r="36" spans="2:23" ht="12.75">
      <c r="B36" s="103" t="s">
        <v>167</v>
      </c>
      <c r="C36" s="30"/>
      <c r="D36" s="30"/>
      <c r="E36" s="30"/>
      <c r="F36" s="39" t="s">
        <v>58</v>
      </c>
      <c r="G36" s="108">
        <f>SUM(I21:I35)</f>
        <v>1596.32</v>
      </c>
      <c r="H36" s="108">
        <v>0.065</v>
      </c>
      <c r="I36" s="108">
        <f>G36*H36</f>
        <v>103.7608</v>
      </c>
      <c r="M36" s="121" t="s">
        <v>167</v>
      </c>
      <c r="N36" s="30"/>
      <c r="O36" s="30"/>
      <c r="P36" s="30"/>
      <c r="Q36" s="39" t="s">
        <v>58</v>
      </c>
      <c r="R36" s="149"/>
      <c r="S36" s="30"/>
      <c r="T36" s="149"/>
      <c r="U36" s="30"/>
      <c r="V36" s="150">
        <f>R36*T36</f>
        <v>0</v>
      </c>
      <c r="W36" s="30"/>
    </row>
    <row r="37" spans="2:22" ht="12.75">
      <c r="B37" s="61" t="s">
        <v>268</v>
      </c>
      <c r="C37" s="30"/>
      <c r="D37" s="30"/>
      <c r="E37" s="30"/>
      <c r="F37" s="39"/>
      <c r="G37" s="108"/>
      <c r="H37" s="108"/>
      <c r="I37" s="148">
        <f>SUM(I21:I36)</f>
        <v>1700.0808</v>
      </c>
      <c r="K37" s="10"/>
      <c r="M37" s="118" t="s">
        <v>268</v>
      </c>
      <c r="N37" s="30"/>
      <c r="O37" s="30"/>
      <c r="P37" s="30"/>
      <c r="Q37" s="39"/>
      <c r="R37" s="30"/>
      <c r="S37" s="30"/>
      <c r="T37" s="30"/>
      <c r="U37" s="30"/>
      <c r="V37" s="150">
        <f>SUM(V21:V36)</f>
        <v>0</v>
      </c>
    </row>
    <row r="38" spans="2:22" ht="13.5" thickBot="1">
      <c r="B38" s="61" t="s">
        <v>215</v>
      </c>
      <c r="C38" s="30"/>
      <c r="D38" s="30"/>
      <c r="E38" s="30"/>
      <c r="F38" s="39"/>
      <c r="G38" s="108"/>
      <c r="H38" s="108"/>
      <c r="I38" s="147">
        <f>SUM(I19:I36)</f>
        <v>1700.0808</v>
      </c>
      <c r="K38" s="10"/>
      <c r="M38" s="118" t="s">
        <v>215</v>
      </c>
      <c r="N38" s="30"/>
      <c r="O38" s="30"/>
      <c r="P38" s="30"/>
      <c r="Q38" s="39"/>
      <c r="R38" s="30"/>
      <c r="S38" s="30"/>
      <c r="T38" s="30"/>
      <c r="U38" s="30"/>
      <c r="V38" s="150">
        <f>SUM(V19:V36)</f>
        <v>0</v>
      </c>
    </row>
    <row r="39" spans="2:22" ht="13.5" thickTop="1">
      <c r="B39" s="61" t="s">
        <v>151</v>
      </c>
      <c r="C39" s="30"/>
      <c r="D39" s="30"/>
      <c r="E39" s="30"/>
      <c r="F39" s="30"/>
      <c r="G39" s="108"/>
      <c r="H39" s="108"/>
      <c r="I39" s="108"/>
      <c r="K39" s="10"/>
      <c r="M39" s="118" t="s">
        <v>151</v>
      </c>
      <c r="N39" s="30"/>
      <c r="O39" s="30"/>
      <c r="P39" s="30"/>
      <c r="Q39" s="30"/>
      <c r="R39" s="30"/>
      <c r="S39" s="30"/>
      <c r="T39" s="30"/>
      <c r="U39" s="30"/>
      <c r="V39" s="113"/>
    </row>
    <row r="40" spans="2:22" ht="12.75">
      <c r="B40" s="30" t="s">
        <v>150</v>
      </c>
      <c r="C40" s="30"/>
      <c r="D40" s="30"/>
      <c r="E40" s="30"/>
      <c r="F40" s="30" t="s">
        <v>154</v>
      </c>
      <c r="G40" s="108">
        <f>0.95*MEDY</f>
        <v>6650</v>
      </c>
      <c r="H40" s="108">
        <v>1.05</v>
      </c>
      <c r="I40" s="108">
        <f>G40*H40</f>
        <v>6982.5</v>
      </c>
      <c r="K40" s="10"/>
      <c r="M40" s="112" t="s">
        <v>150</v>
      </c>
      <c r="N40" s="30"/>
      <c r="O40" s="30"/>
      <c r="P40" s="30"/>
      <c r="Q40" s="30" t="s">
        <v>154</v>
      </c>
      <c r="R40" s="149"/>
      <c r="S40" s="30"/>
      <c r="T40" s="149"/>
      <c r="U40" s="30"/>
      <c r="V40" s="150">
        <f>R40*T40</f>
        <v>0</v>
      </c>
    </row>
    <row r="41" spans="2:22" ht="12.75">
      <c r="B41" s="30" t="s">
        <v>109</v>
      </c>
      <c r="C41" s="30"/>
      <c r="D41" s="30"/>
      <c r="E41" s="30"/>
      <c r="F41" s="30" t="s">
        <v>175</v>
      </c>
      <c r="G41" s="108">
        <f>0.95*MEDY</f>
        <v>6650</v>
      </c>
      <c r="H41" s="108">
        <v>0.987</v>
      </c>
      <c r="I41" s="108">
        <f>G41*H41</f>
        <v>6563.55</v>
      </c>
      <c r="M41" s="112" t="s">
        <v>109</v>
      </c>
      <c r="N41" s="30"/>
      <c r="O41" s="30"/>
      <c r="P41" s="30"/>
      <c r="Q41" s="30" t="s">
        <v>175</v>
      </c>
      <c r="R41" s="149"/>
      <c r="S41" s="30"/>
      <c r="T41" s="149"/>
      <c r="U41" s="30"/>
      <c r="V41" s="150">
        <f>R41*T41</f>
        <v>0</v>
      </c>
    </row>
    <row r="42" spans="2:22" ht="12.75">
      <c r="B42" s="30" t="s">
        <v>105</v>
      </c>
      <c r="C42" s="30"/>
      <c r="D42" s="30"/>
      <c r="E42" s="30"/>
      <c r="F42" s="30" t="s">
        <v>175</v>
      </c>
      <c r="G42" s="108">
        <f>MEDY*0.95</f>
        <v>6650</v>
      </c>
      <c r="H42" s="108">
        <v>0.157</v>
      </c>
      <c r="I42" s="108">
        <f>G42*H42</f>
        <v>1044.05</v>
      </c>
      <c r="K42" s="10"/>
      <c r="M42" s="112" t="s">
        <v>105</v>
      </c>
      <c r="N42" s="30"/>
      <c r="O42" s="30"/>
      <c r="P42" s="30"/>
      <c r="Q42" s="30" t="s">
        <v>175</v>
      </c>
      <c r="R42" s="149"/>
      <c r="S42" s="30"/>
      <c r="T42" s="149"/>
      <c r="U42" s="30"/>
      <c r="V42" s="150">
        <f>R42*T42</f>
        <v>0</v>
      </c>
    </row>
    <row r="43" spans="2:22" ht="12.75">
      <c r="B43" s="61" t="s">
        <v>261</v>
      </c>
      <c r="C43" s="61"/>
      <c r="D43" s="61"/>
      <c r="E43" s="61"/>
      <c r="F43" s="61"/>
      <c r="G43" s="109"/>
      <c r="H43" s="110"/>
      <c r="I43" s="148">
        <f>SUM(I40:I42)</f>
        <v>14590.099999999999</v>
      </c>
      <c r="K43" s="13" t="s">
        <v>0</v>
      </c>
      <c r="M43" s="118" t="s">
        <v>261</v>
      </c>
      <c r="N43" s="61"/>
      <c r="O43" s="61"/>
      <c r="P43" s="61"/>
      <c r="Q43" s="61"/>
      <c r="R43" s="30"/>
      <c r="S43" s="30"/>
      <c r="T43" s="30"/>
      <c r="U43" s="30"/>
      <c r="V43" s="150">
        <f>SUM(V40:V42)</f>
        <v>0</v>
      </c>
    </row>
    <row r="44" spans="2:22" ht="12.75">
      <c r="B44" s="61" t="s">
        <v>262</v>
      </c>
      <c r="C44" s="30"/>
      <c r="D44" s="30"/>
      <c r="E44" s="30"/>
      <c r="F44" s="39"/>
      <c r="G44" s="108"/>
      <c r="H44" s="111"/>
      <c r="I44" s="148">
        <f>SUM(I40:I42)</f>
        <v>14590.099999999999</v>
      </c>
      <c r="K44" s="13" t="s">
        <v>0</v>
      </c>
      <c r="M44" s="118" t="s">
        <v>262</v>
      </c>
      <c r="N44" s="30"/>
      <c r="O44" s="30"/>
      <c r="P44" s="30"/>
      <c r="Q44" s="39"/>
      <c r="R44" s="30"/>
      <c r="S44" s="30"/>
      <c r="T44" s="30"/>
      <c r="U44" s="30"/>
      <c r="V44" s="150">
        <f>SUM(V40:V42)</f>
        <v>0</v>
      </c>
    </row>
    <row r="45" spans="2:22" ht="13.5" thickBot="1">
      <c r="B45" s="61" t="s">
        <v>269</v>
      </c>
      <c r="C45" s="30"/>
      <c r="D45" s="30"/>
      <c r="E45" s="30"/>
      <c r="F45" s="39"/>
      <c r="G45" s="108"/>
      <c r="H45" s="111"/>
      <c r="I45" s="147">
        <f>I38+I44</f>
        <v>16290.180799999998</v>
      </c>
      <c r="K45" s="10" t="s">
        <v>0</v>
      </c>
      <c r="M45" s="118" t="s">
        <v>269</v>
      </c>
      <c r="N45" s="30"/>
      <c r="O45" s="30"/>
      <c r="P45" s="30"/>
      <c r="Q45" s="39"/>
      <c r="R45" s="30"/>
      <c r="S45" s="30"/>
      <c r="T45" s="30"/>
      <c r="U45" s="30"/>
      <c r="V45" s="150">
        <f>V38+V44</f>
        <v>0</v>
      </c>
    </row>
    <row r="46" spans="2:22" ht="13.5" thickTop="1">
      <c r="B46" s="61" t="s">
        <v>134</v>
      </c>
      <c r="C46" s="61"/>
      <c r="D46" s="30"/>
      <c r="E46" s="30"/>
      <c r="F46" s="39"/>
      <c r="G46" s="108"/>
      <c r="H46" s="111"/>
      <c r="I46" s="108"/>
      <c r="K46" s="13" t="s">
        <v>0</v>
      </c>
      <c r="M46" s="118" t="s">
        <v>134</v>
      </c>
      <c r="N46" s="61"/>
      <c r="O46" s="30"/>
      <c r="P46" s="30"/>
      <c r="Q46" s="39"/>
      <c r="R46" s="30"/>
      <c r="S46" s="30"/>
      <c r="T46" s="30"/>
      <c r="U46" s="30"/>
      <c r="V46" s="113"/>
    </row>
    <row r="47" spans="2:22" ht="12.75">
      <c r="B47" s="103" t="s">
        <v>333</v>
      </c>
      <c r="C47" s="30"/>
      <c r="D47" s="30"/>
      <c r="E47" s="30"/>
      <c r="F47" s="39" t="s">
        <v>81</v>
      </c>
      <c r="G47" s="108">
        <v>1</v>
      </c>
      <c r="H47" s="108">
        <f>FxdCost!E30</f>
        <v>1597.36581</v>
      </c>
      <c r="I47" s="108">
        <f>G47*H47</f>
        <v>1597.36581</v>
      </c>
      <c r="K47" s="13" t="s">
        <v>0</v>
      </c>
      <c r="M47" s="121" t="s">
        <v>333</v>
      </c>
      <c r="N47" s="30"/>
      <c r="O47" s="30"/>
      <c r="P47" s="30"/>
      <c r="Q47" s="39" t="s">
        <v>81</v>
      </c>
      <c r="R47" s="149"/>
      <c r="S47" s="30"/>
      <c r="T47" s="149"/>
      <c r="U47" s="30"/>
      <c r="V47" s="150">
        <f>R47*T47</f>
        <v>0</v>
      </c>
    </row>
    <row r="48" spans="2:22" ht="12.75">
      <c r="B48" s="103" t="s">
        <v>197</v>
      </c>
      <c r="C48" s="30"/>
      <c r="D48" s="30"/>
      <c r="E48" s="30"/>
      <c r="F48" s="39" t="s">
        <v>58</v>
      </c>
      <c r="G48" s="108">
        <f>I38</f>
        <v>1700.0808</v>
      </c>
      <c r="H48" s="108">
        <v>0.15</v>
      </c>
      <c r="I48" s="108">
        <f>G48*H48</f>
        <v>255.01211999999998</v>
      </c>
      <c r="K48" s="13" t="s">
        <v>0</v>
      </c>
      <c r="M48" s="121" t="s">
        <v>197</v>
      </c>
      <c r="N48" s="30"/>
      <c r="O48" s="30"/>
      <c r="P48" s="30"/>
      <c r="Q48" s="39" t="s">
        <v>58</v>
      </c>
      <c r="R48" s="149"/>
      <c r="S48" s="30"/>
      <c r="T48" s="149"/>
      <c r="U48" s="30"/>
      <c r="V48" s="150">
        <f>R48*T48</f>
        <v>0</v>
      </c>
    </row>
    <row r="49" spans="2:22" ht="12.75">
      <c r="B49" s="30" t="s">
        <v>169</v>
      </c>
      <c r="C49" s="30"/>
      <c r="D49" s="30"/>
      <c r="E49" s="30"/>
      <c r="F49" s="39" t="s">
        <v>81</v>
      </c>
      <c r="G49" s="108">
        <v>1</v>
      </c>
      <c r="H49" s="108">
        <f>Drip!I28</f>
        <v>300.37</v>
      </c>
      <c r="I49" s="108">
        <f>G49*H49</f>
        <v>300.37</v>
      </c>
      <c r="K49" s="13" t="s">
        <v>0</v>
      </c>
      <c r="M49" s="112" t="s">
        <v>169</v>
      </c>
      <c r="N49" s="30"/>
      <c r="O49" s="30"/>
      <c r="P49" s="30"/>
      <c r="Q49" s="39" t="s">
        <v>81</v>
      </c>
      <c r="R49" s="149"/>
      <c r="S49" s="30"/>
      <c r="T49" s="149"/>
      <c r="U49" s="30"/>
      <c r="V49" s="150">
        <f>R49*T49</f>
        <v>0</v>
      </c>
    </row>
    <row r="50" spans="2:22" ht="12.75">
      <c r="B50" s="61" t="s">
        <v>258</v>
      </c>
      <c r="C50" s="30"/>
      <c r="D50" s="30"/>
      <c r="E50" s="30"/>
      <c r="F50" s="39"/>
      <c r="G50" s="111"/>
      <c r="H50" s="111"/>
      <c r="I50" s="148">
        <f>SUM(I47:I49)</f>
        <v>2152.74793</v>
      </c>
      <c r="K50" s="13" t="s">
        <v>0</v>
      </c>
      <c r="M50" s="118" t="s">
        <v>258</v>
      </c>
      <c r="N50" s="30"/>
      <c r="O50" s="30"/>
      <c r="P50" s="30"/>
      <c r="Q50" s="39"/>
      <c r="R50" s="30"/>
      <c r="S50" s="30"/>
      <c r="T50" s="30"/>
      <c r="U50" s="30"/>
      <c r="V50" s="150">
        <f>SUM(V47:V49)</f>
        <v>0</v>
      </c>
    </row>
    <row r="51" spans="2:22" ht="13.5" thickBot="1">
      <c r="B51" s="61" t="s">
        <v>255</v>
      </c>
      <c r="C51" s="30"/>
      <c r="D51" s="30"/>
      <c r="E51" s="30"/>
      <c r="F51" s="30"/>
      <c r="G51" s="111"/>
      <c r="H51" s="111"/>
      <c r="I51" s="147">
        <f>I38+I44+I50</f>
        <v>18442.92873</v>
      </c>
      <c r="K51" s="13" t="s">
        <v>0</v>
      </c>
      <c r="M51" s="122" t="s">
        <v>255</v>
      </c>
      <c r="N51" s="123"/>
      <c r="O51" s="123"/>
      <c r="P51" s="123"/>
      <c r="Q51" s="123"/>
      <c r="R51" s="123"/>
      <c r="S51" s="123"/>
      <c r="T51" s="123"/>
      <c r="U51" s="123"/>
      <c r="V51" s="124">
        <f>V38+V44+V50</f>
        <v>0</v>
      </c>
    </row>
    <row r="52" spans="6:21" ht="13.5" thickTop="1">
      <c r="F52" s="10"/>
      <c r="G52" s="14"/>
      <c r="H52" s="18"/>
      <c r="I52" s="14"/>
      <c r="K52" s="10"/>
      <c r="S52" s="30"/>
      <c r="U52" s="30"/>
    </row>
    <row r="53" ht="12.75">
      <c r="K53" s="13" t="s">
        <v>0</v>
      </c>
    </row>
    <row r="54" ht="12.75">
      <c r="K54" s="13" t="s">
        <v>0</v>
      </c>
    </row>
    <row r="55" ht="12.75">
      <c r="K55" s="10"/>
    </row>
    <row r="56" ht="12.75">
      <c r="K56" s="13" t="s">
        <v>0</v>
      </c>
    </row>
    <row r="57" ht="12.75">
      <c r="K57" s="10"/>
    </row>
    <row r="58" spans="11:14" ht="12.75">
      <c r="K58" s="13"/>
      <c r="N58" t="s">
        <v>8</v>
      </c>
    </row>
    <row r="59" spans="2:14" ht="12.75">
      <c r="B59" s="67" t="s">
        <v>325</v>
      </c>
      <c r="C59" s="43"/>
      <c r="D59" s="43"/>
      <c r="E59" s="43"/>
      <c r="F59" s="68"/>
      <c r="G59" s="68"/>
      <c r="H59" s="68"/>
      <c r="K59" s="10"/>
      <c r="N59" s="31" t="s">
        <v>343</v>
      </c>
    </row>
    <row r="60" spans="2:15" ht="12.75">
      <c r="B60" s="69" t="s">
        <v>326</v>
      </c>
      <c r="C60" s="43"/>
      <c r="D60" s="43"/>
      <c r="E60" s="43"/>
      <c r="F60" s="68"/>
      <c r="G60" s="68"/>
      <c r="H60" s="70">
        <f>I38/G15</f>
        <v>0.24286868571428571</v>
      </c>
      <c r="K60" s="10"/>
      <c r="N60" s="2">
        <f>I11</f>
        <v>1</v>
      </c>
      <c r="O60" t="s">
        <v>9</v>
      </c>
    </row>
    <row r="61" spans="2:17" ht="12.75">
      <c r="B61" s="69" t="s">
        <v>327</v>
      </c>
      <c r="C61" s="43"/>
      <c r="D61" s="43"/>
      <c r="E61" s="43"/>
      <c r="F61" s="68"/>
      <c r="G61" s="68"/>
      <c r="H61" s="70">
        <f>I44/G15</f>
        <v>2.0843</v>
      </c>
      <c r="N61" s="2">
        <f>E15</f>
        <v>8400</v>
      </c>
      <c r="O61" t="s">
        <v>11</v>
      </c>
      <c r="P61" s="3">
        <f>E16</f>
        <v>3.3</v>
      </c>
      <c r="Q61" t="s">
        <v>10</v>
      </c>
    </row>
    <row r="62" spans="2:17" ht="12.75">
      <c r="B62" s="69" t="s">
        <v>377</v>
      </c>
      <c r="C62" s="69"/>
      <c r="D62" s="43"/>
      <c r="E62" s="43"/>
      <c r="F62" s="68"/>
      <c r="G62" s="68"/>
      <c r="H62" s="70">
        <f>I50/MEDY</f>
        <v>0.3075354185714286</v>
      </c>
      <c r="K62" s="13"/>
      <c r="N62" s="2">
        <f>F15</f>
        <v>7700.000000000001</v>
      </c>
      <c r="O62" t="s">
        <v>27</v>
      </c>
      <c r="P62" s="3">
        <f>F16</f>
        <v>3.03</v>
      </c>
      <c r="Q62" t="s">
        <v>26</v>
      </c>
    </row>
    <row r="63" spans="2:17" ht="12.75">
      <c r="B63" s="69" t="s">
        <v>328</v>
      </c>
      <c r="C63" s="43"/>
      <c r="D63" s="43"/>
      <c r="E63" s="43"/>
      <c r="F63" s="68"/>
      <c r="G63" s="68"/>
      <c r="H63" s="71">
        <f>I51/G15</f>
        <v>2.6347041042857144</v>
      </c>
      <c r="K63" s="10"/>
      <c r="N63" s="2">
        <f>G15</f>
        <v>7000</v>
      </c>
      <c r="O63" t="s">
        <v>20</v>
      </c>
      <c r="P63" s="3">
        <f>G16</f>
        <v>2.75</v>
      </c>
      <c r="Q63" t="s">
        <v>19</v>
      </c>
    </row>
    <row r="64" spans="2:17" ht="12.75">
      <c r="B64" s="69" t="s">
        <v>324</v>
      </c>
      <c r="C64" s="43"/>
      <c r="D64" s="43"/>
      <c r="E64" s="43"/>
      <c r="F64" s="72"/>
      <c r="G64" s="72"/>
      <c r="H64" s="70">
        <f>UNITCOST/MEDP</f>
        <v>6706.5195381818185</v>
      </c>
      <c r="K64" s="10"/>
      <c r="N64" s="2">
        <f>H15</f>
        <v>6300</v>
      </c>
      <c r="O64" t="s">
        <v>30</v>
      </c>
      <c r="P64" s="3">
        <f>H16</f>
        <v>2.48</v>
      </c>
      <c r="Q64" t="s">
        <v>29</v>
      </c>
    </row>
    <row r="65" spans="11:17" ht="12.75">
      <c r="K65" s="10"/>
      <c r="N65" s="2">
        <f>I15</f>
        <v>5600</v>
      </c>
      <c r="O65" t="s">
        <v>52</v>
      </c>
      <c r="P65" s="3">
        <f>I16</f>
        <v>2.2</v>
      </c>
      <c r="Q65" t="s">
        <v>51</v>
      </c>
    </row>
    <row r="66" spans="7:15" ht="12.75">
      <c r="G66" s="18"/>
      <c r="H66" s="18"/>
      <c r="I66" s="18"/>
      <c r="J66" s="39"/>
      <c r="K66" s="10"/>
      <c r="N66" s="3">
        <f>H61</f>
        <v>2.0843</v>
      </c>
      <c r="O66" t="s">
        <v>340</v>
      </c>
    </row>
    <row r="67" spans="2:15" ht="12.75">
      <c r="B67" s="152" t="s">
        <v>120</v>
      </c>
      <c r="C67" s="152"/>
      <c r="D67" s="152"/>
      <c r="E67" s="152"/>
      <c r="F67" s="152"/>
      <c r="G67" s="152"/>
      <c r="H67" s="152"/>
      <c r="I67" s="152"/>
      <c r="J67" s="39"/>
      <c r="K67" s="10"/>
      <c r="N67" s="3">
        <f>I38+I50</f>
        <v>3852.82873</v>
      </c>
      <c r="O67" t="s">
        <v>378</v>
      </c>
    </row>
    <row r="68" spans="2:14" ht="12.75">
      <c r="C68" t="s">
        <v>119</v>
      </c>
      <c r="E68" t="s">
        <v>287</v>
      </c>
      <c r="F68" s="10"/>
      <c r="G68" s="4" t="s">
        <v>119</v>
      </c>
      <c r="H68" s="4" t="s">
        <v>0</v>
      </c>
      <c r="I68" s="11" t="s">
        <v>252</v>
      </c>
      <c r="J68" s="39"/>
      <c r="K68" s="10"/>
      <c r="N68" s="31" t="s">
        <v>341</v>
      </c>
    </row>
    <row r="69" spans="2:15" ht="12.75">
      <c r="B69" s="10" t="s">
        <v>83</v>
      </c>
      <c r="C69" s="21" t="s">
        <v>297</v>
      </c>
      <c r="D69" s="10"/>
      <c r="E69" s="10" t="s">
        <v>180</v>
      </c>
      <c r="F69" s="10"/>
      <c r="G69" s="4" t="s">
        <v>219</v>
      </c>
      <c r="H69" s="4" t="s">
        <v>0</v>
      </c>
      <c r="I69" s="11" t="s">
        <v>231</v>
      </c>
      <c r="K69" s="10"/>
      <c r="O69" t="s">
        <v>100</v>
      </c>
    </row>
    <row r="70" spans="2:14" ht="13.5" thickBot="1">
      <c r="B70" s="8">
        <v>1</v>
      </c>
      <c r="C70" s="8">
        <f>MEDY</f>
        <v>7000</v>
      </c>
      <c r="D70" s="10"/>
      <c r="E70" s="74">
        <v>0.9500000000000001</v>
      </c>
      <c r="F70" s="10"/>
      <c r="G70" s="4">
        <f>MEDP</f>
        <v>2.75</v>
      </c>
      <c r="H70" s="10"/>
      <c r="I70" s="53">
        <f>(C70*E70*G70)</f>
        <v>18287.500000000004</v>
      </c>
      <c r="J70" s="39"/>
      <c r="K70" s="10"/>
      <c r="N70" s="31" t="s">
        <v>341</v>
      </c>
    </row>
    <row r="71" spans="10:17" ht="13.5" thickTop="1">
      <c r="J71" s="39"/>
      <c r="K71" s="10"/>
      <c r="N71" s="2">
        <f>0.04*N61+0.25*N62+0.42*N63+0.25*N64+0.04*N65</f>
        <v>7000</v>
      </c>
      <c r="O71" t="s">
        <v>17</v>
      </c>
      <c r="P71">
        <f>0.04*P61+0.25*P62+0.42*P63+0.25*P64+0.04*P65</f>
        <v>2.7525000000000004</v>
      </c>
      <c r="Q71" t="s">
        <v>16</v>
      </c>
    </row>
    <row r="72" spans="7:17" ht="12.75">
      <c r="G72" s="10"/>
      <c r="H72" s="10"/>
      <c r="I72" s="10"/>
      <c r="J72" s="10"/>
      <c r="K72" s="10"/>
      <c r="N72">
        <f>0.25*(N61-N71)+0.5*(N62-N71)</f>
        <v>700.0000000000005</v>
      </c>
      <c r="O72" t="s">
        <v>41</v>
      </c>
      <c r="P72">
        <f>0.25*(P61-P71)+0.5*(P62-P71)</f>
        <v>0.27562499999999956</v>
      </c>
      <c r="Q72" t="s">
        <v>33</v>
      </c>
    </row>
    <row r="73" spans="2:17" ht="12.75">
      <c r="B73" s="131" t="s">
        <v>3</v>
      </c>
      <c r="C73" s="30"/>
      <c r="D73" s="30"/>
      <c r="E73" s="30"/>
      <c r="F73" s="30"/>
      <c r="G73" s="39"/>
      <c r="H73" s="39"/>
      <c r="I73" s="39"/>
      <c r="J73" s="39"/>
      <c r="K73" s="10"/>
      <c r="N73">
        <f>0.25*(N71-N65)+0.5*(N71-N64)</f>
        <v>700</v>
      </c>
      <c r="O73" t="s">
        <v>42</v>
      </c>
      <c r="P73">
        <f>0.25*(P71-P65)+0.5*(P71-P64)</f>
        <v>0.27437500000000026</v>
      </c>
      <c r="Q73" t="s">
        <v>34</v>
      </c>
    </row>
    <row r="74" spans="2:17" ht="12.75">
      <c r="B74" s="30" t="s">
        <v>190</v>
      </c>
      <c r="C74" s="30"/>
      <c r="D74" s="30"/>
      <c r="E74" s="30"/>
      <c r="F74" s="30"/>
      <c r="G74" s="39"/>
      <c r="H74" s="39"/>
      <c r="I74" s="39"/>
      <c r="J74" s="39"/>
      <c r="K74" s="10"/>
      <c r="N74" s="2">
        <f>N72^2</f>
        <v>490000.00000000064</v>
      </c>
      <c r="O74" t="s">
        <v>49</v>
      </c>
      <c r="P74">
        <f>P72^2</f>
        <v>0.07596914062499976</v>
      </c>
      <c r="Q74" t="s">
        <v>43</v>
      </c>
    </row>
    <row r="75" spans="2:17" ht="12.75">
      <c r="B75" s="30" t="s">
        <v>247</v>
      </c>
      <c r="C75" s="30"/>
      <c r="D75" s="30"/>
      <c r="E75" s="30"/>
      <c r="F75" s="30"/>
      <c r="G75" s="39"/>
      <c r="H75" s="39"/>
      <c r="I75" s="39"/>
      <c r="J75" s="39"/>
      <c r="K75" s="10"/>
      <c r="N75" s="2">
        <f>N73^2</f>
        <v>490000</v>
      </c>
      <c r="O75" t="s">
        <v>50</v>
      </c>
      <c r="P75">
        <f>P73^2</f>
        <v>0.07528164062500015</v>
      </c>
      <c r="Q75" t="s">
        <v>44</v>
      </c>
    </row>
    <row r="76" spans="2:14" ht="12.75">
      <c r="B76" s="30" t="s">
        <v>246</v>
      </c>
      <c r="C76" s="30"/>
      <c r="D76" s="30"/>
      <c r="E76" s="30"/>
      <c r="F76" s="30"/>
      <c r="G76" s="39"/>
      <c r="H76" s="39"/>
      <c r="I76" s="39"/>
      <c r="J76" s="39"/>
      <c r="K76" s="10"/>
      <c r="N76" s="31" t="s">
        <v>341</v>
      </c>
    </row>
    <row r="77" spans="2:17" ht="12.75">
      <c r="B77" s="30"/>
      <c r="C77" s="30"/>
      <c r="D77" s="30"/>
      <c r="E77" s="30"/>
      <c r="F77" s="30"/>
      <c r="G77" s="39"/>
      <c r="H77" s="39"/>
      <c r="I77" s="39"/>
      <c r="J77" s="39"/>
      <c r="K77" s="10"/>
      <c r="N77" s="2">
        <f>(N71^2*P74)+(P71-N66)^2*N74</f>
        <v>3941268.598224989</v>
      </c>
      <c r="O77" s="2" t="s">
        <v>45</v>
      </c>
      <c r="P77" s="2">
        <f>(N71^2*P75)+(P71-N66)^2*N75</f>
        <v>3907581.0982250073</v>
      </c>
      <c r="Q77" t="s">
        <v>48</v>
      </c>
    </row>
    <row r="78" spans="2:17" ht="12.75">
      <c r="B78" s="30"/>
      <c r="C78" s="30"/>
      <c r="D78" s="30"/>
      <c r="E78" s="30" t="s">
        <v>28</v>
      </c>
      <c r="F78" s="30"/>
      <c r="G78" s="54" t="s">
        <v>18</v>
      </c>
      <c r="H78" s="39"/>
      <c r="I78" s="55" t="s">
        <v>31</v>
      </c>
      <c r="J78" s="39"/>
      <c r="K78" s="10" t="s">
        <v>0</v>
      </c>
      <c r="N78" s="2">
        <f>(N71^2*P74)+(P71-N66)^2*N75</f>
        <v>3941268.5982249887</v>
      </c>
      <c r="O78" s="2" t="s">
        <v>46</v>
      </c>
      <c r="P78" s="2">
        <f>N71^2*P75+(P71-N66)^2*N74</f>
        <v>3907581.0982250078</v>
      </c>
      <c r="Q78" t="s">
        <v>47</v>
      </c>
    </row>
    <row r="79" spans="2:17" ht="12.75">
      <c r="B79" s="30"/>
      <c r="C79" s="30"/>
      <c r="D79" s="39"/>
      <c r="E79" s="30"/>
      <c r="F79" s="30"/>
      <c r="G79" s="30"/>
      <c r="H79" s="30"/>
      <c r="I79" s="30"/>
      <c r="J79" s="39"/>
      <c r="K79" s="10"/>
      <c r="N79" s="2">
        <f>SQRT(N77)</f>
        <v>1985.2628536858763</v>
      </c>
      <c r="O79" s="2" t="s">
        <v>35</v>
      </c>
      <c r="P79" s="2">
        <f>SQRT(P77)</f>
        <v>1976.7602530972256</v>
      </c>
      <c r="Q79" t="s">
        <v>38</v>
      </c>
    </row>
    <row r="80" spans="2:17" ht="12.75">
      <c r="B80" s="30" t="s">
        <v>67</v>
      </c>
      <c r="C80" s="30"/>
      <c r="D80" s="56">
        <f>P90+1.5*N87</f>
        <v>3800.2973873787128</v>
      </c>
      <c r="E80" s="56">
        <f>(P90+N87)</f>
        <v>2808.3886815858095</v>
      </c>
      <c r="F80" s="56">
        <f>P90+0.5*N87</f>
        <v>1816.4799757929068</v>
      </c>
      <c r="G80" s="57">
        <f>ENR</f>
        <v>824.571270000004</v>
      </c>
      <c r="H80" s="56">
        <f>P90-0.5*P87</f>
        <v>-164.53157759864416</v>
      </c>
      <c r="I80" s="56">
        <f>P90-P87</f>
        <v>-1153.6344251972923</v>
      </c>
      <c r="J80" s="56">
        <f>P90-1.5*P87</f>
        <v>-2142.7372727959405</v>
      </c>
      <c r="K80" s="10"/>
      <c r="N80" s="2">
        <f>SQRT(N78)</f>
        <v>1985.2628536858763</v>
      </c>
      <c r="O80" s="2" t="s">
        <v>36</v>
      </c>
      <c r="P80" s="2">
        <f>SQRT(P78)</f>
        <v>1976.7602530972256</v>
      </c>
      <c r="Q80" t="s">
        <v>37</v>
      </c>
    </row>
    <row r="81" spans="2:17" ht="12.75">
      <c r="B81" s="30" t="s">
        <v>101</v>
      </c>
      <c r="C81" s="30"/>
      <c r="D81" s="58">
        <f>IF(O93&lt;1,IF(N93,T93,1-T93),IF(N93,T94,1-T94))</f>
        <v>0.06694336649495443</v>
      </c>
      <c r="E81" s="58">
        <f>IF(O99&lt;1,IF(N99,T99,1-T99),IF(N99,T100,1-T100))</f>
        <v>0.15865422149575908</v>
      </c>
      <c r="F81" s="58">
        <f>IF(O105&lt;1,IF(N105,T105,1-T105),IF(N105,T106,1-T106))</f>
        <v>0.30782610056786847</v>
      </c>
      <c r="G81" s="58">
        <f>IF(O95&lt;1,IF(N95,T95,1-T95),IF(N95,T96,1-T96))</f>
        <v>0.49911207195192825</v>
      </c>
      <c r="H81" s="59">
        <f>IF(O101&lt;1,IF(N101,T101,1-T101),IF(N101,T102,1-T102))</f>
        <v>0.6907483835033712</v>
      </c>
      <c r="I81" s="59">
        <f>IF(O107&lt;1,IF(N107,T107,1-T107),IF(N107,T108,1-T108))</f>
        <v>0.8413435920816397</v>
      </c>
      <c r="J81" s="142">
        <f>IF(O97&lt;1,IF(N97,T97,1-T97),IF(N97,T98,1-T98))</f>
        <v>0.9333291698631283</v>
      </c>
      <c r="K81" s="10"/>
      <c r="N81" s="2">
        <f>0.66*N79+0.17*N80+0.17*P80</f>
        <v>1983.8174115858058</v>
      </c>
      <c r="O81" s="2" t="s">
        <v>39</v>
      </c>
      <c r="P81" s="2">
        <f>0.66*P79+0.17*N80+0.17*P80</f>
        <v>1978.2056951972963</v>
      </c>
      <c r="Q81" t="s">
        <v>40</v>
      </c>
    </row>
    <row r="82" spans="2:14" ht="12.75">
      <c r="B82" s="30" t="s">
        <v>101</v>
      </c>
      <c r="C82" s="30"/>
      <c r="D82" s="60">
        <f>IF(O93&lt;1,IF(N93,1-T93,T93),IF(N93,1-T94,T94))</f>
        <v>0.9330566335050455</v>
      </c>
      <c r="E82" s="60">
        <f>IF(O99&lt;1,IF(N99,1-T99,T99),IF(N99,1-T100,T100))</f>
        <v>0.8413457785042409</v>
      </c>
      <c r="F82" s="60">
        <f>IF(O105&lt;1,IF(N105,1-T105,T105),IF(N105,1-T106,T106))</f>
        <v>0.6921738994321316</v>
      </c>
      <c r="G82" s="58">
        <f>IF(O95&lt;1,IF(N95,1-T95,T95),IF(N95,1-T96,T96))</f>
        <v>0.5008879280480718</v>
      </c>
      <c r="H82" s="58">
        <f>IF(O101&lt;1,IF(N101,1-T101,T101),IF(N101,1-T102,T102))</f>
        <v>0.30925161649662886</v>
      </c>
      <c r="I82" s="58">
        <f>IF(O107&lt;1,IF(N107,1-T107,T107),IF(N107,1-T108,T108))</f>
        <v>0.15865640791836036</v>
      </c>
      <c r="J82" s="58">
        <f>IF(O97&lt;1,IF(N97,1-T97,T97),IF(N97,1-T98,T98))</f>
        <v>0.06667083013687167</v>
      </c>
      <c r="K82" s="10"/>
      <c r="N82" s="31" t="s">
        <v>342</v>
      </c>
    </row>
    <row r="83" spans="2:14" ht="13.5" thickBot="1">
      <c r="B83" s="61" t="s">
        <v>102</v>
      </c>
      <c r="C83" s="30"/>
      <c r="D83" s="39"/>
      <c r="E83" s="144">
        <f>IF(O103&lt;1,IF(N103,T103,1-T103),IF(N103,T104,1-T104))</f>
        <v>0.6607976889847993</v>
      </c>
      <c r="F83" s="30"/>
      <c r="G83" s="39" t="s">
        <v>332</v>
      </c>
      <c r="H83" s="39"/>
      <c r="I83" s="39"/>
      <c r="J83" s="143">
        <f>N60*(G15*G16-I51)</f>
        <v>807.0712700000004</v>
      </c>
      <c r="K83" s="10"/>
      <c r="N83" t="s">
        <v>99</v>
      </c>
    </row>
    <row r="84" spans="11:14" ht="13.5" thickTop="1">
      <c r="K84" s="10"/>
      <c r="N84" s="31" t="s">
        <v>342</v>
      </c>
    </row>
    <row r="85" spans="11:17" ht="12.75">
      <c r="K85" s="10"/>
      <c r="N85" s="2">
        <f>N79*N60</f>
        <v>1985.2628536858763</v>
      </c>
      <c r="O85" t="s">
        <v>35</v>
      </c>
      <c r="P85" s="2">
        <f>P79*N60</f>
        <v>1976.7602530972256</v>
      </c>
      <c r="Q85" t="s">
        <v>38</v>
      </c>
    </row>
    <row r="86" spans="2:17" ht="12.75">
      <c r="B86" s="131" t="s">
        <v>383</v>
      </c>
      <c r="C86" s="30"/>
      <c r="D86" s="30"/>
      <c r="E86" s="30"/>
      <c r="F86" s="30"/>
      <c r="G86" s="30"/>
      <c r="H86" s="30"/>
      <c r="I86" s="30"/>
      <c r="K86" s="10"/>
      <c r="N86" s="2">
        <f>N80*N60</f>
        <v>1985.2628536858763</v>
      </c>
      <c r="O86" t="s">
        <v>36</v>
      </c>
      <c r="P86" s="2">
        <f>P80*N60</f>
        <v>1976.7602530972256</v>
      </c>
      <c r="Q86" t="s">
        <v>37</v>
      </c>
    </row>
    <row r="87" spans="2:17" ht="12.75">
      <c r="B87" s="30"/>
      <c r="C87" s="30"/>
      <c r="D87" s="30"/>
      <c r="E87" s="30"/>
      <c r="F87" s="30"/>
      <c r="G87" s="30"/>
      <c r="H87" s="30"/>
      <c r="I87" s="30"/>
      <c r="K87" s="10"/>
      <c r="N87" s="2">
        <f>N60*N81</f>
        <v>1983.8174115858058</v>
      </c>
      <c r="O87" t="s">
        <v>39</v>
      </c>
      <c r="P87" s="2">
        <f>N60*P81</f>
        <v>1978.2056951972963</v>
      </c>
      <c r="Q87" t="s">
        <v>40</v>
      </c>
    </row>
    <row r="88" spans="2:17" ht="12.75">
      <c r="B88" s="30" t="s">
        <v>379</v>
      </c>
      <c r="C88" s="30"/>
      <c r="D88" s="30">
        <f>MEDY</f>
        <v>7000</v>
      </c>
      <c r="E88" s="30"/>
      <c r="F88" s="30"/>
      <c r="G88" s="30"/>
      <c r="H88" s="30"/>
      <c r="I88" s="30"/>
      <c r="N88" s="3">
        <f>P63</f>
        <v>2.75</v>
      </c>
      <c r="O88" t="s">
        <v>22</v>
      </c>
      <c r="P88">
        <f>N63</f>
        <v>7000</v>
      </c>
      <c r="Q88" t="s">
        <v>25</v>
      </c>
    </row>
    <row r="89" spans="2:17" ht="12.75">
      <c r="B89" s="30" t="s">
        <v>380</v>
      </c>
      <c r="C89" s="30"/>
      <c r="D89" s="30">
        <f>MEDP</f>
        <v>2.75</v>
      </c>
      <c r="E89" s="30"/>
      <c r="F89" s="30"/>
      <c r="G89" s="30"/>
      <c r="H89" s="30"/>
      <c r="I89" s="30"/>
      <c r="N89" s="2">
        <f>I11*N71*P71</f>
        <v>19267.500000000004</v>
      </c>
      <c r="O89" t="s">
        <v>15</v>
      </c>
      <c r="P89" s="2">
        <f>(N67+N63*N66)*N60</f>
        <v>18442.92873</v>
      </c>
      <c r="Q89" t="s">
        <v>23</v>
      </c>
    </row>
    <row r="90" spans="2:17" ht="12.75">
      <c r="B90" s="30" t="s">
        <v>381</v>
      </c>
      <c r="C90" s="30"/>
      <c r="D90" s="127">
        <f>D88*D89-UNITCOST</f>
        <v>807.0712700000004</v>
      </c>
      <c r="E90" s="30"/>
      <c r="F90" s="30"/>
      <c r="G90" s="30"/>
      <c r="H90" s="30"/>
      <c r="I90" s="30"/>
      <c r="N90" s="2">
        <f>N89+(0.7857*(P87-N87))</f>
        <v>19263.09087443355</v>
      </c>
      <c r="O90" t="s">
        <v>24</v>
      </c>
      <c r="P90" s="2">
        <f>N89-P89</f>
        <v>824.571270000004</v>
      </c>
      <c r="Q90" t="s">
        <v>13</v>
      </c>
    </row>
    <row r="91" spans="2:17" ht="12.75">
      <c r="B91" s="30"/>
      <c r="C91" s="30"/>
      <c r="D91" s="30"/>
      <c r="E91" s="30"/>
      <c r="F91" s="30"/>
      <c r="G91" s="30"/>
      <c r="H91" s="30"/>
      <c r="I91" s="30"/>
      <c r="K91" t="s">
        <v>1</v>
      </c>
      <c r="N91" s="2">
        <f>N90-P89</f>
        <v>820.1621444335506</v>
      </c>
      <c r="O91" t="s">
        <v>21</v>
      </c>
      <c r="P91" s="2">
        <f>P90-N91</f>
        <v>4.40912556645344</v>
      </c>
      <c r="Q91" t="s">
        <v>14</v>
      </c>
    </row>
    <row r="92" spans="2:14" ht="12.75">
      <c r="B92" s="30"/>
      <c r="C92" s="131" t="s">
        <v>318</v>
      </c>
      <c r="D92" s="30"/>
      <c r="E92" s="30"/>
      <c r="F92" s="30"/>
      <c r="G92" s="30"/>
      <c r="H92" s="130"/>
      <c r="I92" s="30"/>
      <c r="N92" s="31" t="s">
        <v>347</v>
      </c>
    </row>
    <row r="93" spans="2:21" ht="12.75">
      <c r="B93" s="131" t="s">
        <v>320</v>
      </c>
      <c r="C93" s="130" t="s">
        <v>96</v>
      </c>
      <c r="D93" s="130" t="s">
        <v>194</v>
      </c>
      <c r="E93" s="130" t="s">
        <v>319</v>
      </c>
      <c r="F93" s="130" t="s">
        <v>201</v>
      </c>
      <c r="G93" s="130" t="s">
        <v>294</v>
      </c>
      <c r="H93" s="130" t="s">
        <v>397</v>
      </c>
      <c r="I93" s="168"/>
      <c r="N93" s="3" t="b">
        <f>+D80&gt;=N91</f>
        <v>1</v>
      </c>
      <c r="O93" s="3">
        <f>ABS((D80-P90)/IF(N93,N87,P87))</f>
        <v>1.5</v>
      </c>
      <c r="P93" s="3">
        <f>MIN(2.5,ABS((D80-(N91+P91*ABS(D80-N91)/ABS(IF(N93,N87+P91,P87-P91))*MIN(1,O93)))/(MIN(1.52,O93)/1.52*IF(N93,N85,P85)+(1.52-MIN(1.52,O93))/3.04*N86+(1.52-MIN(1.52,O93))/3.04*P86)))</f>
        <v>1.4978420739014093</v>
      </c>
      <c r="Q93" s="3">
        <f aca="true" t="shared" si="2" ref="Q93:Q98">1/(1+(0.2316419*P93))</f>
        <v>0.7424108991516148</v>
      </c>
      <c r="R93" s="3">
        <f aca="true" t="shared" si="3" ref="R93:R98">0.398942281*((2.71828)^((-(P93^2)/2)))</f>
        <v>0.12993730470974338</v>
      </c>
      <c r="S93" s="3"/>
      <c r="T93" s="3">
        <f aca="true" t="shared" si="4" ref="T93:T98">R93*(0.31938153*Q93-0.356563782*Q93^2+1.781477937*Q93^3-1.821255978*Q93^4+1.330274429*Q93^5)</f>
        <v>0.06708722205894327</v>
      </c>
      <c r="U93" s="3"/>
    </row>
    <row r="94" spans="2:21" ht="12.75">
      <c r="B94" s="132">
        <f>D90</f>
        <v>807.0712700000004</v>
      </c>
      <c r="C94" s="133">
        <f>1.2*E94</f>
        <v>8400</v>
      </c>
      <c r="D94" s="134">
        <f>1.1*E94</f>
        <v>7700.000000000001</v>
      </c>
      <c r="E94" s="135">
        <f>MEDY</f>
        <v>7000</v>
      </c>
      <c r="F94" s="134">
        <f>0.9*E94</f>
        <v>6300</v>
      </c>
      <c r="G94" s="134">
        <f>0.8*E94</f>
        <v>5600</v>
      </c>
      <c r="H94" s="111"/>
      <c r="I94" s="30"/>
      <c r="P94" s="3">
        <f>MIN(2.5,ABS((D80-P90)/(MIN(1.52,O93)/1.52*IF(N93,N85,P85)+(1.52-MIN(1.52,O93))/3.04*N86+(1.52-MIN(1.52,O93))/3.04*P86)))</f>
        <v>1.4989501064643915</v>
      </c>
      <c r="Q94" s="3">
        <f t="shared" si="2"/>
        <v>0.7422694580688405</v>
      </c>
      <c r="R94" s="3">
        <f t="shared" si="3"/>
        <v>0.1297217526171564</v>
      </c>
      <c r="S94" s="3"/>
      <c r="T94" s="3">
        <f>R94*(0.31938153*Q94-0.356563782*Q94^2+1.781477937*Q94^3-1.821255978*Q94^4+1.330274429*Q94^5)</f>
        <v>0.06694336649495443</v>
      </c>
      <c r="U94" s="3"/>
    </row>
    <row r="95" spans="2:21" ht="12.75">
      <c r="B95" s="108">
        <v>2.2</v>
      </c>
      <c r="C95" s="136">
        <v>-131</v>
      </c>
      <c r="D95" s="136">
        <v>-2061</v>
      </c>
      <c r="E95" s="136">
        <v>-3025</v>
      </c>
      <c r="F95" s="136">
        <v>-4949</v>
      </c>
      <c r="G95" s="136">
        <v>-5911</v>
      </c>
      <c r="H95" s="137">
        <v>0.06</v>
      </c>
      <c r="I95" s="30"/>
      <c r="N95" s="3" t="b">
        <f>+G80&gt;=N91</f>
        <v>1</v>
      </c>
      <c r="O95" s="3">
        <f>ABS((G80-P90)/IF(N95,N87,P87))</f>
        <v>0</v>
      </c>
      <c r="P95" s="3">
        <f>MIN(2.5,ABS((G80-(N91+P91*ABS(G80-N91)/ABS(IF(N95,N87+P91,P87-P91))*MIN(1,O95)))/(MIN(1.52,O95)/1.52*IF(N95,N85,P85)+(1.52-MIN(1.52,O95))/3.04*N86+(1.52-MIN(1.52,O95))/3.04*P86)))</f>
        <v>0.002225694019252379</v>
      </c>
      <c r="Q95" s="3">
        <f t="shared" si="2"/>
        <v>0.9994847016778216</v>
      </c>
      <c r="R95" s="3">
        <f t="shared" si="3"/>
        <v>0.3989412928789335</v>
      </c>
      <c r="S95" s="3"/>
      <c r="T95" s="3">
        <f t="shared" si="4"/>
        <v>0.49911207195192825</v>
      </c>
      <c r="U95" s="3"/>
    </row>
    <row r="96" spans="2:21" ht="12.75">
      <c r="B96" s="108">
        <v>2.48</v>
      </c>
      <c r="C96" s="141">
        <v>1812</v>
      </c>
      <c r="D96" s="136">
        <v>-130</v>
      </c>
      <c r="E96" s="136">
        <v>-1100</v>
      </c>
      <c r="F96" s="136">
        <v>-3048</v>
      </c>
      <c r="G96" s="136">
        <v>-4022</v>
      </c>
      <c r="H96" s="137">
        <v>0.29</v>
      </c>
      <c r="I96" s="30"/>
      <c r="P96" s="3">
        <f>MIN(2.5,ABS((G80-P90)/(MIN(1.52,O95)/1.52*IF(N95,N85,P85)+(1.52-MIN(1.52,O95))/3.04*N86+(1.52-MIN(1.52,O95))/3.04*P86)))</f>
        <v>0</v>
      </c>
      <c r="Q96" s="3">
        <f t="shared" si="2"/>
        <v>1</v>
      </c>
      <c r="R96" s="3">
        <f t="shared" si="3"/>
        <v>0.398942281</v>
      </c>
      <c r="S96" s="3"/>
      <c r="T96" s="3">
        <f t="shared" si="4"/>
        <v>0.5000000002253843</v>
      </c>
      <c r="U96" s="3"/>
    </row>
    <row r="97" spans="2:21" ht="12.75">
      <c r="B97" s="138">
        <v>2.75</v>
      </c>
      <c r="C97" s="135">
        <v>3800</v>
      </c>
      <c r="D97" s="135">
        <v>1816</v>
      </c>
      <c r="E97" s="135">
        <v>825</v>
      </c>
      <c r="F97" s="139">
        <v>-1154</v>
      </c>
      <c r="G97" s="139">
        <v>-2143</v>
      </c>
      <c r="H97" s="140">
        <v>0.66</v>
      </c>
      <c r="I97" s="169"/>
      <c r="N97" s="3" t="b">
        <f>+J80&gt;=N91</f>
        <v>0</v>
      </c>
      <c r="O97" s="3">
        <f>ABS((J80-P90)/IF(N97,N87,P87))</f>
        <v>1.5</v>
      </c>
      <c r="P97" s="3">
        <f>MIN(2.5,ABS((J80-(N91+P91*ABS(J80-N91)/ABS(IF(N97,N87+P91,P87-P91))*MIN(1,O97)))/(MIN(1.52,O97)/1.52*IF(N97,N85,P85)+(1.52-MIN(1.52,O97))/3.04*N86+(1.52-MIN(1.52,O97))/3.04*P86)))</f>
        <v>1.5021720498484765</v>
      </c>
      <c r="Q97" s="3">
        <f t="shared" si="2"/>
        <v>0.741858480914912</v>
      </c>
      <c r="R97" s="3">
        <f t="shared" si="3"/>
        <v>0.1290960979701214</v>
      </c>
      <c r="S97" s="3"/>
      <c r="T97" s="3">
        <f t="shared" si="4"/>
        <v>0.06652641802252776</v>
      </c>
      <c r="U97" s="3"/>
    </row>
    <row r="98" spans="2:21" ht="12.75">
      <c r="B98" s="108">
        <v>3.03</v>
      </c>
      <c r="C98" s="141">
        <v>5798</v>
      </c>
      <c r="D98" s="141">
        <v>3766</v>
      </c>
      <c r="E98" s="141">
        <v>2750</v>
      </c>
      <c r="F98" s="141">
        <v>712</v>
      </c>
      <c r="G98" s="136">
        <v>-307</v>
      </c>
      <c r="H98" s="137">
        <v>0.91</v>
      </c>
      <c r="I98" s="30"/>
      <c r="P98" s="3">
        <f>MIN(2.5,ABS((J80-P90)/(MIN(1.52,O97)/1.52*IF(N97,N85,P85)+(1.52-MIN(1.52,O97))/3.04*N86+(1.52-MIN(1.52,O97))/3.04*P86)))</f>
        <v>1.501054349876671</v>
      </c>
      <c r="Q98" s="3">
        <f t="shared" si="2"/>
        <v>0.7420009983225326</v>
      </c>
      <c r="R98" s="3">
        <f t="shared" si="3"/>
        <v>0.1293129485766269</v>
      </c>
      <c r="S98" s="3"/>
      <c r="T98" s="3">
        <f t="shared" si="4"/>
        <v>0.06667083013687167</v>
      </c>
      <c r="U98" s="3"/>
    </row>
    <row r="99" spans="2:21" ht="12.75">
      <c r="B99" s="108">
        <v>3.3</v>
      </c>
      <c r="C99" s="141">
        <v>7837</v>
      </c>
      <c r="D99" s="141">
        <v>5729</v>
      </c>
      <c r="E99" s="141">
        <v>4675</v>
      </c>
      <c r="F99" s="141">
        <v>2572</v>
      </c>
      <c r="G99" s="141">
        <v>1520</v>
      </c>
      <c r="H99" s="137">
        <v>0.99</v>
      </c>
      <c r="I99" s="30"/>
      <c r="N99" s="3" t="b">
        <f>+E80&gt;=N91</f>
        <v>1</v>
      </c>
      <c r="O99" s="3">
        <f>ABS((E80-P90)/IF(N99,N87,P87))</f>
        <v>0.9999999999999999</v>
      </c>
      <c r="P99" s="3">
        <f>MIN(2.5,ABS((E80-(N91+P91*ABS(E80-N91)/ABS(IF(N99,N87+P91,P87-P91))*MIN(1,O99)))/(MIN(1.52,O99)/1.52*IF(N99,N85,P85)+(1.52-MIN(1.52,O99))/3.04*N86+(1.52-MIN(1.52,O99))/3.04*P86)))</f>
        <v>1.000004511577633</v>
      </c>
      <c r="Q99" s="3">
        <f aca="true" t="shared" si="5" ref="Q99:Q104">1/(1+(0.2316419*P99))</f>
        <v>0.8119236212105517</v>
      </c>
      <c r="R99" s="3">
        <f aca="true" t="shared" si="6" ref="R99:R104">0.398942281*((2.71828)^((-(P99^2)/2)))</f>
        <v>0.24196971459399627</v>
      </c>
      <c r="S99" s="3"/>
      <c r="T99" s="3">
        <f aca="true" t="shared" si="7" ref="T99:T104">R99*(0.31938153*Q99-0.356563782*Q99^2+1.781477937*Q99^3-1.821255978*Q99^4+1.330274429*Q99^5)</f>
        <v>0.15865422149575908</v>
      </c>
      <c r="U99" s="3"/>
    </row>
    <row r="100" spans="2:21" ht="12.75">
      <c r="B100" s="30"/>
      <c r="C100" s="30"/>
      <c r="D100" s="30"/>
      <c r="E100" s="30"/>
      <c r="F100" s="30"/>
      <c r="G100" s="30"/>
      <c r="H100" s="30"/>
      <c r="I100" s="30"/>
      <c r="P100" s="3">
        <f>MIN(2.5,ABS((E80-P90)/(MIN(1.52,O99)/1.52*IF(N99,N85,P85)+(1.52-MIN(1.52,O99))/3.04*N86+(1.52-MIN(1.52,O99))/3.04*P86)))</f>
        <v>1.000004511577633</v>
      </c>
      <c r="Q100" s="3">
        <f t="shared" si="5"/>
        <v>0.8119236212105517</v>
      </c>
      <c r="R100" s="3">
        <f t="shared" si="6"/>
        <v>0.24196971459399627</v>
      </c>
      <c r="S100" s="3"/>
      <c r="T100" s="3">
        <f t="shared" si="7"/>
        <v>0.15865422149575908</v>
      </c>
      <c r="U100" s="3"/>
    </row>
    <row r="101" spans="4:21" ht="12.75">
      <c r="D101" s="55"/>
      <c r="E101" s="55"/>
      <c r="F101" s="104"/>
      <c r="G101" s="55"/>
      <c r="H101" s="55"/>
      <c r="N101" s="3" t="b">
        <f>+H80&gt;=N91</f>
        <v>0</v>
      </c>
      <c r="O101" s="3">
        <f>ABS((H80-P90)/IF(N101,N87,P87))</f>
        <v>0.5</v>
      </c>
      <c r="P101" s="3">
        <f>MIN(2.5,ABS((H80-(N91+P91*ABS(H80-N91)/ABS(IF(N101,N87+P91,P87-P91))*MIN(1,O101)))/(MIN(1.52,O101)/1.52*IF(N101,N85,P85)+(1.52-MIN(1.52,O101))/3.04*N86+(1.52-MIN(1.52,O101))/3.04*P86)))</f>
        <v>0.4979728318830578</v>
      </c>
      <c r="Q101" s="3">
        <f t="shared" si="5"/>
        <v>0.896578445388753</v>
      </c>
      <c r="R101" s="3">
        <f t="shared" si="6"/>
        <v>0.3524216612736042</v>
      </c>
      <c r="S101" s="3"/>
      <c r="T101" s="3">
        <f t="shared" si="7"/>
        <v>0.30925161649662886</v>
      </c>
      <c r="U101" s="3"/>
    </row>
    <row r="102" spans="2:21" ht="12.75">
      <c r="B102" s="66" t="s">
        <v>336</v>
      </c>
      <c r="D102" s="63"/>
      <c r="E102" s="63"/>
      <c r="F102" s="63"/>
      <c r="G102" s="63"/>
      <c r="H102" s="63"/>
      <c r="I102" s="63"/>
      <c r="J102" s="63"/>
      <c r="P102" s="3">
        <f>MIN(2.5,ABS((H80-P90)/(MIN(1.52,O101)/1.52*IF(N101,N85,P85)+(1.52-MIN(1.52,O101))/3.04*N86+(1.52-MIN(1.52,O101))/3.04*P86)))</f>
        <v>0.49964452545031846</v>
      </c>
      <c r="Q102" s="3">
        <f t="shared" si="5"/>
        <v>0.8962672740254359</v>
      </c>
      <c r="R102" s="3">
        <f t="shared" si="6"/>
        <v>0.3521279153032381</v>
      </c>
      <c r="S102" s="3"/>
      <c r="T102" s="3">
        <f t="shared" si="7"/>
        <v>0.3086627201669087</v>
      </c>
      <c r="U102" s="3"/>
    </row>
    <row r="103" spans="2:21" ht="12.75">
      <c r="B103" s="63" t="s">
        <v>337</v>
      </c>
      <c r="C103" s="63"/>
      <c r="D103" s="63"/>
      <c r="E103" s="63"/>
      <c r="F103" s="63"/>
      <c r="G103" s="63"/>
      <c r="H103" s="63"/>
      <c r="I103" s="63"/>
      <c r="J103" s="63"/>
      <c r="N103" s="3" t="b">
        <f>0&gt;=N91</f>
        <v>0</v>
      </c>
      <c r="O103" s="3">
        <f>ABS((0-P90)/IF(N103,N87,P87))</f>
        <v>0.416827871844624</v>
      </c>
      <c r="P103" s="3">
        <f>MIN(2.5,ABS((0-(N91+P91*ABS(0-N91)/ABS(IF(N103,N87+P91,P87-P91))*MIN(1,O103)))/(MIN(1.52,O103)/1.52*IF(N103,N85,P85)+(1.52-MIN(1.52,O103))/3.04*N86+(1.52-MIN(1.52,O103))/3.04*P86)))</f>
        <v>0.4146413055627313</v>
      </c>
      <c r="Q103" s="3">
        <f t="shared" si="5"/>
        <v>0.9123685517753756</v>
      </c>
      <c r="R103" s="3">
        <f t="shared" si="6"/>
        <v>0.3660804430342411</v>
      </c>
      <c r="S103" s="3"/>
      <c r="T103" s="3">
        <f t="shared" si="7"/>
        <v>0.33920231101520076</v>
      </c>
      <c r="U103" s="3"/>
    </row>
    <row r="104" spans="2:21" ht="12.75">
      <c r="B104" s="3" t="s">
        <v>338</v>
      </c>
      <c r="C104" s="3"/>
      <c r="D104" s="3"/>
      <c r="E104" s="3"/>
      <c r="F104" s="3"/>
      <c r="G104" s="3"/>
      <c r="H104" s="3"/>
      <c r="I104" s="3"/>
      <c r="J104" s="3"/>
      <c r="P104" s="3">
        <f>MIN(2.5,ABS((0-P90)/(MIN(1.52,O103)/1.52*IF(N103,N85,P85)+(1.52-MIN(1.52,O103))/3.04*N86+(1.52-MIN(1.52,O103))/3.04*P86)))</f>
        <v>0.4164825874783548</v>
      </c>
      <c r="Q104" s="3">
        <f t="shared" si="5"/>
        <v>0.9120136492811591</v>
      </c>
      <c r="R104" s="3">
        <f t="shared" si="6"/>
        <v>0.3658004377981754</v>
      </c>
      <c r="S104" s="3"/>
      <c r="T104" s="3">
        <f t="shared" si="7"/>
        <v>0.3385285106637957</v>
      </c>
      <c r="U104" s="3"/>
    </row>
    <row r="105" spans="2:21" ht="12.75">
      <c r="B105" s="3" t="s">
        <v>339</v>
      </c>
      <c r="C105" s="3"/>
      <c r="D105" s="3"/>
      <c r="E105" s="3"/>
      <c r="F105" s="3"/>
      <c r="G105" s="3"/>
      <c r="H105" s="3"/>
      <c r="I105" s="3"/>
      <c r="J105" s="3"/>
      <c r="N105" s="3" t="b">
        <f>+F80&gt;=N91</f>
        <v>1</v>
      </c>
      <c r="O105" s="3">
        <f>ABS((F80-P90)/IF(N105,N87,P87))</f>
        <v>0.49999999999999994</v>
      </c>
      <c r="P105" s="3">
        <f>MIN(2.5,ABS((F80-(N91+P91*ABS(F80-N91)/ABS(IF(N105,N87+P91,P87-P91))*MIN(1,O105)))/(MIN(1.52,O105)/1.52*IF(N105,N85,P85)+(1.52-MIN(1.52,O105))/3.04*N86+(1.52-MIN(1.52,O105))/3.04*P86)))</f>
        <v>0.5020218329187991</v>
      </c>
      <c r="Q105" s="3">
        <f>1/(1+(0.2316419*P105))</f>
        <v>0.895825130516279</v>
      </c>
      <c r="R105" s="3">
        <f>0.398942281*((2.71828)^((-(P105^2)/2)))</f>
        <v>0.3517089094466373</v>
      </c>
      <c r="S105" s="3"/>
      <c r="T105" s="3">
        <f>R105*(0.31938153*Q105-0.356563782*Q105^2+1.781477937*Q105^3-1.821255978*Q105^4+1.330274429*Q105^5)</f>
        <v>0.30782610056786847</v>
      </c>
      <c r="U105" s="3"/>
    </row>
    <row r="106" spans="16:21" ht="12.75">
      <c r="P106" s="3">
        <f>MIN(2.5,ABS((F80-P90)/(MIN(1.52,O105)/1.52*IF(N105,N85,P85)+(1.52-MIN(1.52,O105))/3.04*N86+(1.52-MIN(1.52,O105))/3.04*P86)))</f>
        <v>0.500354973023943</v>
      </c>
      <c r="Q106" s="3">
        <f>1/(1+(0.2316419*P106))</f>
        <v>0.8961350957202356</v>
      </c>
      <c r="R106" s="3">
        <f>0.398942281*((2.71828)^((-(P106^2)/2)))</f>
        <v>0.3520028534523541</v>
      </c>
      <c r="S106" s="3"/>
      <c r="T106" s="3">
        <f>R106*(0.31938153*Q106-0.356563782*Q106^2+1.781477937*Q106^3-1.821255978*Q106^4+1.330274429*Q106^5)</f>
        <v>0.3084125958515711</v>
      </c>
      <c r="U106" s="3"/>
    </row>
    <row r="107" spans="2:21" ht="12.75">
      <c r="N107" s="3" t="b">
        <f>+I80&gt;=N91</f>
        <v>0</v>
      </c>
      <c r="O107" s="3">
        <f>ABS((I80-P90)/IF(N107,N87,P87))</f>
        <v>1</v>
      </c>
      <c r="P107" s="3">
        <f>MIN(2.5,ABS((I80-(N91+P91*ABS(I80-N91)/ABS(IF(N107,N87+P91,P87-P91))*MIN(1,O107)))/(MIN(1.52,O107)/1.52*IF(N107,N85,P85)+(1.52-MIN(1.52,O107))/3.04*N86+(1.52-MIN(1.52,O107))/3.04*P86)))</f>
        <v>0.9999954756649365</v>
      </c>
      <c r="Q107" s="3">
        <f>1/(1+(0.2316419*P107))</f>
        <v>0.8119250010235622</v>
      </c>
      <c r="R107" s="3">
        <f>0.398942281*((2.71828)^((-(P107^2)/2)))</f>
        <v>0.24197190101960608</v>
      </c>
      <c r="S107" s="3"/>
      <c r="T107" s="3">
        <f>R107*(0.31938153*Q107-0.356563782*Q107^2+1.781477937*Q107^3-1.821255978*Q107^4+1.330274429*Q107^5)</f>
        <v>0.15865640791836036</v>
      </c>
      <c r="U107" s="3"/>
    </row>
    <row r="108" spans="16:21" ht="12.75">
      <c r="P108" s="3">
        <f>MIN(2.5,ABS((I80-P90)/(MIN(1.52,O107)/1.52*IF(N107,N85,P85)+(1.52-MIN(1.52,O107))/3.04*N86+(1.52-MIN(1.52,O107))/3.04*P86)))</f>
        <v>0.9999954756649365</v>
      </c>
      <c r="Q108" s="3">
        <f>1/(1+(0.2316419*P108))</f>
        <v>0.8119250010235622</v>
      </c>
      <c r="R108" s="3">
        <f>0.398942281*((2.71828)^((-(P108^2)/2)))</f>
        <v>0.24197190101960608</v>
      </c>
      <c r="S108" s="3"/>
      <c r="T108" s="3">
        <f>R108*(0.31938153*Q108-0.356563782*Q108^2+1.781477937*Q108^3-1.821255978*Q108^4+1.330274429*Q108^5)</f>
        <v>0.15865640791836036</v>
      </c>
      <c r="U108" s="3"/>
    </row>
    <row r="109" spans="11:12" ht="12.75">
      <c r="K109" s="63"/>
      <c r="L109" s="63"/>
    </row>
    <row r="110" spans="10:13" ht="12.75">
      <c r="J110" s="30"/>
      <c r="K110" s="30"/>
      <c r="L110" s="30"/>
      <c r="M110" s="30"/>
    </row>
    <row r="111" spans="11:12" ht="12.75">
      <c r="K111" s="3"/>
      <c r="L111" s="3"/>
    </row>
    <row r="112" spans="11:12" ht="12.75">
      <c r="K112" s="3"/>
      <c r="L112" s="3"/>
    </row>
    <row r="120" ht="12.75">
      <c r="B120" s="30"/>
    </row>
    <row r="121" ht="12.75">
      <c r="B121" s="30"/>
    </row>
    <row r="126" ht="12.75">
      <c r="B126" s="30"/>
    </row>
    <row r="127" ht="12.75">
      <c r="B127" s="30"/>
    </row>
    <row r="128" ht="12.75">
      <c r="B128" s="30"/>
    </row>
    <row r="129" ht="12.75">
      <c r="K129" s="3"/>
    </row>
    <row r="130" ht="12.75">
      <c r="K130" s="3"/>
    </row>
    <row r="131" ht="12.75">
      <c r="K131" s="3"/>
    </row>
    <row r="132" ht="12.75">
      <c r="K132" s="3"/>
    </row>
    <row r="133" spans="2:10" ht="12.75">
      <c r="B133" s="151"/>
      <c r="C133" s="151"/>
      <c r="D133" s="151"/>
      <c r="E133" s="151"/>
      <c r="F133" s="151"/>
      <c r="G133" s="151"/>
      <c r="H133" s="151"/>
      <c r="I133" s="151"/>
      <c r="J133" s="151"/>
    </row>
  </sheetData>
  <sheetProtection/>
  <mergeCells count="9">
    <mergeCell ref="B133:J133"/>
    <mergeCell ref="B67:I67"/>
    <mergeCell ref="M14:V14"/>
    <mergeCell ref="C4:I4"/>
    <mergeCell ref="C5:I5"/>
    <mergeCell ref="C3:I3"/>
    <mergeCell ref="C6:I6"/>
    <mergeCell ref="C7:I7"/>
    <mergeCell ref="C8:I8"/>
  </mergeCells>
  <printOptions/>
  <pageMargins left="0.5" right="0.5" top="0.5" bottom="0.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8"/>
  </sheetPr>
  <dimension ref="B4:J48"/>
  <sheetViews>
    <sheetView zoomScale="130" zoomScaleNormal="130" workbookViewId="0" topLeftCell="A21">
      <selection activeCell="D17" sqref="D17"/>
    </sheetView>
  </sheetViews>
  <sheetFormatPr defaultColWidth="9.140625" defaultRowHeight="12.75"/>
  <cols>
    <col min="1" max="1" width="3.140625" style="0" customWidth="1"/>
    <col min="2" max="2" width="7.28125" style="0" customWidth="1"/>
    <col min="3" max="3" width="5.57421875" style="0" customWidth="1"/>
    <col min="4" max="4" width="10.28125" style="0" customWidth="1"/>
    <col min="5" max="5" width="10.140625" style="0" bestFit="1" customWidth="1"/>
    <col min="6" max="6" width="9.00390625" style="0" customWidth="1"/>
    <col min="7" max="7" width="9.57421875" style="0" customWidth="1"/>
    <col min="8" max="8" width="11.140625" style="0" customWidth="1"/>
    <col min="9" max="9" width="9.140625" style="0" customWidth="1"/>
  </cols>
  <sheetData>
    <row r="4" spans="2:9" ht="15">
      <c r="B4" s="159" t="s">
        <v>238</v>
      </c>
      <c r="C4" s="159"/>
      <c r="D4" s="159"/>
      <c r="E4" s="159"/>
      <c r="F4" s="159"/>
      <c r="G4" s="159"/>
      <c r="H4" s="159"/>
      <c r="I4" s="31"/>
    </row>
    <row r="5" spans="2:9" ht="12.75">
      <c r="B5" s="31"/>
      <c r="C5" s="31"/>
      <c r="D5" s="31"/>
      <c r="E5" s="31"/>
      <c r="F5" s="31"/>
      <c r="G5" s="31"/>
      <c r="H5" s="31"/>
      <c r="I5" s="31"/>
    </row>
    <row r="6" spans="2:9" ht="12.75">
      <c r="B6" s="31"/>
      <c r="C6" s="38" t="s">
        <v>248</v>
      </c>
      <c r="D6" s="31"/>
      <c r="E6" s="31"/>
      <c r="F6" s="31"/>
      <c r="G6" s="31"/>
      <c r="H6" s="31"/>
      <c r="I6" s="31"/>
    </row>
    <row r="7" spans="2:9" ht="12.75">
      <c r="B7" s="31"/>
      <c r="C7" s="31"/>
      <c r="D7" s="31"/>
      <c r="E7" s="31"/>
      <c r="F7" s="31"/>
      <c r="G7" s="31"/>
      <c r="H7" s="31"/>
      <c r="I7" s="31"/>
    </row>
    <row r="8" spans="2:10" ht="12.75">
      <c r="B8" s="32"/>
      <c r="C8" s="32"/>
      <c r="D8" s="32"/>
      <c r="E8" s="32"/>
      <c r="G8" s="32" t="s">
        <v>230</v>
      </c>
      <c r="H8" s="32"/>
      <c r="I8" s="32" t="s">
        <v>230</v>
      </c>
      <c r="J8" s="31"/>
    </row>
    <row r="9" spans="2:10" ht="12.75">
      <c r="B9" s="32" t="s">
        <v>295</v>
      </c>
      <c r="C9" s="32" t="s">
        <v>296</v>
      </c>
      <c r="D9" s="32" t="s">
        <v>218</v>
      </c>
      <c r="E9" s="32" t="s">
        <v>285</v>
      </c>
      <c r="F9" s="38" t="s">
        <v>382</v>
      </c>
      <c r="G9" s="32" t="s">
        <v>285</v>
      </c>
      <c r="H9" s="32" t="s">
        <v>256</v>
      </c>
      <c r="I9" s="32" t="s">
        <v>256</v>
      </c>
      <c r="J9" s="31"/>
    </row>
    <row r="10" spans="2:10" ht="12.75">
      <c r="B10" s="31"/>
      <c r="C10" s="31"/>
      <c r="D10" s="31"/>
      <c r="E10" s="31"/>
      <c r="G10" s="31"/>
      <c r="H10" s="31"/>
      <c r="I10" s="31"/>
      <c r="J10" s="31"/>
    </row>
    <row r="11" spans="2:10" ht="12.75">
      <c r="B11" s="33">
        <v>1</v>
      </c>
      <c r="C11" s="33">
        <v>0</v>
      </c>
      <c r="D11" s="101">
        <f>MEDP</f>
        <v>2.75</v>
      </c>
      <c r="E11" s="99">
        <f>Yr1!I37</f>
        <v>7282.31025</v>
      </c>
      <c r="F11" s="3">
        <f>C11*D11</f>
        <v>0</v>
      </c>
      <c r="G11" s="99">
        <f>F11-E11</f>
        <v>-7282.31025</v>
      </c>
      <c r="H11" s="99">
        <f>Yr1!I45</f>
        <v>10272.3925975</v>
      </c>
      <c r="I11" s="99">
        <f aca="true" t="shared" si="0" ref="I11:I25">(C11*D11)-H11</f>
        <v>-10272.3925975</v>
      </c>
      <c r="J11" s="31" t="b">
        <f>I11&gt;0</f>
        <v>0</v>
      </c>
    </row>
    <row r="12" spans="2:10" ht="12.75">
      <c r="B12" s="33">
        <v>2</v>
      </c>
      <c r="C12" s="33">
        <f>1700*0.95</f>
        <v>1615</v>
      </c>
      <c r="D12" s="101">
        <v>3</v>
      </c>
      <c r="E12" s="99">
        <f>Yr2!I32</f>
        <v>5038.94805</v>
      </c>
      <c r="F12" s="3">
        <f aca="true" t="shared" si="1" ref="F12:F25">C12*D12</f>
        <v>4845</v>
      </c>
      <c r="G12" s="99">
        <f aca="true" t="shared" si="2" ref="G12:G25">F12-E12</f>
        <v>-193.94804999999997</v>
      </c>
      <c r="H12" s="99">
        <f>Yr2!I39</f>
        <v>7162.7253175000005</v>
      </c>
      <c r="I12" s="99">
        <f t="shared" si="0"/>
        <v>-2317.7253175000005</v>
      </c>
      <c r="J12" t="b">
        <f>SUM(I11:I12)&gt;0</f>
        <v>0</v>
      </c>
    </row>
    <row r="13" spans="2:10" ht="12.75">
      <c r="B13" s="33">
        <v>3</v>
      </c>
      <c r="C13" s="33">
        <f>4000*0.95</f>
        <v>3800</v>
      </c>
      <c r="D13" s="101">
        <v>2.75</v>
      </c>
      <c r="E13" s="99">
        <f>Yr3!I31</f>
        <v>9821.743970000001</v>
      </c>
      <c r="F13" s="3">
        <f t="shared" si="1"/>
        <v>10450</v>
      </c>
      <c r="G13" s="99">
        <f t="shared" si="2"/>
        <v>628.2560299999986</v>
      </c>
      <c r="H13" s="99">
        <f>Yr3!I39</f>
        <v>11942.161375500002</v>
      </c>
      <c r="I13" s="99">
        <f t="shared" si="0"/>
        <v>-1492.1613755000017</v>
      </c>
      <c r="J13" s="31" t="b">
        <f>SUM(I11:I13)&gt;0</f>
        <v>0</v>
      </c>
    </row>
    <row r="14" spans="2:10" ht="12.75">
      <c r="B14" s="33">
        <v>4</v>
      </c>
      <c r="C14" s="33">
        <f>7000*0.95</f>
        <v>6650</v>
      </c>
      <c r="D14" s="101">
        <v>2.5</v>
      </c>
      <c r="E14" s="99">
        <f>Bud!$I$45</f>
        <v>16290.180799999998</v>
      </c>
      <c r="F14" s="3">
        <f t="shared" si="1"/>
        <v>16625</v>
      </c>
      <c r="G14" s="99">
        <f t="shared" si="2"/>
        <v>334.81920000000173</v>
      </c>
      <c r="H14" s="99">
        <f>UNITCOST</f>
        <v>18442.92873</v>
      </c>
      <c r="I14" s="99">
        <f t="shared" si="0"/>
        <v>-1817.9287299999996</v>
      </c>
      <c r="J14" s="31" t="b">
        <f>SUM(I11:I14)&gt;0</f>
        <v>0</v>
      </c>
    </row>
    <row r="15" spans="2:10" ht="12.75">
      <c r="B15" s="33">
        <v>5</v>
      </c>
      <c r="C15" s="33">
        <f aca="true" t="shared" si="3" ref="C15:C25">7000*0.95</f>
        <v>6650</v>
      </c>
      <c r="D15" s="101">
        <v>3</v>
      </c>
      <c r="E15" s="99">
        <f>Bud!$I$45</f>
        <v>16290.180799999998</v>
      </c>
      <c r="F15" s="3">
        <f t="shared" si="1"/>
        <v>19950</v>
      </c>
      <c r="G15" s="99">
        <f t="shared" si="2"/>
        <v>3659.8192000000017</v>
      </c>
      <c r="H15" s="99">
        <f aca="true" t="shared" si="4" ref="H15:H25">UNITCOST</f>
        <v>18442.92873</v>
      </c>
      <c r="I15" s="99">
        <f t="shared" si="0"/>
        <v>1507.0712700000004</v>
      </c>
      <c r="J15" s="31" t="b">
        <f>SUM(I11:I15)&gt;0</f>
        <v>0</v>
      </c>
    </row>
    <row r="16" spans="2:10" ht="12.75">
      <c r="B16" s="33">
        <v>6</v>
      </c>
      <c r="C16" s="33">
        <f t="shared" si="3"/>
        <v>6650</v>
      </c>
      <c r="D16" s="101">
        <v>3</v>
      </c>
      <c r="E16" s="99">
        <f>Bud!$I$45</f>
        <v>16290.180799999998</v>
      </c>
      <c r="F16" s="3">
        <f t="shared" si="1"/>
        <v>19950</v>
      </c>
      <c r="G16" s="99">
        <f t="shared" si="2"/>
        <v>3659.8192000000017</v>
      </c>
      <c r="H16" s="99">
        <f t="shared" si="4"/>
        <v>18442.92873</v>
      </c>
      <c r="I16" s="99">
        <f t="shared" si="0"/>
        <v>1507.0712700000004</v>
      </c>
      <c r="J16" s="31" t="b">
        <f>SUM(I11:I16)&gt;0</f>
        <v>0</v>
      </c>
    </row>
    <row r="17" spans="2:10" ht="12.75">
      <c r="B17" s="33">
        <v>7</v>
      </c>
      <c r="C17" s="33">
        <f t="shared" si="3"/>
        <v>6650</v>
      </c>
      <c r="D17" s="101">
        <v>3</v>
      </c>
      <c r="E17" s="99">
        <f>Bud!$I$45</f>
        <v>16290.180799999998</v>
      </c>
      <c r="F17" s="3">
        <f t="shared" si="1"/>
        <v>19950</v>
      </c>
      <c r="G17" s="99">
        <f t="shared" si="2"/>
        <v>3659.8192000000017</v>
      </c>
      <c r="H17" s="99">
        <f t="shared" si="4"/>
        <v>18442.92873</v>
      </c>
      <c r="I17" s="99">
        <f t="shared" si="0"/>
        <v>1507.0712700000004</v>
      </c>
      <c r="J17" s="31" t="b">
        <f>SUM(I11:I17)&gt;0</f>
        <v>0</v>
      </c>
    </row>
    <row r="18" spans="2:10" ht="12.75">
      <c r="B18" s="33">
        <v>8</v>
      </c>
      <c r="C18" s="33">
        <f t="shared" si="3"/>
        <v>6650</v>
      </c>
      <c r="D18" s="101">
        <v>3</v>
      </c>
      <c r="E18" s="99">
        <f>Bud!$I$45</f>
        <v>16290.180799999998</v>
      </c>
      <c r="F18" s="3">
        <f t="shared" si="1"/>
        <v>19950</v>
      </c>
      <c r="G18" s="99">
        <f t="shared" si="2"/>
        <v>3659.8192000000017</v>
      </c>
      <c r="H18" s="99">
        <f t="shared" si="4"/>
        <v>18442.92873</v>
      </c>
      <c r="I18" s="99">
        <f t="shared" si="0"/>
        <v>1507.0712700000004</v>
      </c>
      <c r="J18" t="b">
        <f>SUM(I11:I18)&gt;0</f>
        <v>0</v>
      </c>
    </row>
    <row r="19" spans="2:10" ht="12.75">
      <c r="B19" s="33">
        <v>9</v>
      </c>
      <c r="C19" s="33">
        <f t="shared" si="3"/>
        <v>6650</v>
      </c>
      <c r="D19" s="101">
        <v>3</v>
      </c>
      <c r="E19" s="99">
        <f>Bud!$I$45</f>
        <v>16290.180799999998</v>
      </c>
      <c r="F19" s="3">
        <f t="shared" si="1"/>
        <v>19950</v>
      </c>
      <c r="G19" s="99">
        <f t="shared" si="2"/>
        <v>3659.8192000000017</v>
      </c>
      <c r="H19" s="99">
        <f t="shared" si="4"/>
        <v>18442.92873</v>
      </c>
      <c r="I19" s="99">
        <f t="shared" si="0"/>
        <v>1507.0712700000004</v>
      </c>
      <c r="J19" t="b">
        <f>SUM(I11:I19)&gt;0</f>
        <v>0</v>
      </c>
    </row>
    <row r="20" spans="2:10" ht="12.75">
      <c r="B20" s="33">
        <v>10</v>
      </c>
      <c r="C20" s="33">
        <f t="shared" si="3"/>
        <v>6650</v>
      </c>
      <c r="D20" s="101">
        <v>3</v>
      </c>
      <c r="E20" s="99">
        <f>Bud!$I$45</f>
        <v>16290.180799999998</v>
      </c>
      <c r="F20" s="3">
        <f t="shared" si="1"/>
        <v>19950</v>
      </c>
      <c r="G20" s="99">
        <f t="shared" si="2"/>
        <v>3659.8192000000017</v>
      </c>
      <c r="H20" s="99">
        <f t="shared" si="4"/>
        <v>18442.92873</v>
      </c>
      <c r="I20" s="99">
        <f t="shared" si="0"/>
        <v>1507.0712700000004</v>
      </c>
      <c r="J20" t="b">
        <f>SUM(I11:I20)&gt;0</f>
        <v>0</v>
      </c>
    </row>
    <row r="21" spans="2:10" ht="12.75">
      <c r="B21" s="33">
        <v>11</v>
      </c>
      <c r="C21" s="33">
        <f t="shared" si="3"/>
        <v>6650</v>
      </c>
      <c r="D21" s="101">
        <v>3</v>
      </c>
      <c r="E21" s="99">
        <f>Bud!$I$45</f>
        <v>16290.180799999998</v>
      </c>
      <c r="F21" s="3">
        <f t="shared" si="1"/>
        <v>19950</v>
      </c>
      <c r="G21" s="99">
        <f t="shared" si="2"/>
        <v>3659.8192000000017</v>
      </c>
      <c r="H21" s="99">
        <f t="shared" si="4"/>
        <v>18442.92873</v>
      </c>
      <c r="I21" s="99">
        <f t="shared" si="0"/>
        <v>1507.0712700000004</v>
      </c>
      <c r="J21" t="b">
        <f>SUM(I11:I21)&gt;0</f>
        <v>0</v>
      </c>
    </row>
    <row r="22" spans="2:10" ht="12.75">
      <c r="B22" s="33">
        <v>12</v>
      </c>
      <c r="C22" s="33">
        <f t="shared" si="3"/>
        <v>6650</v>
      </c>
      <c r="D22" s="101">
        <v>3</v>
      </c>
      <c r="E22" s="99">
        <f>Bud!$I$45</f>
        <v>16290.180799999998</v>
      </c>
      <c r="F22" s="3">
        <f t="shared" si="1"/>
        <v>19950</v>
      </c>
      <c r="G22" s="99">
        <f t="shared" si="2"/>
        <v>3659.8192000000017</v>
      </c>
      <c r="H22" s="99">
        <f t="shared" si="4"/>
        <v>18442.92873</v>
      </c>
      <c r="I22" s="99">
        <f t="shared" si="0"/>
        <v>1507.0712700000004</v>
      </c>
      <c r="J22" t="b">
        <f>SUM(I11:I22)&gt;0</f>
        <v>0</v>
      </c>
    </row>
    <row r="23" spans="2:10" ht="12.75">
      <c r="B23" s="33">
        <v>13</v>
      </c>
      <c r="C23" s="33">
        <f t="shared" si="3"/>
        <v>6650</v>
      </c>
      <c r="D23" s="101">
        <v>3</v>
      </c>
      <c r="E23" s="99">
        <f>Bud!$I$45</f>
        <v>16290.180799999998</v>
      </c>
      <c r="F23" s="3">
        <f t="shared" si="1"/>
        <v>19950</v>
      </c>
      <c r="G23" s="99">
        <f t="shared" si="2"/>
        <v>3659.8192000000017</v>
      </c>
      <c r="H23" s="99">
        <f t="shared" si="4"/>
        <v>18442.92873</v>
      </c>
      <c r="I23" s="99">
        <f t="shared" si="0"/>
        <v>1507.0712700000004</v>
      </c>
      <c r="J23" t="b">
        <f>SUM(I11:I23)&gt;0</f>
        <v>0</v>
      </c>
    </row>
    <row r="24" spans="2:10" ht="12.75">
      <c r="B24" s="33">
        <v>14</v>
      </c>
      <c r="C24" s="33">
        <f t="shared" si="3"/>
        <v>6650</v>
      </c>
      <c r="D24" s="101">
        <v>3</v>
      </c>
      <c r="E24" s="99">
        <f>Bud!$I$45</f>
        <v>16290.180799999998</v>
      </c>
      <c r="F24" s="3">
        <f t="shared" si="1"/>
        <v>19950</v>
      </c>
      <c r="G24" s="99">
        <f t="shared" si="2"/>
        <v>3659.8192000000017</v>
      </c>
      <c r="H24" s="99">
        <f t="shared" si="4"/>
        <v>18442.92873</v>
      </c>
      <c r="I24" s="99">
        <f t="shared" si="0"/>
        <v>1507.0712700000004</v>
      </c>
      <c r="J24" t="b">
        <f>SUM(I11:I24)&gt;0</f>
        <v>0</v>
      </c>
    </row>
    <row r="25" spans="2:10" ht="12.75">
      <c r="B25" s="33">
        <v>15</v>
      </c>
      <c r="C25" s="33">
        <f t="shared" si="3"/>
        <v>6650</v>
      </c>
      <c r="D25" s="101">
        <v>3</v>
      </c>
      <c r="E25" s="99">
        <f>Bud!$I$45</f>
        <v>16290.180799999998</v>
      </c>
      <c r="F25" s="3">
        <f t="shared" si="1"/>
        <v>19950</v>
      </c>
      <c r="G25" s="99">
        <f t="shared" si="2"/>
        <v>3659.8192000000017</v>
      </c>
      <c r="H25" s="99">
        <f t="shared" si="4"/>
        <v>18442.92873</v>
      </c>
      <c r="I25" s="99">
        <f t="shared" si="0"/>
        <v>1507.0712700000004</v>
      </c>
      <c r="J25" t="b">
        <f>SUM(I11:I25)&gt;0</f>
        <v>1</v>
      </c>
    </row>
    <row r="26" spans="2:9" ht="12.75">
      <c r="B26" s="33"/>
      <c r="C26" s="33"/>
      <c r="D26" s="33"/>
      <c r="E26" s="33"/>
      <c r="F26" s="33"/>
      <c r="G26" s="33"/>
      <c r="H26" s="33"/>
      <c r="I26" s="31"/>
    </row>
    <row r="27" spans="2:9" ht="12.75">
      <c r="B27" s="45" t="s">
        <v>155</v>
      </c>
      <c r="C27" s="38"/>
      <c r="D27" s="33"/>
      <c r="E27" s="33"/>
      <c r="F27" s="33"/>
      <c r="G27" s="33"/>
      <c r="H27" s="33"/>
      <c r="I27" s="31"/>
    </row>
    <row r="28" spans="2:9" ht="12.75">
      <c r="B28" s="33"/>
      <c r="D28" s="31"/>
      <c r="E28" s="33"/>
      <c r="F28" s="33"/>
      <c r="G28" s="33"/>
      <c r="H28" s="33"/>
      <c r="I28" s="31"/>
    </row>
    <row r="29" ht="12.75">
      <c r="B29" t="s">
        <v>384</v>
      </c>
    </row>
    <row r="30" ht="12.75">
      <c r="B30" t="s">
        <v>394</v>
      </c>
    </row>
    <row r="31" spans="2:7" ht="12.75">
      <c r="B31">
        <v>0</v>
      </c>
      <c r="D31" s="3">
        <f>I11</f>
        <v>-10272.3925975</v>
      </c>
      <c r="E31" s="3"/>
      <c r="F31" s="93" t="s">
        <v>385</v>
      </c>
      <c r="G31" s="97">
        <v>0.05</v>
      </c>
    </row>
    <row r="32" spans="2:7" ht="12.75">
      <c r="B32">
        <v>1</v>
      </c>
      <c r="D32" s="3">
        <f aca="true" t="shared" si="5" ref="D32:D45">I12</f>
        <v>-2317.7253175000005</v>
      </c>
      <c r="E32" s="3"/>
      <c r="F32" s="18" t="s">
        <v>385</v>
      </c>
      <c r="G32" s="128">
        <v>0.02</v>
      </c>
    </row>
    <row r="33" spans="2:10" ht="12.75">
      <c r="B33">
        <v>2</v>
      </c>
      <c r="C33" s="64"/>
      <c r="D33" s="3">
        <f t="shared" si="5"/>
        <v>-1492.1613755000017</v>
      </c>
      <c r="E33" s="3"/>
      <c r="F33" s="64"/>
      <c r="G33" s="64"/>
      <c r="H33" s="64"/>
      <c r="I33" s="64"/>
      <c r="J33" s="65"/>
    </row>
    <row r="34" spans="2:10" ht="12.75">
      <c r="B34">
        <v>3</v>
      </c>
      <c r="C34" s="102"/>
      <c r="D34" s="3">
        <f t="shared" si="5"/>
        <v>-1817.9287299999996</v>
      </c>
      <c r="E34" s="3"/>
      <c r="F34" s="102"/>
      <c r="G34" s="102"/>
      <c r="H34" s="102"/>
      <c r="I34" s="102"/>
      <c r="J34" s="102"/>
    </row>
    <row r="35" spans="2:10" ht="12.75">
      <c r="B35">
        <v>4</v>
      </c>
      <c r="C35" s="102"/>
      <c r="D35" s="3">
        <f t="shared" si="5"/>
        <v>1507.0712700000004</v>
      </c>
      <c r="E35" s="3"/>
      <c r="F35" s="102"/>
      <c r="G35" s="102"/>
      <c r="H35" s="102"/>
      <c r="I35" s="102"/>
      <c r="J35" s="102"/>
    </row>
    <row r="36" spans="2:5" ht="12.75">
      <c r="B36">
        <v>5</v>
      </c>
      <c r="D36" s="3">
        <f t="shared" si="5"/>
        <v>1507.0712700000004</v>
      </c>
      <c r="E36" s="3"/>
    </row>
    <row r="37" spans="2:5" ht="12.75">
      <c r="B37">
        <v>6</v>
      </c>
      <c r="D37" s="3">
        <f t="shared" si="5"/>
        <v>1507.0712700000004</v>
      </c>
      <c r="E37" s="3"/>
    </row>
    <row r="38" spans="2:5" ht="12.75">
      <c r="B38">
        <v>7</v>
      </c>
      <c r="D38" s="3">
        <f t="shared" si="5"/>
        <v>1507.0712700000004</v>
      </c>
      <c r="E38" s="3"/>
    </row>
    <row r="39" spans="2:5" ht="12.75">
      <c r="B39">
        <v>8</v>
      </c>
      <c r="D39" s="3">
        <f t="shared" si="5"/>
        <v>1507.0712700000004</v>
      </c>
      <c r="E39" s="3"/>
    </row>
    <row r="40" spans="2:5" ht="12.75">
      <c r="B40">
        <v>9</v>
      </c>
      <c r="D40" s="3">
        <f t="shared" si="5"/>
        <v>1507.0712700000004</v>
      </c>
      <c r="E40" s="3"/>
    </row>
    <row r="41" spans="2:5" ht="12.75">
      <c r="B41">
        <v>10</v>
      </c>
      <c r="D41" s="3">
        <f t="shared" si="5"/>
        <v>1507.0712700000004</v>
      </c>
      <c r="E41" s="3"/>
    </row>
    <row r="42" spans="2:5" ht="12.75">
      <c r="B42">
        <v>11</v>
      </c>
      <c r="D42" s="3">
        <f t="shared" si="5"/>
        <v>1507.0712700000004</v>
      </c>
      <c r="E42" s="3"/>
    </row>
    <row r="43" spans="2:5" ht="12.75">
      <c r="B43">
        <v>12</v>
      </c>
      <c r="D43" s="3">
        <f t="shared" si="5"/>
        <v>1507.0712700000004</v>
      </c>
      <c r="E43" s="3"/>
    </row>
    <row r="44" spans="2:5" ht="12.75">
      <c r="B44">
        <v>13</v>
      </c>
      <c r="D44" s="3">
        <f t="shared" si="5"/>
        <v>1507.0712700000004</v>
      </c>
      <c r="E44" s="3"/>
    </row>
    <row r="45" spans="2:5" ht="12.75">
      <c r="B45">
        <v>14</v>
      </c>
      <c r="D45" s="3">
        <f t="shared" si="5"/>
        <v>1507.0712700000004</v>
      </c>
      <c r="E45" s="3"/>
    </row>
    <row r="47" spans="4:5" ht="12.75">
      <c r="D47" s="38" t="s">
        <v>392</v>
      </c>
      <c r="E47" s="125">
        <f>NPV(G31,D32:D45)+D31</f>
        <v>-4589.7510786511875</v>
      </c>
    </row>
    <row r="48" spans="4:5" ht="12.75">
      <c r="D48" t="s">
        <v>393</v>
      </c>
      <c r="E48" s="129">
        <f>NPV(G32,D32:D45)+D31</f>
        <v>-1793.2040127514592</v>
      </c>
    </row>
  </sheetData>
  <sheetProtection/>
  <mergeCells count="1">
    <mergeCell ref="B4:H4"/>
  </mergeCells>
  <printOptions/>
  <pageMargins left="0.75" right="0.75" top="1" bottom="1" header="0.5" footer="0.5"/>
  <pageSetup horizontalDpi="600" verticalDpi="600" orientation="portrait" r:id="rId2"/>
  <ignoredErrors>
    <ignoredError sqref="H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V58"/>
  <sheetViews>
    <sheetView workbookViewId="0" topLeftCell="A3">
      <selection activeCell="H35" sqref="H35"/>
    </sheetView>
  </sheetViews>
  <sheetFormatPr defaultColWidth="9.140625" defaultRowHeight="12.75"/>
  <cols>
    <col min="1" max="1" width="3.00390625" style="0" customWidth="1"/>
    <col min="2" max="2" width="25.7109375" style="0" customWidth="1"/>
    <col min="3" max="3" width="1.1484375" style="0" customWidth="1"/>
    <col min="4" max="4" width="2.57421875" style="0" customWidth="1"/>
    <col min="5" max="5" width="7.00390625" style="0" customWidth="1"/>
    <col min="6" max="6" width="8.28125" style="0" customWidth="1"/>
    <col min="9" max="9" width="9.8515625" style="0" customWidth="1"/>
    <col min="10" max="10" width="9.7109375" style="0" customWidth="1"/>
    <col min="11" max="11" width="7.28125" style="0" customWidth="1"/>
    <col min="16" max="16" width="7.421875" style="0" customWidth="1"/>
    <col min="18" max="18" width="1.7109375" style="0" customWidth="1"/>
    <col min="20" max="20" width="2.140625" style="0" customWidth="1"/>
  </cols>
  <sheetData>
    <row r="2" spans="2:10" ht="15">
      <c r="B2" s="159" t="s">
        <v>307</v>
      </c>
      <c r="C2" s="159"/>
      <c r="D2" s="159"/>
      <c r="E2" s="159"/>
      <c r="F2" s="159"/>
      <c r="G2" s="159"/>
      <c r="H2" s="159"/>
      <c r="I2" s="159"/>
      <c r="J2" s="159"/>
    </row>
    <row r="3" spans="2:21" ht="15">
      <c r="B3" s="159" t="s">
        <v>390</v>
      </c>
      <c r="C3" s="159"/>
      <c r="D3" s="159"/>
      <c r="E3" s="159"/>
      <c r="F3" s="159"/>
      <c r="G3" s="159"/>
      <c r="H3" s="159"/>
      <c r="I3" s="159"/>
      <c r="J3" s="159"/>
      <c r="L3" s="159" t="s">
        <v>348</v>
      </c>
      <c r="M3" s="159"/>
      <c r="N3" s="159"/>
      <c r="O3" s="159"/>
      <c r="P3" s="159"/>
      <c r="Q3" s="159"/>
      <c r="R3" s="159"/>
      <c r="S3" s="159"/>
      <c r="T3" s="159"/>
      <c r="U3" s="159"/>
    </row>
    <row r="4" ht="15">
      <c r="A4" s="77"/>
    </row>
    <row r="6" spans="2:22" ht="12.75">
      <c r="B6" s="38" t="s">
        <v>171</v>
      </c>
      <c r="C6" s="6"/>
      <c r="D6" s="6"/>
      <c r="E6" s="38" t="s">
        <v>91</v>
      </c>
      <c r="F6" s="38" t="s">
        <v>281</v>
      </c>
      <c r="G6" s="38" t="s">
        <v>308</v>
      </c>
      <c r="H6" s="41" t="s">
        <v>218</v>
      </c>
      <c r="I6" s="42" t="s">
        <v>309</v>
      </c>
      <c r="L6" s="38" t="s">
        <v>171</v>
      </c>
      <c r="M6" s="6"/>
      <c r="N6" s="6"/>
      <c r="O6" s="38" t="s">
        <v>91</v>
      </c>
      <c r="P6" s="38" t="s">
        <v>281</v>
      </c>
      <c r="Q6" s="38" t="s">
        <v>308</v>
      </c>
      <c r="R6" s="38"/>
      <c r="S6" s="41" t="s">
        <v>218</v>
      </c>
      <c r="T6" s="41"/>
      <c r="U6" s="42" t="s">
        <v>309</v>
      </c>
      <c r="V6" s="38"/>
    </row>
    <row r="8" spans="2:13" ht="12.75">
      <c r="B8" s="6" t="s">
        <v>174</v>
      </c>
      <c r="C8" s="6"/>
      <c r="L8" s="6" t="s">
        <v>174</v>
      </c>
      <c r="M8" s="6"/>
    </row>
    <row r="9" spans="2:21" ht="12.75">
      <c r="B9" t="s">
        <v>217</v>
      </c>
      <c r="E9" s="29"/>
      <c r="F9" s="29" t="s">
        <v>143</v>
      </c>
      <c r="G9" s="83">
        <v>2.5</v>
      </c>
      <c r="H9" s="83">
        <v>37.8</v>
      </c>
      <c r="I9" s="83">
        <f aca="true" t="shared" si="0" ref="I9:I18">G9*H9</f>
        <v>94.5</v>
      </c>
      <c r="L9" t="s">
        <v>217</v>
      </c>
      <c r="P9" s="21" t="s">
        <v>143</v>
      </c>
      <c r="Q9" s="80"/>
      <c r="S9" s="80"/>
      <c r="U9" s="80">
        <f aca="true" t="shared" si="1" ref="U9:U18">Q9*S9</f>
        <v>0</v>
      </c>
    </row>
    <row r="10" spans="2:21" ht="12.75">
      <c r="B10" t="s">
        <v>243</v>
      </c>
      <c r="E10" s="29"/>
      <c r="F10" s="29" t="s">
        <v>81</v>
      </c>
      <c r="G10" s="83">
        <v>1</v>
      </c>
      <c r="H10" s="83">
        <v>1260</v>
      </c>
      <c r="I10" s="83">
        <f t="shared" si="0"/>
        <v>1260</v>
      </c>
      <c r="L10" t="s">
        <v>243</v>
      </c>
      <c r="P10" s="21" t="s">
        <v>81</v>
      </c>
      <c r="Q10" s="80"/>
      <c r="S10" s="80"/>
      <c r="U10" s="80">
        <f t="shared" si="1"/>
        <v>0</v>
      </c>
    </row>
    <row r="11" spans="2:21" ht="12.75">
      <c r="B11" t="s">
        <v>104</v>
      </c>
      <c r="E11" s="29"/>
      <c r="F11" s="29" t="s">
        <v>81</v>
      </c>
      <c r="G11" s="83">
        <v>3</v>
      </c>
      <c r="H11" s="83">
        <v>52.5</v>
      </c>
      <c r="I11" s="83">
        <f t="shared" si="0"/>
        <v>157.5</v>
      </c>
      <c r="K11" s="31"/>
      <c r="L11" t="s">
        <v>104</v>
      </c>
      <c r="P11" s="21" t="s">
        <v>81</v>
      </c>
      <c r="Q11" s="80"/>
      <c r="S11" s="80"/>
      <c r="U11" s="80">
        <f t="shared" si="1"/>
        <v>0</v>
      </c>
    </row>
    <row r="12" spans="2:21" ht="12.75">
      <c r="B12" t="s">
        <v>323</v>
      </c>
      <c r="E12" s="29"/>
      <c r="F12" s="29" t="s">
        <v>154</v>
      </c>
      <c r="G12" s="83">
        <v>150</v>
      </c>
      <c r="H12" s="83">
        <v>0.137</v>
      </c>
      <c r="I12" s="83">
        <f t="shared" si="0"/>
        <v>20.55</v>
      </c>
      <c r="L12" t="s">
        <v>323</v>
      </c>
      <c r="P12" s="21" t="s">
        <v>154</v>
      </c>
      <c r="Q12" s="80"/>
      <c r="S12" s="80"/>
      <c r="U12" s="80">
        <f t="shared" si="1"/>
        <v>0</v>
      </c>
    </row>
    <row r="13" spans="2:21" ht="12.75">
      <c r="B13" t="s">
        <v>106</v>
      </c>
      <c r="E13" s="29"/>
      <c r="F13" s="29" t="s">
        <v>175</v>
      </c>
      <c r="G13" s="83">
        <v>4</v>
      </c>
      <c r="H13" s="83">
        <v>2.1</v>
      </c>
      <c r="I13" s="83">
        <f t="shared" si="0"/>
        <v>8.4</v>
      </c>
      <c r="L13" t="s">
        <v>106</v>
      </c>
      <c r="P13" s="21" t="s">
        <v>175</v>
      </c>
      <c r="Q13" s="80"/>
      <c r="S13" s="80"/>
      <c r="U13" s="80">
        <f t="shared" si="1"/>
        <v>0</v>
      </c>
    </row>
    <row r="14" spans="2:21" ht="12.75">
      <c r="B14" t="s">
        <v>147</v>
      </c>
      <c r="E14" s="29"/>
      <c r="F14" s="29" t="s">
        <v>81</v>
      </c>
      <c r="G14" s="83">
        <v>3</v>
      </c>
      <c r="H14" s="83">
        <v>52.5</v>
      </c>
      <c r="I14" s="83">
        <f t="shared" si="0"/>
        <v>157.5</v>
      </c>
      <c r="L14" t="s">
        <v>147</v>
      </c>
      <c r="P14" s="21" t="s">
        <v>81</v>
      </c>
      <c r="Q14" s="80"/>
      <c r="S14" s="80"/>
      <c r="U14" s="80">
        <f t="shared" si="1"/>
        <v>0</v>
      </c>
    </row>
    <row r="15" spans="2:21" ht="12.75">
      <c r="B15" t="s">
        <v>95</v>
      </c>
      <c r="E15" s="29"/>
      <c r="F15" s="29" t="s">
        <v>81</v>
      </c>
      <c r="G15" s="83">
        <v>1</v>
      </c>
      <c r="H15" s="83">
        <v>157.5</v>
      </c>
      <c r="I15" s="83">
        <f t="shared" si="0"/>
        <v>157.5</v>
      </c>
      <c r="L15" t="s">
        <v>95</v>
      </c>
      <c r="P15" s="21" t="s">
        <v>81</v>
      </c>
      <c r="Q15" s="80"/>
      <c r="S15" s="80"/>
      <c r="U15" s="80">
        <f t="shared" si="1"/>
        <v>0</v>
      </c>
    </row>
    <row r="16" spans="2:21" ht="12.75">
      <c r="B16" t="s">
        <v>98</v>
      </c>
      <c r="E16" s="29"/>
      <c r="F16" s="29" t="s">
        <v>81</v>
      </c>
      <c r="G16" s="83">
        <v>1</v>
      </c>
      <c r="H16" s="83">
        <v>78.75</v>
      </c>
      <c r="I16" s="83">
        <f t="shared" si="0"/>
        <v>78.75</v>
      </c>
      <c r="L16" t="s">
        <v>98</v>
      </c>
      <c r="P16" s="21" t="s">
        <v>81</v>
      </c>
      <c r="Q16" s="80"/>
      <c r="S16" s="80"/>
      <c r="U16" s="80">
        <f t="shared" si="1"/>
        <v>0</v>
      </c>
    </row>
    <row r="17" spans="2:21" ht="12.75">
      <c r="B17" t="s">
        <v>114</v>
      </c>
      <c r="E17" s="29"/>
      <c r="F17" s="29" t="s">
        <v>81</v>
      </c>
      <c r="G17" s="83">
        <v>1</v>
      </c>
      <c r="H17" s="83">
        <v>136.5</v>
      </c>
      <c r="I17" s="83">
        <f t="shared" si="0"/>
        <v>136.5</v>
      </c>
      <c r="L17" t="s">
        <v>114</v>
      </c>
      <c r="P17" s="21" t="s">
        <v>81</v>
      </c>
      <c r="Q17" s="80"/>
      <c r="S17" s="80"/>
      <c r="U17" s="80">
        <f t="shared" si="1"/>
        <v>0</v>
      </c>
    </row>
    <row r="18" spans="2:21" ht="12.75">
      <c r="B18" t="s">
        <v>184</v>
      </c>
      <c r="E18" s="29"/>
      <c r="F18" s="29" t="s">
        <v>250</v>
      </c>
      <c r="G18" s="83">
        <v>20</v>
      </c>
      <c r="H18" s="83">
        <v>42</v>
      </c>
      <c r="I18" s="83">
        <f t="shared" si="0"/>
        <v>840</v>
      </c>
      <c r="L18" t="s">
        <v>184</v>
      </c>
      <c r="P18" s="21" t="s">
        <v>250</v>
      </c>
      <c r="Q18" s="80"/>
      <c r="S18" s="80"/>
      <c r="U18" s="80">
        <f t="shared" si="1"/>
        <v>0</v>
      </c>
    </row>
    <row r="19" spans="2:16" ht="12.75">
      <c r="B19" s="6" t="s">
        <v>204</v>
      </c>
      <c r="E19" s="29"/>
      <c r="F19" s="29"/>
      <c r="G19" s="83"/>
      <c r="H19" s="83"/>
      <c r="I19" s="83"/>
      <c r="L19" s="6" t="s">
        <v>204</v>
      </c>
      <c r="P19" s="21"/>
    </row>
    <row r="20" spans="2:21" ht="12.75">
      <c r="B20" t="s">
        <v>301</v>
      </c>
      <c r="E20" s="29"/>
      <c r="F20" s="29" t="s">
        <v>81</v>
      </c>
      <c r="G20" s="83">
        <v>1210</v>
      </c>
      <c r="H20" s="83">
        <v>2.42</v>
      </c>
      <c r="I20" s="83">
        <f>G20*H20</f>
        <v>2928.2</v>
      </c>
      <c r="L20" t="s">
        <v>301</v>
      </c>
      <c r="P20" s="21" t="s">
        <v>81</v>
      </c>
      <c r="Q20" s="80"/>
      <c r="S20" s="80"/>
      <c r="U20" s="80">
        <f>Q20*S20</f>
        <v>0</v>
      </c>
    </row>
    <row r="21" spans="2:21" ht="12.75">
      <c r="B21" t="s">
        <v>205</v>
      </c>
      <c r="E21" s="29"/>
      <c r="F21" s="29" t="s">
        <v>81</v>
      </c>
      <c r="G21" s="83">
        <f>G20</f>
        <v>1210</v>
      </c>
      <c r="H21" s="83">
        <v>0.21</v>
      </c>
      <c r="I21" s="83">
        <f>G21*H21</f>
        <v>254.1</v>
      </c>
      <c r="L21" t="s">
        <v>205</v>
      </c>
      <c r="P21" s="21" t="s">
        <v>81</v>
      </c>
      <c r="Q21" s="80"/>
      <c r="S21" s="80"/>
      <c r="U21" s="80">
        <f>Q21*S21</f>
        <v>0</v>
      </c>
    </row>
    <row r="22" spans="2:16" ht="12.75">
      <c r="B22" s="6" t="s">
        <v>129</v>
      </c>
      <c r="E22" s="29"/>
      <c r="F22" s="29"/>
      <c r="G22" s="83"/>
      <c r="H22" s="83"/>
      <c r="I22" s="83"/>
      <c r="L22" s="6" t="s">
        <v>129</v>
      </c>
      <c r="P22" s="21"/>
    </row>
    <row r="23" spans="2:21" ht="12.75">
      <c r="B23" t="s">
        <v>126</v>
      </c>
      <c r="E23" s="29"/>
      <c r="F23" s="29" t="s">
        <v>143</v>
      </c>
      <c r="G23" s="83">
        <v>64</v>
      </c>
      <c r="H23" s="83">
        <v>1.95</v>
      </c>
      <c r="I23" s="83">
        <f>G23*H23</f>
        <v>124.8</v>
      </c>
      <c r="L23" t="s">
        <v>126</v>
      </c>
      <c r="P23" s="21" t="s">
        <v>143</v>
      </c>
      <c r="Q23" s="80"/>
      <c r="S23" s="80"/>
      <c r="U23" s="80">
        <f>Q23*S23</f>
        <v>0</v>
      </c>
    </row>
    <row r="24" spans="2:16" ht="12.75">
      <c r="B24" s="6" t="s">
        <v>290</v>
      </c>
      <c r="E24" s="29"/>
      <c r="F24" s="29"/>
      <c r="G24" s="83"/>
      <c r="H24" s="83"/>
      <c r="I24" s="83"/>
      <c r="L24" s="6" t="s">
        <v>290</v>
      </c>
      <c r="P24" s="21"/>
    </row>
    <row r="25" spans="2:21" ht="12.75">
      <c r="B25" t="s">
        <v>210</v>
      </c>
      <c r="E25" s="29" t="s">
        <v>75</v>
      </c>
      <c r="F25" s="29" t="s">
        <v>81</v>
      </c>
      <c r="G25" s="83">
        <v>2</v>
      </c>
      <c r="H25" s="83">
        <v>31.5</v>
      </c>
      <c r="I25" s="83">
        <f>G25*H25</f>
        <v>63</v>
      </c>
      <c r="L25" t="s">
        <v>210</v>
      </c>
      <c r="O25" t="s">
        <v>75</v>
      </c>
      <c r="P25" s="21" t="s">
        <v>81</v>
      </c>
      <c r="Q25" s="80"/>
      <c r="S25" s="80"/>
      <c r="U25" s="80">
        <f>Q25*S25</f>
        <v>0</v>
      </c>
    </row>
    <row r="26" spans="2:21" ht="12.75">
      <c r="B26" t="s">
        <v>208</v>
      </c>
      <c r="E26" s="29" t="s">
        <v>75</v>
      </c>
      <c r="F26" s="29" t="s">
        <v>81</v>
      </c>
      <c r="G26" s="83">
        <v>2</v>
      </c>
      <c r="H26" s="83">
        <v>21</v>
      </c>
      <c r="I26" s="83">
        <f>G26*H26</f>
        <v>42</v>
      </c>
      <c r="L26" t="s">
        <v>208</v>
      </c>
      <c r="O26" t="s">
        <v>75</v>
      </c>
      <c r="P26" s="21" t="s">
        <v>81</v>
      </c>
      <c r="Q26" s="80"/>
      <c r="S26" s="80"/>
      <c r="U26" s="80">
        <f>Q26*S26</f>
        <v>0</v>
      </c>
    </row>
    <row r="27" spans="2:21" ht="12.75">
      <c r="B27" t="s">
        <v>271</v>
      </c>
      <c r="E27" s="29" t="s">
        <v>78</v>
      </c>
      <c r="F27" s="29" t="s">
        <v>153</v>
      </c>
      <c r="G27" s="83">
        <v>4</v>
      </c>
      <c r="H27" s="83">
        <v>12</v>
      </c>
      <c r="I27" s="83">
        <f aca="true" t="shared" si="2" ref="I27:I36">G27*H27</f>
        <v>48</v>
      </c>
      <c r="L27" t="s">
        <v>271</v>
      </c>
      <c r="O27" t="s">
        <v>78</v>
      </c>
      <c r="P27" s="21" t="s">
        <v>153</v>
      </c>
      <c r="Q27" s="80"/>
      <c r="S27" s="80"/>
      <c r="U27" s="80">
        <f>Q27*S27</f>
        <v>0</v>
      </c>
    </row>
    <row r="28" spans="2:21" ht="12.75">
      <c r="B28" s="46" t="s">
        <v>172</v>
      </c>
      <c r="E28" s="29" t="s">
        <v>78</v>
      </c>
      <c r="F28" s="29" t="s">
        <v>153</v>
      </c>
      <c r="G28" s="83">
        <v>4</v>
      </c>
      <c r="H28" s="83">
        <v>9</v>
      </c>
      <c r="I28" s="83">
        <f t="shared" si="2"/>
        <v>36</v>
      </c>
      <c r="L28" s="46" t="s">
        <v>172</v>
      </c>
      <c r="O28" t="s">
        <v>78</v>
      </c>
      <c r="P28" s="21" t="s">
        <v>153</v>
      </c>
      <c r="Q28" s="80"/>
      <c r="S28" s="80"/>
      <c r="U28" s="80">
        <f>Q28*S28</f>
        <v>0</v>
      </c>
    </row>
    <row r="29" spans="2:16" ht="12.75">
      <c r="B29" s="6" t="s">
        <v>158</v>
      </c>
      <c r="C29" s="6"/>
      <c r="D29" s="6"/>
      <c r="E29" s="82"/>
      <c r="F29" s="82"/>
      <c r="G29" s="84"/>
      <c r="H29" s="84"/>
      <c r="I29" s="84"/>
      <c r="L29" s="6" t="s">
        <v>158</v>
      </c>
      <c r="M29" s="6"/>
      <c r="N29" s="6"/>
      <c r="O29" s="6"/>
      <c r="P29" s="22"/>
    </row>
    <row r="30" spans="2:21" ht="12.75">
      <c r="B30" t="s">
        <v>140</v>
      </c>
      <c r="E30" s="29" t="s">
        <v>78</v>
      </c>
      <c r="F30" s="29" t="s">
        <v>81</v>
      </c>
      <c r="G30" s="83">
        <v>4</v>
      </c>
      <c r="H30" s="83">
        <v>27.75</v>
      </c>
      <c r="I30" s="83">
        <f t="shared" si="2"/>
        <v>111</v>
      </c>
      <c r="L30" t="s">
        <v>140</v>
      </c>
      <c r="O30" t="s">
        <v>78</v>
      </c>
      <c r="P30" s="21" t="s">
        <v>81</v>
      </c>
      <c r="Q30" s="80"/>
      <c r="S30" s="80"/>
      <c r="U30" s="80">
        <f aca="true" t="shared" si="3" ref="U30:U36">Q30*S30</f>
        <v>0</v>
      </c>
    </row>
    <row r="31" spans="2:21" ht="12.75">
      <c r="B31" t="s">
        <v>159</v>
      </c>
      <c r="E31" s="29" t="s">
        <v>75</v>
      </c>
      <c r="F31" s="29" t="s">
        <v>81</v>
      </c>
      <c r="G31" s="83">
        <v>2</v>
      </c>
      <c r="H31" s="83">
        <v>12.6</v>
      </c>
      <c r="I31" s="83">
        <f t="shared" si="2"/>
        <v>25.2</v>
      </c>
      <c r="L31" t="s">
        <v>159</v>
      </c>
      <c r="O31" t="s">
        <v>75</v>
      </c>
      <c r="P31" s="21" t="s">
        <v>81</v>
      </c>
      <c r="Q31" s="80"/>
      <c r="S31" s="80"/>
      <c r="U31" s="80">
        <f t="shared" si="3"/>
        <v>0</v>
      </c>
    </row>
    <row r="32" spans="2:21" ht="12.75">
      <c r="B32" t="s">
        <v>272</v>
      </c>
      <c r="E32" s="29" t="s">
        <v>302</v>
      </c>
      <c r="F32" s="29" t="s">
        <v>81</v>
      </c>
      <c r="G32" s="83">
        <v>6</v>
      </c>
      <c r="H32" s="83">
        <v>12</v>
      </c>
      <c r="I32" s="83">
        <f t="shared" si="2"/>
        <v>72</v>
      </c>
      <c r="L32" t="s">
        <v>272</v>
      </c>
      <c r="O32" t="s">
        <v>302</v>
      </c>
      <c r="P32" s="21" t="s">
        <v>81</v>
      </c>
      <c r="Q32" s="80"/>
      <c r="S32" s="80"/>
      <c r="U32" s="80">
        <f t="shared" si="3"/>
        <v>0</v>
      </c>
    </row>
    <row r="33" spans="2:21" ht="12.75">
      <c r="B33" t="s">
        <v>173</v>
      </c>
      <c r="E33" s="29" t="s">
        <v>302</v>
      </c>
      <c r="F33" s="29" t="s">
        <v>81</v>
      </c>
      <c r="G33" s="83">
        <v>6</v>
      </c>
      <c r="H33" s="83">
        <v>9</v>
      </c>
      <c r="I33" s="83">
        <f t="shared" si="2"/>
        <v>54</v>
      </c>
      <c r="L33" t="s">
        <v>173</v>
      </c>
      <c r="O33" t="s">
        <v>302</v>
      </c>
      <c r="P33" s="21" t="s">
        <v>81</v>
      </c>
      <c r="Q33" s="80"/>
      <c r="S33" s="80"/>
      <c r="U33" s="80">
        <f t="shared" si="3"/>
        <v>0</v>
      </c>
    </row>
    <row r="34" spans="2:21" ht="12.75">
      <c r="B34" s="31" t="s">
        <v>220</v>
      </c>
      <c r="E34" s="29" t="s">
        <v>72</v>
      </c>
      <c r="F34" s="29" t="s">
        <v>153</v>
      </c>
      <c r="G34" s="83">
        <v>3</v>
      </c>
      <c r="H34" s="83">
        <v>9.45</v>
      </c>
      <c r="I34" s="83">
        <f t="shared" si="2"/>
        <v>28.349999999999998</v>
      </c>
      <c r="L34" s="31" t="s">
        <v>220</v>
      </c>
      <c r="O34" t="s">
        <v>72</v>
      </c>
      <c r="P34" s="21" t="s">
        <v>153</v>
      </c>
      <c r="Q34" s="80"/>
      <c r="S34" s="80"/>
      <c r="U34" s="80">
        <f t="shared" si="3"/>
        <v>0</v>
      </c>
    </row>
    <row r="35" spans="2:21" ht="12.75">
      <c r="B35" s="31" t="s">
        <v>169</v>
      </c>
      <c r="E35" s="29"/>
      <c r="F35" s="29" t="s">
        <v>81</v>
      </c>
      <c r="G35" s="83">
        <v>1</v>
      </c>
      <c r="H35" s="83">
        <f>Drip!I40</f>
        <v>140</v>
      </c>
      <c r="I35" s="83">
        <f t="shared" si="2"/>
        <v>140</v>
      </c>
      <c r="L35" s="31" t="s">
        <v>169</v>
      </c>
      <c r="P35" s="21" t="s">
        <v>81</v>
      </c>
      <c r="Q35" s="80"/>
      <c r="S35" s="80"/>
      <c r="U35" s="80">
        <f t="shared" si="3"/>
        <v>0</v>
      </c>
    </row>
    <row r="36" spans="2:21" ht="12.75">
      <c r="B36" t="s">
        <v>167</v>
      </c>
      <c r="E36" s="29"/>
      <c r="F36" s="29" t="s">
        <v>58</v>
      </c>
      <c r="G36" s="83">
        <f>SUM(I9:I35)</f>
        <v>6837.85</v>
      </c>
      <c r="H36" s="83">
        <v>0.065</v>
      </c>
      <c r="I36" s="83">
        <f t="shared" si="2"/>
        <v>444.46025000000003</v>
      </c>
      <c r="L36" t="s">
        <v>167</v>
      </c>
      <c r="P36" s="21" t="s">
        <v>58</v>
      </c>
      <c r="Q36" s="80"/>
      <c r="S36" s="80"/>
      <c r="U36" s="80">
        <f t="shared" si="3"/>
        <v>0</v>
      </c>
    </row>
    <row r="37" spans="2:21" ht="13.5" thickBot="1">
      <c r="B37" s="38" t="s">
        <v>265</v>
      </c>
      <c r="E37" s="29"/>
      <c r="F37" s="46" t="s">
        <v>58</v>
      </c>
      <c r="G37" s="83"/>
      <c r="H37" s="83" t="s">
        <v>1</v>
      </c>
      <c r="I37" s="85">
        <f>SUM(I9:I36)</f>
        <v>7282.31025</v>
      </c>
      <c r="L37" s="38" t="s">
        <v>265</v>
      </c>
      <c r="P37" s="45" t="s">
        <v>58</v>
      </c>
      <c r="Q37" s="80"/>
      <c r="S37" s="80"/>
      <c r="U37" s="81">
        <f>SUM(U9:U36)</f>
        <v>0</v>
      </c>
    </row>
    <row r="38" spans="5:16" ht="13.5" thickTop="1">
      <c r="E38" s="29"/>
      <c r="F38" s="29"/>
      <c r="G38" s="29"/>
      <c r="H38" s="29"/>
      <c r="I38" s="29"/>
      <c r="P38" s="21"/>
    </row>
    <row r="39" spans="2:16" ht="12.75">
      <c r="B39" s="6" t="s">
        <v>134</v>
      </c>
      <c r="C39" s="6"/>
      <c r="E39" s="29"/>
      <c r="F39" s="29"/>
      <c r="G39" s="83"/>
      <c r="H39" s="83"/>
      <c r="I39" s="83"/>
      <c r="L39" s="6" t="s">
        <v>134</v>
      </c>
      <c r="M39" s="6"/>
      <c r="P39" s="21"/>
    </row>
    <row r="40" spans="2:21" ht="12.75">
      <c r="B40" t="s">
        <v>270</v>
      </c>
      <c r="E40" s="29"/>
      <c r="F40" s="29" t="s">
        <v>81</v>
      </c>
      <c r="G40" s="83">
        <v>1</v>
      </c>
      <c r="H40" s="83">
        <f>FxdCost!E30</f>
        <v>1597.36581</v>
      </c>
      <c r="I40" s="83">
        <f>G40*H40</f>
        <v>1597.36581</v>
      </c>
      <c r="L40" t="s">
        <v>270</v>
      </c>
      <c r="P40" s="21" t="s">
        <v>81</v>
      </c>
      <c r="Q40" s="80"/>
      <c r="S40" s="80"/>
      <c r="U40" s="80">
        <f>Q40*S40</f>
        <v>0</v>
      </c>
    </row>
    <row r="41" spans="2:21" ht="12.75">
      <c r="B41" t="s">
        <v>197</v>
      </c>
      <c r="E41" s="29"/>
      <c r="F41" s="29" t="s">
        <v>58</v>
      </c>
      <c r="G41" s="83">
        <f>I37</f>
        <v>7282.31025</v>
      </c>
      <c r="H41" s="83">
        <v>0.15</v>
      </c>
      <c r="I41" s="83">
        <f>G41*H41</f>
        <v>1092.3465375</v>
      </c>
      <c r="L41" t="s">
        <v>197</v>
      </c>
      <c r="P41" s="21" t="s">
        <v>58</v>
      </c>
      <c r="Q41" s="80"/>
      <c r="S41" s="80"/>
      <c r="U41" s="80">
        <f>Q41*S41</f>
        <v>0</v>
      </c>
    </row>
    <row r="42" spans="2:21" ht="12.75">
      <c r="B42" t="s">
        <v>169</v>
      </c>
      <c r="E42" s="29"/>
      <c r="F42" s="29" t="s">
        <v>81</v>
      </c>
      <c r="G42" s="83">
        <v>1</v>
      </c>
      <c r="H42" s="83">
        <f>Drip!I28</f>
        <v>300.37</v>
      </c>
      <c r="I42" s="83">
        <f>G42*H42</f>
        <v>300.37</v>
      </c>
      <c r="L42" t="s">
        <v>169</v>
      </c>
      <c r="P42" s="21" t="s">
        <v>81</v>
      </c>
      <c r="Q42" s="80"/>
      <c r="S42" s="80"/>
      <c r="U42" s="80">
        <f>Q42*S42</f>
        <v>0</v>
      </c>
    </row>
    <row r="43" spans="2:21" ht="13.5" thickBot="1">
      <c r="B43" s="6" t="s">
        <v>258</v>
      </c>
      <c r="E43" s="29"/>
      <c r="F43" s="29"/>
      <c r="G43" s="83"/>
      <c r="H43" s="83"/>
      <c r="I43" s="85">
        <f>SUM(I40:I42)</f>
        <v>2990.0823474999997</v>
      </c>
      <c r="L43" s="6" t="s">
        <v>258</v>
      </c>
      <c r="P43" s="21"/>
      <c r="Q43" s="80"/>
      <c r="S43" s="80"/>
      <c r="U43" s="81">
        <f>SUM(U40:U42)</f>
        <v>0</v>
      </c>
    </row>
    <row r="44" spans="5:16" ht="13.5" thickTop="1">
      <c r="E44" s="29"/>
      <c r="F44" s="29"/>
      <c r="G44" s="83"/>
      <c r="H44" s="83"/>
      <c r="I44" s="83"/>
      <c r="P44" s="21"/>
    </row>
    <row r="45" spans="2:21" ht="13.5" thickBot="1">
      <c r="B45" s="6" t="s">
        <v>257</v>
      </c>
      <c r="E45" s="29"/>
      <c r="F45" s="29"/>
      <c r="G45" s="83"/>
      <c r="H45" s="83"/>
      <c r="I45" s="85">
        <f>I37+I43</f>
        <v>10272.3925975</v>
      </c>
      <c r="L45" s="6" t="s">
        <v>257</v>
      </c>
      <c r="P45" s="21"/>
      <c r="Q45" s="80"/>
      <c r="S45" s="80"/>
      <c r="U45" s="81">
        <f>U37+U43</f>
        <v>0</v>
      </c>
    </row>
    <row r="46" ht="13.5" thickTop="1">
      <c r="I46" s="18"/>
    </row>
    <row r="47" ht="12.75">
      <c r="I47" s="18"/>
    </row>
    <row r="48" spans="2:8" ht="12.75">
      <c r="B48" t="s">
        <v>70</v>
      </c>
      <c r="G48" s="18"/>
      <c r="H48" s="18"/>
    </row>
    <row r="49" ht="12.75">
      <c r="B49" t="s">
        <v>74</v>
      </c>
    </row>
    <row r="56" spans="2:10" ht="12.75">
      <c r="B56" s="64"/>
      <c r="C56" s="64"/>
      <c r="D56" s="64"/>
      <c r="E56" s="64"/>
      <c r="F56" s="64"/>
      <c r="G56" s="64"/>
      <c r="H56" s="64"/>
      <c r="I56" s="64"/>
      <c r="J56" s="65"/>
    </row>
    <row r="57" spans="2:10" ht="12.75">
      <c r="B57" s="151"/>
      <c r="C57" s="151"/>
      <c r="D57" s="151"/>
      <c r="E57" s="151"/>
      <c r="F57" s="151"/>
      <c r="G57" s="151"/>
      <c r="H57" s="151"/>
      <c r="I57" s="151"/>
      <c r="J57" s="151"/>
    </row>
    <row r="58" spans="2:10" ht="12.75">
      <c r="B58" s="151"/>
      <c r="C58" s="151"/>
      <c r="D58" s="151"/>
      <c r="E58" s="151"/>
      <c r="F58" s="151"/>
      <c r="G58" s="151"/>
      <c r="H58" s="151"/>
      <c r="I58" s="151"/>
      <c r="J58" s="151"/>
    </row>
  </sheetData>
  <sheetProtection/>
  <mergeCells count="5">
    <mergeCell ref="B57:J57"/>
    <mergeCell ref="B58:J58"/>
    <mergeCell ref="B3:J3"/>
    <mergeCell ref="B2:J2"/>
    <mergeCell ref="L3:U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B4:V51"/>
  <sheetViews>
    <sheetView workbookViewId="0" topLeftCell="A18">
      <selection activeCell="H31" sqref="H31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13.7109375" style="0" customWidth="1"/>
    <col min="4" max="4" width="1.28515625" style="0" customWidth="1"/>
    <col min="5" max="5" width="6.57421875" style="0" customWidth="1"/>
    <col min="6" max="6" width="6.28125" style="0" customWidth="1"/>
    <col min="7" max="7" width="8.140625" style="0" customWidth="1"/>
    <col min="8" max="8" width="8.28125" style="0" customWidth="1"/>
    <col min="9" max="9" width="12.140625" style="0" customWidth="1"/>
    <col min="10" max="10" width="12.00390625" style="0" customWidth="1"/>
    <col min="11" max="11" width="2.00390625" style="0" customWidth="1"/>
    <col min="18" max="18" width="2.00390625" style="0" customWidth="1"/>
    <col min="20" max="20" width="1.7109375" style="0" customWidth="1"/>
  </cols>
  <sheetData>
    <row r="4" spans="2:10" ht="15">
      <c r="B4" s="159" t="s">
        <v>310</v>
      </c>
      <c r="C4" s="159"/>
      <c r="D4" s="159"/>
      <c r="E4" s="159"/>
      <c r="F4" s="159"/>
      <c r="G4" s="159"/>
      <c r="H4" s="159"/>
      <c r="I4" s="159"/>
      <c r="J4" s="159"/>
    </row>
    <row r="5" spans="2:10" ht="15">
      <c r="B5" s="159" t="s">
        <v>389</v>
      </c>
      <c r="C5" s="159"/>
      <c r="D5" s="159"/>
      <c r="E5" s="159"/>
      <c r="F5" s="159"/>
      <c r="G5" s="159"/>
      <c r="H5" s="159"/>
      <c r="I5" s="159"/>
      <c r="J5" s="159"/>
    </row>
    <row r="6" spans="12:22" ht="15">
      <c r="L6" s="159" t="s">
        <v>334</v>
      </c>
      <c r="M6" s="159"/>
      <c r="N6" s="159"/>
      <c r="O6" s="159"/>
      <c r="P6" s="159"/>
      <c r="Q6" s="159"/>
      <c r="R6" s="159"/>
      <c r="S6" s="159"/>
      <c r="T6" s="159"/>
      <c r="U6" s="159"/>
      <c r="V6" s="75"/>
    </row>
    <row r="7" spans="12:21" ht="12.75" customHeight="1"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2:22" ht="12.75">
      <c r="B8" s="32" t="s">
        <v>171</v>
      </c>
      <c r="C8" s="10"/>
      <c r="D8" s="10"/>
      <c r="E8" s="16" t="s">
        <v>92</v>
      </c>
      <c r="F8" s="32" t="s">
        <v>281</v>
      </c>
      <c r="G8" s="32" t="s">
        <v>226</v>
      </c>
      <c r="H8" s="78" t="s">
        <v>218</v>
      </c>
      <c r="I8" s="79" t="s">
        <v>309</v>
      </c>
      <c r="J8" s="32"/>
      <c r="L8" s="32" t="s">
        <v>171</v>
      </c>
      <c r="M8" s="10"/>
      <c r="N8" s="10"/>
      <c r="O8" s="16" t="s">
        <v>92</v>
      </c>
      <c r="P8" s="32" t="s">
        <v>281</v>
      </c>
      <c r="Q8" s="32" t="s">
        <v>226</v>
      </c>
      <c r="R8" s="32"/>
      <c r="S8" s="78" t="s">
        <v>218</v>
      </c>
      <c r="T8" s="78"/>
      <c r="U8" s="79" t="s">
        <v>309</v>
      </c>
      <c r="V8" s="32"/>
    </row>
    <row r="10" spans="2:17" ht="12.75">
      <c r="B10" s="38" t="s">
        <v>311</v>
      </c>
      <c r="L10" s="38" t="s">
        <v>311</v>
      </c>
      <c r="Q10" s="32"/>
    </row>
    <row r="11" spans="2:21" ht="12.75">
      <c r="B11" s="6" t="s">
        <v>129</v>
      </c>
      <c r="F11" s="10"/>
      <c r="G11" s="10"/>
      <c r="H11" s="4"/>
      <c r="L11" s="6" t="s">
        <v>129</v>
      </c>
      <c r="P11" s="21"/>
      <c r="Q11" s="18"/>
      <c r="R11" s="18"/>
      <c r="S11" s="14"/>
      <c r="T11" s="18"/>
      <c r="U11" s="18"/>
    </row>
    <row r="12" spans="2:21" ht="12.75">
      <c r="B12" t="s">
        <v>125</v>
      </c>
      <c r="E12" t="s">
        <v>298</v>
      </c>
      <c r="F12" s="21" t="s">
        <v>143</v>
      </c>
      <c r="G12" s="14">
        <v>85</v>
      </c>
      <c r="H12" s="14">
        <v>1.95</v>
      </c>
      <c r="I12" s="14">
        <f>G12*H12</f>
        <v>165.75</v>
      </c>
      <c r="L12" t="s">
        <v>125</v>
      </c>
      <c r="O12" t="s">
        <v>298</v>
      </c>
      <c r="P12" s="21" t="s">
        <v>143</v>
      </c>
      <c r="Q12" s="80"/>
      <c r="R12" s="18"/>
      <c r="S12" s="80"/>
      <c r="T12" s="18"/>
      <c r="U12" s="80">
        <f>Q12*S12</f>
        <v>0</v>
      </c>
    </row>
    <row r="13" spans="2:21" ht="12.75">
      <c r="B13" s="6" t="s">
        <v>290</v>
      </c>
      <c r="F13" s="21"/>
      <c r="G13" s="14"/>
      <c r="H13" s="14"/>
      <c r="I13" s="14"/>
      <c r="L13" s="6" t="s">
        <v>290</v>
      </c>
      <c r="P13" s="21"/>
      <c r="Q13" s="18"/>
      <c r="R13" s="18"/>
      <c r="S13" s="18"/>
      <c r="T13" s="18"/>
      <c r="U13" s="18"/>
    </row>
    <row r="14" spans="2:21" ht="12.75">
      <c r="B14" t="s">
        <v>210</v>
      </c>
      <c r="E14" t="s">
        <v>75</v>
      </c>
      <c r="F14" s="21" t="s">
        <v>81</v>
      </c>
      <c r="G14" s="14">
        <v>2</v>
      </c>
      <c r="H14" s="14">
        <v>31.5</v>
      </c>
      <c r="I14" s="14">
        <f>G14*H14</f>
        <v>63</v>
      </c>
      <c r="L14" t="s">
        <v>210</v>
      </c>
      <c r="O14" t="s">
        <v>75</v>
      </c>
      <c r="P14" s="21" t="s">
        <v>81</v>
      </c>
      <c r="Q14" s="80"/>
      <c r="R14" s="18"/>
      <c r="S14" s="80"/>
      <c r="T14" s="18"/>
      <c r="U14" s="80">
        <f>Q14*S14</f>
        <v>0</v>
      </c>
    </row>
    <row r="15" spans="2:21" ht="12.75">
      <c r="B15" t="s">
        <v>208</v>
      </c>
      <c r="E15" t="s">
        <v>76</v>
      </c>
      <c r="F15" s="21" t="s">
        <v>81</v>
      </c>
      <c r="G15" s="14">
        <v>2</v>
      </c>
      <c r="H15" s="14">
        <v>21</v>
      </c>
      <c r="I15" s="14">
        <f>G15*H15</f>
        <v>42</v>
      </c>
      <c r="L15" t="s">
        <v>208</v>
      </c>
      <c r="O15" t="s">
        <v>76</v>
      </c>
      <c r="P15" s="21" t="s">
        <v>81</v>
      </c>
      <c r="Q15" s="80"/>
      <c r="R15" s="18"/>
      <c r="S15" s="80"/>
      <c r="T15" s="18"/>
      <c r="U15" s="80">
        <f>Q15*S15</f>
        <v>0</v>
      </c>
    </row>
    <row r="16" spans="2:21" ht="12.75">
      <c r="B16" t="s">
        <v>172</v>
      </c>
      <c r="E16" t="s">
        <v>78</v>
      </c>
      <c r="F16" s="21" t="s">
        <v>81</v>
      </c>
      <c r="G16" s="14">
        <v>4</v>
      </c>
      <c r="H16" s="14">
        <v>9</v>
      </c>
      <c r="I16" s="14">
        <f>G16*H16</f>
        <v>36</v>
      </c>
      <c r="L16" t="s">
        <v>172</v>
      </c>
      <c r="O16" t="s">
        <v>78</v>
      </c>
      <c r="P16" s="21" t="s">
        <v>81</v>
      </c>
      <c r="Q16" s="80"/>
      <c r="R16" s="18"/>
      <c r="S16" s="80"/>
      <c r="T16" s="18"/>
      <c r="U16" s="80">
        <f>Q16*S16</f>
        <v>0</v>
      </c>
    </row>
    <row r="17" spans="2:21" ht="12.75">
      <c r="B17" s="6" t="s">
        <v>158</v>
      </c>
      <c r="F17" s="21"/>
      <c r="G17" s="14"/>
      <c r="H17" s="14"/>
      <c r="I17" s="14"/>
      <c r="L17" s="6" t="s">
        <v>158</v>
      </c>
      <c r="P17" s="21"/>
      <c r="Q17" s="18"/>
      <c r="R17" s="18"/>
      <c r="S17" s="18"/>
      <c r="T17" s="18"/>
      <c r="U17" s="18"/>
    </row>
    <row r="18" spans="2:21" ht="12.75">
      <c r="B18" t="s">
        <v>140</v>
      </c>
      <c r="E18" t="s">
        <v>80</v>
      </c>
      <c r="F18" s="21" t="s">
        <v>81</v>
      </c>
      <c r="G18" s="14">
        <v>8</v>
      </c>
      <c r="H18" s="14">
        <v>48.44</v>
      </c>
      <c r="I18" s="14">
        <f aca="true" t="shared" si="0" ref="I18:I24">G18*H18</f>
        <v>387.52</v>
      </c>
      <c r="L18" t="s">
        <v>140</v>
      </c>
      <c r="O18" t="s">
        <v>80</v>
      </c>
      <c r="P18" s="21" t="s">
        <v>81</v>
      </c>
      <c r="Q18" s="80"/>
      <c r="R18" s="18"/>
      <c r="S18" s="80"/>
      <c r="T18" s="18"/>
      <c r="U18" s="80">
        <f aca="true" t="shared" si="1" ref="U18:U24">Q18*S18</f>
        <v>0</v>
      </c>
    </row>
    <row r="19" spans="2:21" ht="12.75">
      <c r="B19" t="s">
        <v>159</v>
      </c>
      <c r="E19" t="s">
        <v>78</v>
      </c>
      <c r="F19" s="21" t="s">
        <v>81</v>
      </c>
      <c r="G19" s="14">
        <v>4</v>
      </c>
      <c r="H19" s="14">
        <v>12.6</v>
      </c>
      <c r="I19" s="14">
        <f t="shared" si="0"/>
        <v>50.4</v>
      </c>
      <c r="L19" t="s">
        <v>159</v>
      </c>
      <c r="O19" t="s">
        <v>78</v>
      </c>
      <c r="P19" s="21" t="s">
        <v>81</v>
      </c>
      <c r="Q19" s="80"/>
      <c r="R19" s="18"/>
      <c r="S19" s="80"/>
      <c r="T19" s="18"/>
      <c r="U19" s="80">
        <f t="shared" si="1"/>
        <v>0</v>
      </c>
    </row>
    <row r="20" spans="2:21" ht="12.75">
      <c r="B20" t="s">
        <v>272</v>
      </c>
      <c r="E20" t="s">
        <v>73</v>
      </c>
      <c r="F20" s="21" t="s">
        <v>81</v>
      </c>
      <c r="G20" s="14">
        <v>12</v>
      </c>
      <c r="H20" s="14">
        <v>12</v>
      </c>
      <c r="I20" s="14">
        <f t="shared" si="0"/>
        <v>144</v>
      </c>
      <c r="L20" t="s">
        <v>272</v>
      </c>
      <c r="O20" t="s">
        <v>73</v>
      </c>
      <c r="P20" s="21" t="s">
        <v>81</v>
      </c>
      <c r="Q20" s="80"/>
      <c r="R20" s="18"/>
      <c r="S20" s="80"/>
      <c r="T20" s="18"/>
      <c r="U20" s="80">
        <f t="shared" si="1"/>
        <v>0</v>
      </c>
    </row>
    <row r="21" spans="2:21" ht="12.75">
      <c r="B21" t="s">
        <v>173</v>
      </c>
      <c r="E21" t="s">
        <v>73</v>
      </c>
      <c r="F21" s="21" t="s">
        <v>81</v>
      </c>
      <c r="G21" s="14">
        <v>12</v>
      </c>
      <c r="H21" s="14">
        <v>9</v>
      </c>
      <c r="I21" s="14">
        <f t="shared" si="0"/>
        <v>108</v>
      </c>
      <c r="L21" t="s">
        <v>173</v>
      </c>
      <c r="O21" t="s">
        <v>73</v>
      </c>
      <c r="P21" s="21" t="s">
        <v>81</v>
      </c>
      <c r="Q21" s="80"/>
      <c r="R21" s="18"/>
      <c r="S21" s="80"/>
      <c r="T21" s="18"/>
      <c r="U21" s="80">
        <f t="shared" si="1"/>
        <v>0</v>
      </c>
    </row>
    <row r="22" spans="2:21" ht="12.75">
      <c r="B22" s="31" t="s">
        <v>220</v>
      </c>
      <c r="E22" t="s">
        <v>72</v>
      </c>
      <c r="F22" s="21" t="s">
        <v>81</v>
      </c>
      <c r="G22" s="14">
        <v>1210</v>
      </c>
      <c r="H22" s="14">
        <v>0.23</v>
      </c>
      <c r="I22" s="14">
        <f t="shared" si="0"/>
        <v>278.3</v>
      </c>
      <c r="L22" s="31" t="s">
        <v>220</v>
      </c>
      <c r="O22" t="s">
        <v>72</v>
      </c>
      <c r="P22" s="21" t="s">
        <v>81</v>
      </c>
      <c r="Q22" s="80"/>
      <c r="R22" s="18"/>
      <c r="S22" s="80"/>
      <c r="T22" s="18"/>
      <c r="U22" s="80">
        <f t="shared" si="1"/>
        <v>0</v>
      </c>
    </row>
    <row r="23" spans="2:21" ht="12.75">
      <c r="B23" s="31" t="s">
        <v>169</v>
      </c>
      <c r="E23" t="s">
        <v>298</v>
      </c>
      <c r="F23" s="21" t="s">
        <v>81</v>
      </c>
      <c r="G23" s="14">
        <v>1</v>
      </c>
      <c r="H23" s="14">
        <f>Drip!I40</f>
        <v>140</v>
      </c>
      <c r="I23" s="14">
        <f t="shared" si="0"/>
        <v>140</v>
      </c>
      <c r="L23" s="31" t="s">
        <v>169</v>
      </c>
      <c r="O23" t="s">
        <v>298</v>
      </c>
      <c r="P23" s="21" t="s">
        <v>81</v>
      </c>
      <c r="Q23" s="80"/>
      <c r="R23" s="18"/>
      <c r="S23" s="80"/>
      <c r="T23" s="18"/>
      <c r="U23" s="80">
        <f t="shared" si="1"/>
        <v>0</v>
      </c>
    </row>
    <row r="24" spans="2:21" ht="12.75">
      <c r="B24" s="31" t="s">
        <v>167</v>
      </c>
      <c r="F24" s="21" t="s">
        <v>58</v>
      </c>
      <c r="G24" s="14">
        <f>SUM(I12:I23)</f>
        <v>1414.97</v>
      </c>
      <c r="H24" s="14">
        <v>0.065</v>
      </c>
      <c r="I24" s="14">
        <f t="shared" si="0"/>
        <v>91.97305</v>
      </c>
      <c r="L24" s="31" t="s">
        <v>167</v>
      </c>
      <c r="P24" s="21" t="s">
        <v>58</v>
      </c>
      <c r="Q24" s="80"/>
      <c r="R24" s="18"/>
      <c r="S24" s="80"/>
      <c r="T24" s="18"/>
      <c r="U24" s="80">
        <f t="shared" si="1"/>
        <v>0</v>
      </c>
    </row>
    <row r="25" spans="2:21" ht="13.5" thickBot="1">
      <c r="B25" s="38" t="s">
        <v>312</v>
      </c>
      <c r="F25" s="21"/>
      <c r="G25" s="14"/>
      <c r="H25" s="14" t="s">
        <v>2</v>
      </c>
      <c r="I25" s="44">
        <f>SUM(I12:I24)</f>
        <v>1506.94305</v>
      </c>
      <c r="L25" s="38" t="s">
        <v>312</v>
      </c>
      <c r="P25" s="21"/>
      <c r="Q25" s="80"/>
      <c r="R25" s="18"/>
      <c r="S25" s="80" t="s">
        <v>2</v>
      </c>
      <c r="T25" s="18"/>
      <c r="U25" s="81">
        <f>SUM(U12:U24)</f>
        <v>0</v>
      </c>
    </row>
    <row r="26" spans="6:21" ht="13.5" thickTop="1">
      <c r="F26" s="21"/>
      <c r="G26" s="14"/>
      <c r="H26" s="14"/>
      <c r="I26" s="14"/>
      <c r="P26" s="21"/>
      <c r="Q26" s="18"/>
      <c r="R26" s="18"/>
      <c r="S26" s="18"/>
      <c r="T26" s="18"/>
      <c r="U26" s="18"/>
    </row>
    <row r="27" spans="2:21" ht="12.75">
      <c r="B27" s="6" t="s">
        <v>151</v>
      </c>
      <c r="F27" s="21"/>
      <c r="G27" s="14"/>
      <c r="H27" s="14"/>
      <c r="I27" s="14"/>
      <c r="L27" s="6" t="s">
        <v>151</v>
      </c>
      <c r="P27" s="21"/>
      <c r="Q27" s="18"/>
      <c r="R27" s="18"/>
      <c r="S27" s="18"/>
      <c r="T27" s="18"/>
      <c r="U27" s="18"/>
    </row>
    <row r="28" spans="2:21" ht="12.75">
      <c r="B28" t="s">
        <v>150</v>
      </c>
      <c r="F28" s="21" t="s">
        <v>154</v>
      </c>
      <c r="G28" s="14">
        <f>0.95*1700</f>
        <v>1615</v>
      </c>
      <c r="H28" s="14">
        <v>1.05</v>
      </c>
      <c r="I28" s="14">
        <f>G28*H28</f>
        <v>1695.75</v>
      </c>
      <c r="L28" t="s">
        <v>150</v>
      </c>
      <c r="P28" s="21" t="s">
        <v>154</v>
      </c>
      <c r="Q28" s="80"/>
      <c r="R28" s="18"/>
      <c r="S28" s="80"/>
      <c r="T28" s="18"/>
      <c r="U28" s="80">
        <f>Q28*S28</f>
        <v>0</v>
      </c>
    </row>
    <row r="29" spans="2:21" ht="12.75">
      <c r="B29" t="s">
        <v>109</v>
      </c>
      <c r="F29" s="21" t="s">
        <v>175</v>
      </c>
      <c r="G29" s="14">
        <f>0.95*1700</f>
        <v>1615</v>
      </c>
      <c r="H29" s="14">
        <v>0.987</v>
      </c>
      <c r="I29" s="14">
        <f>G29*H29</f>
        <v>1594.0049999999999</v>
      </c>
      <c r="L29" t="s">
        <v>109</v>
      </c>
      <c r="P29" s="21" t="s">
        <v>175</v>
      </c>
      <c r="Q29" s="80"/>
      <c r="R29" s="18"/>
      <c r="S29" s="80"/>
      <c r="T29" s="18"/>
      <c r="U29" s="80">
        <f>Q29*S29</f>
        <v>0</v>
      </c>
    </row>
    <row r="30" spans="2:21" ht="12.75">
      <c r="B30" t="s">
        <v>105</v>
      </c>
      <c r="F30" s="21" t="s">
        <v>175</v>
      </c>
      <c r="G30" s="14">
        <f>0.95*1700</f>
        <v>1615</v>
      </c>
      <c r="H30" s="14">
        <v>0.158</v>
      </c>
      <c r="I30" s="14">
        <f>G30*0.15</f>
        <v>242.25</v>
      </c>
      <c r="L30" t="s">
        <v>105</v>
      </c>
      <c r="P30" s="21" t="s">
        <v>175</v>
      </c>
      <c r="Q30" s="80"/>
      <c r="R30" s="18"/>
      <c r="S30" s="80"/>
      <c r="T30" s="18"/>
      <c r="U30" s="80">
        <f>Q30*0.15</f>
        <v>0</v>
      </c>
    </row>
    <row r="31" spans="2:21" ht="13.5" thickBot="1">
      <c r="B31" s="38" t="s">
        <v>261</v>
      </c>
      <c r="C31" s="6"/>
      <c r="D31" s="6"/>
      <c r="E31" s="6"/>
      <c r="F31" s="22"/>
      <c r="G31" s="15"/>
      <c r="H31" s="15"/>
      <c r="I31" s="44">
        <f>SUM(I28:I30)</f>
        <v>3532.005</v>
      </c>
      <c r="L31" s="38" t="s">
        <v>261</v>
      </c>
      <c r="M31" s="6"/>
      <c r="N31" s="6"/>
      <c r="O31" s="6"/>
      <c r="P31" s="22"/>
      <c r="Q31" s="80"/>
      <c r="R31" s="18"/>
      <c r="S31" s="80"/>
      <c r="T31" s="18"/>
      <c r="U31" s="81">
        <f>SUM(U28:U30)</f>
        <v>0</v>
      </c>
    </row>
    <row r="32" spans="2:21" ht="14.25" thickBot="1" thickTop="1">
      <c r="B32" s="38" t="s">
        <v>268</v>
      </c>
      <c r="F32" s="21"/>
      <c r="G32" s="14"/>
      <c r="H32" s="14"/>
      <c r="I32" s="44">
        <f>I25+I31</f>
        <v>5038.94805</v>
      </c>
      <c r="P32" s="21"/>
      <c r="Q32" s="18"/>
      <c r="R32" s="18"/>
      <c r="S32" s="18"/>
      <c r="T32" s="18"/>
      <c r="U32" s="18"/>
    </row>
    <row r="33" spans="2:21" ht="13.5" thickTop="1">
      <c r="B33" s="38" t="s">
        <v>313</v>
      </c>
      <c r="C33" s="6"/>
      <c r="F33" s="21"/>
      <c r="G33" s="14"/>
      <c r="H33" s="14"/>
      <c r="I33" s="14"/>
      <c r="L33" s="38" t="s">
        <v>313</v>
      </c>
      <c r="M33" s="6"/>
      <c r="P33" s="21"/>
      <c r="Q33" s="18"/>
      <c r="R33" s="18"/>
      <c r="S33" s="18"/>
      <c r="T33" s="18"/>
      <c r="U33" s="18"/>
    </row>
    <row r="34" spans="2:21" ht="12.75">
      <c r="B34" t="s">
        <v>277</v>
      </c>
      <c r="F34" s="21" t="s">
        <v>81</v>
      </c>
      <c r="G34" s="14">
        <v>1</v>
      </c>
      <c r="H34" s="14">
        <f>FxdCost!E30</f>
        <v>1597.36581</v>
      </c>
      <c r="I34" s="14">
        <f>G34*H34</f>
        <v>1597.36581</v>
      </c>
      <c r="L34" t="s">
        <v>277</v>
      </c>
      <c r="P34" s="21" t="s">
        <v>81</v>
      </c>
      <c r="Q34" s="80"/>
      <c r="R34" s="18"/>
      <c r="S34" s="80"/>
      <c r="T34" s="18"/>
      <c r="U34" s="80">
        <f>Q34*S34</f>
        <v>0</v>
      </c>
    </row>
    <row r="35" spans="2:21" ht="12.75">
      <c r="B35" t="s">
        <v>197</v>
      </c>
      <c r="F35" s="21" t="s">
        <v>58</v>
      </c>
      <c r="G35" s="14">
        <f>I25</f>
        <v>1506.94305</v>
      </c>
      <c r="H35" s="14">
        <v>0.15</v>
      </c>
      <c r="I35" s="14">
        <f>G35*H35</f>
        <v>226.0414575</v>
      </c>
      <c r="L35" t="s">
        <v>197</v>
      </c>
      <c r="P35" s="21" t="s">
        <v>58</v>
      </c>
      <c r="Q35" s="80"/>
      <c r="R35" s="18"/>
      <c r="S35" s="80"/>
      <c r="T35" s="18"/>
      <c r="U35" s="80">
        <f>Q35*S35</f>
        <v>0</v>
      </c>
    </row>
    <row r="36" spans="2:21" ht="12.75">
      <c r="B36" t="s">
        <v>169</v>
      </c>
      <c r="F36" s="21" t="s">
        <v>81</v>
      </c>
      <c r="G36" s="14">
        <v>1</v>
      </c>
      <c r="H36" s="14">
        <f>Drip!I28</f>
        <v>300.37</v>
      </c>
      <c r="I36" s="14">
        <f>G36*H36</f>
        <v>300.37</v>
      </c>
      <c r="L36" t="s">
        <v>169</v>
      </c>
      <c r="P36" s="21" t="s">
        <v>81</v>
      </c>
      <c r="Q36" s="80"/>
      <c r="R36" s="18"/>
      <c r="S36" s="80"/>
      <c r="T36" s="18"/>
      <c r="U36" s="80">
        <f>Q36*S36</f>
        <v>0</v>
      </c>
    </row>
    <row r="37" spans="2:21" ht="13.5" thickBot="1">
      <c r="B37" s="38" t="s">
        <v>314</v>
      </c>
      <c r="F37" s="45" t="s">
        <v>58</v>
      </c>
      <c r="G37" s="14"/>
      <c r="H37" s="14"/>
      <c r="I37" s="44">
        <f>SUM(I34:I36)</f>
        <v>2123.7772675</v>
      </c>
      <c r="L37" s="38" t="s">
        <v>314</v>
      </c>
      <c r="P37" s="45" t="s">
        <v>58</v>
      </c>
      <c r="Q37" s="80"/>
      <c r="R37" s="18"/>
      <c r="S37" s="80"/>
      <c r="T37" s="18"/>
      <c r="U37" s="81">
        <f>SUM(U34:U36)</f>
        <v>0</v>
      </c>
    </row>
    <row r="38" spans="6:21" ht="13.5" thickTop="1">
      <c r="F38" s="21"/>
      <c r="G38" s="18"/>
      <c r="H38" s="18"/>
      <c r="I38" s="18"/>
      <c r="P38" s="21"/>
      <c r="Q38" s="18"/>
      <c r="R38" s="18"/>
      <c r="S38" s="18"/>
      <c r="T38" s="18"/>
      <c r="U38" s="18"/>
    </row>
    <row r="39" spans="2:21" ht="13.5" thickBot="1">
      <c r="B39" s="38" t="s">
        <v>315</v>
      </c>
      <c r="F39" s="45" t="s">
        <v>58</v>
      </c>
      <c r="G39" s="14"/>
      <c r="H39" s="14"/>
      <c r="I39" s="44">
        <f>I25+I31+I37</f>
        <v>7162.7253175000005</v>
      </c>
      <c r="L39" s="38" t="s">
        <v>315</v>
      </c>
      <c r="P39" s="45" t="s">
        <v>58</v>
      </c>
      <c r="Q39" s="80"/>
      <c r="R39" s="18"/>
      <c r="S39" s="80"/>
      <c r="T39" s="18"/>
      <c r="U39" s="81">
        <f>U25+U31+U37</f>
        <v>0</v>
      </c>
    </row>
    <row r="40" spans="6:21" ht="13.5" thickTop="1">
      <c r="F40" s="21"/>
      <c r="G40" s="14"/>
      <c r="H40" s="14"/>
      <c r="I40" s="14"/>
      <c r="P40" s="21"/>
      <c r="Q40" s="18"/>
      <c r="R40" s="18"/>
      <c r="S40" s="18"/>
      <c r="T40" s="18"/>
      <c r="U40" s="18"/>
    </row>
    <row r="41" spans="2:21" ht="12.75">
      <c r="B41" t="s">
        <v>177</v>
      </c>
      <c r="F41" s="21" t="s">
        <v>58</v>
      </c>
      <c r="G41" s="14">
        <f>G28</f>
        <v>1615</v>
      </c>
      <c r="H41" s="14">
        <f>+MEDP</f>
        <v>2.75</v>
      </c>
      <c r="I41" s="14">
        <f>G41*H41</f>
        <v>4441.25</v>
      </c>
      <c r="L41" t="s">
        <v>177</v>
      </c>
      <c r="P41" s="21" t="s">
        <v>58</v>
      </c>
      <c r="Q41" s="80"/>
      <c r="R41" s="18"/>
      <c r="S41" s="80"/>
      <c r="T41" s="18"/>
      <c r="U41" s="80">
        <f>Q41*S41</f>
        <v>0</v>
      </c>
    </row>
    <row r="42" spans="2:21" ht="13.5" thickBot="1">
      <c r="B42" s="38" t="s">
        <v>316</v>
      </c>
      <c r="C42" s="6"/>
      <c r="D42" s="6"/>
      <c r="E42" s="6"/>
      <c r="F42" s="22"/>
      <c r="G42" s="15"/>
      <c r="H42" s="15"/>
      <c r="I42" s="44">
        <f>I39-I41</f>
        <v>2721.4753175000005</v>
      </c>
      <c r="L42" s="38" t="s">
        <v>316</v>
      </c>
      <c r="M42" s="6"/>
      <c r="N42" s="6"/>
      <c r="O42" s="6"/>
      <c r="P42" s="22"/>
      <c r="Q42" s="80"/>
      <c r="R42" s="18"/>
      <c r="S42" s="80"/>
      <c r="T42" s="18"/>
      <c r="U42" s="81">
        <f>U39-U41</f>
        <v>0</v>
      </c>
    </row>
    <row r="43" spans="6:9" ht="13.5" thickTop="1">
      <c r="F43" s="21"/>
      <c r="G43" s="18"/>
      <c r="H43" s="18"/>
      <c r="I43" s="18"/>
    </row>
    <row r="44" ht="12.75">
      <c r="B44" s="31" t="s">
        <v>387</v>
      </c>
    </row>
    <row r="45" spans="7:10" ht="12.75">
      <c r="G45" s="4"/>
      <c r="H45" s="4"/>
      <c r="I45" s="4"/>
      <c r="J45" s="14"/>
    </row>
    <row r="47" spans="2:5" ht="12.75">
      <c r="B47" s="34"/>
      <c r="C47" s="34"/>
      <c r="D47" s="34"/>
      <c r="E47" s="34"/>
    </row>
    <row r="49" spans="2:10" ht="12.75">
      <c r="B49" s="64"/>
      <c r="C49" s="64"/>
      <c r="D49" s="64"/>
      <c r="E49" s="64"/>
      <c r="F49" s="64"/>
      <c r="G49" s="64"/>
      <c r="H49" s="64"/>
      <c r="I49" s="64"/>
      <c r="J49" s="65"/>
    </row>
    <row r="50" spans="2:10" ht="12.75">
      <c r="B50" s="151"/>
      <c r="C50" s="151"/>
      <c r="D50" s="151"/>
      <c r="E50" s="151"/>
      <c r="F50" s="151"/>
      <c r="G50" s="151"/>
      <c r="H50" s="151"/>
      <c r="I50" s="151"/>
      <c r="J50" s="151"/>
    </row>
    <row r="51" spans="2:10" ht="12.75">
      <c r="B51" s="151"/>
      <c r="C51" s="151"/>
      <c r="D51" s="151"/>
      <c r="E51" s="151"/>
      <c r="F51" s="151"/>
      <c r="G51" s="151"/>
      <c r="H51" s="151"/>
      <c r="I51" s="151"/>
      <c r="J51" s="151"/>
    </row>
  </sheetData>
  <sheetProtection/>
  <mergeCells count="5">
    <mergeCell ref="B50:J50"/>
    <mergeCell ref="B51:J51"/>
    <mergeCell ref="B4:J4"/>
    <mergeCell ref="B5:J5"/>
    <mergeCell ref="L6:U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S59"/>
  <sheetViews>
    <sheetView workbookViewId="0" topLeftCell="A17">
      <selection activeCell="G30" sqref="G30"/>
    </sheetView>
  </sheetViews>
  <sheetFormatPr defaultColWidth="9.140625" defaultRowHeight="12.75"/>
  <cols>
    <col min="1" max="1" width="1.28515625" style="0" customWidth="1"/>
    <col min="2" max="2" width="39.00390625" style="0" customWidth="1"/>
    <col min="3" max="3" width="1.7109375" style="0" customWidth="1"/>
    <col min="4" max="4" width="6.7109375" style="0" customWidth="1"/>
    <col min="5" max="5" width="5.7109375" style="0" customWidth="1"/>
    <col min="6" max="6" width="7.7109375" style="0" customWidth="1"/>
    <col min="7" max="7" width="9.00390625" style="0" customWidth="1"/>
    <col min="8" max="8" width="1.7109375" style="0" customWidth="1"/>
    <col min="9" max="9" width="14.28125" style="0" customWidth="1"/>
    <col min="10" max="10" width="14.8515625" style="0" customWidth="1"/>
    <col min="11" max="11" width="39.57421875" style="0" customWidth="1"/>
    <col min="12" max="12" width="0.9921875" style="0" customWidth="1"/>
    <col min="13" max="13" width="6.421875" style="0" customWidth="1"/>
    <col min="14" max="14" width="6.28125" style="0" customWidth="1"/>
    <col min="15" max="15" width="8.8515625" style="0" customWidth="1"/>
    <col min="16" max="16" width="2.421875" style="0" customWidth="1"/>
    <col min="17" max="17" width="8.140625" style="0" customWidth="1"/>
    <col min="18" max="18" width="2.421875" style="0" customWidth="1"/>
    <col min="19" max="19" width="9.7109375" style="0" customWidth="1"/>
  </cols>
  <sheetData>
    <row r="1" spans="10:11" ht="12.75">
      <c r="J1" s="88"/>
      <c r="K1" s="88"/>
    </row>
    <row r="2" spans="2:11" ht="15">
      <c r="B2" s="159" t="s">
        <v>350</v>
      </c>
      <c r="C2" s="159"/>
      <c r="D2" s="159"/>
      <c r="E2" s="159"/>
      <c r="F2" s="159"/>
      <c r="G2" s="159"/>
      <c r="H2" s="159"/>
      <c r="I2" s="159"/>
      <c r="J2" s="88"/>
      <c r="K2" s="88"/>
    </row>
    <row r="3" spans="2:19" ht="15">
      <c r="B3" s="159" t="s">
        <v>389</v>
      </c>
      <c r="C3" s="159"/>
      <c r="D3" s="159"/>
      <c r="E3" s="159"/>
      <c r="F3" s="159"/>
      <c r="G3" s="159"/>
      <c r="H3" s="159"/>
      <c r="I3" s="159"/>
      <c r="K3" s="75" t="s">
        <v>334</v>
      </c>
      <c r="M3" s="76"/>
      <c r="N3" s="76"/>
      <c r="O3" s="76"/>
      <c r="P3" s="76"/>
      <c r="Q3" s="76"/>
      <c r="S3" s="76"/>
    </row>
    <row r="4" spans="2:9" ht="15">
      <c r="B4" s="160"/>
      <c r="C4" s="161"/>
      <c r="D4" s="161"/>
      <c r="E4" s="161"/>
      <c r="F4" s="161"/>
      <c r="G4" s="161"/>
      <c r="H4" s="161"/>
      <c r="I4" s="161"/>
    </row>
    <row r="7" spans="2:19" ht="12.75">
      <c r="B7" s="89" t="s">
        <v>171</v>
      </c>
      <c r="C7" s="22"/>
      <c r="D7" s="22" t="s">
        <v>90</v>
      </c>
      <c r="E7" s="89" t="s">
        <v>281</v>
      </c>
      <c r="F7" s="89" t="s">
        <v>349</v>
      </c>
      <c r="G7" s="90" t="s">
        <v>218</v>
      </c>
      <c r="H7" s="90"/>
      <c r="I7" s="91" t="s">
        <v>309</v>
      </c>
      <c r="K7" s="89" t="s">
        <v>171</v>
      </c>
      <c r="L7" s="22"/>
      <c r="M7" s="22" t="s">
        <v>90</v>
      </c>
      <c r="N7" s="89" t="s">
        <v>281</v>
      </c>
      <c r="O7" s="89" t="s">
        <v>349</v>
      </c>
      <c r="P7" s="89"/>
      <c r="Q7" s="90" t="s">
        <v>218</v>
      </c>
      <c r="S7" s="91" t="s">
        <v>309</v>
      </c>
    </row>
    <row r="9" spans="2:11" ht="12.75">
      <c r="B9" s="6" t="s">
        <v>193</v>
      </c>
      <c r="K9" s="6" t="s">
        <v>193</v>
      </c>
    </row>
    <row r="10" spans="2:19" ht="12.75">
      <c r="B10" s="6" t="s">
        <v>130</v>
      </c>
      <c r="E10" s="10"/>
      <c r="F10" s="18"/>
      <c r="G10" s="14"/>
      <c r="H10" s="14"/>
      <c r="I10" s="18"/>
      <c r="K10" s="6" t="s">
        <v>130</v>
      </c>
      <c r="N10" s="10"/>
      <c r="O10" s="18"/>
      <c r="Q10" s="14"/>
      <c r="S10" s="18"/>
    </row>
    <row r="11" spans="2:19" ht="12.75">
      <c r="B11" t="s">
        <v>127</v>
      </c>
      <c r="D11" t="s">
        <v>299</v>
      </c>
      <c r="E11" s="21" t="s">
        <v>143</v>
      </c>
      <c r="F11" s="14">
        <v>85</v>
      </c>
      <c r="G11" s="14">
        <v>1.95</v>
      </c>
      <c r="H11" s="14"/>
      <c r="I11" s="14">
        <f>F$11*G$11</f>
        <v>165.75</v>
      </c>
      <c r="K11" t="s">
        <v>127</v>
      </c>
      <c r="M11" t="s">
        <v>299</v>
      </c>
      <c r="N11" s="21" t="s">
        <v>143</v>
      </c>
      <c r="O11" s="80"/>
      <c r="Q11" s="80"/>
      <c r="S11" s="80">
        <f>O$11*Q$11</f>
        <v>0</v>
      </c>
    </row>
    <row r="12" spans="2:14" ht="12.75">
      <c r="B12" s="6" t="s">
        <v>290</v>
      </c>
      <c r="E12" s="21"/>
      <c r="F12" s="14"/>
      <c r="G12" s="14"/>
      <c r="H12" s="14"/>
      <c r="I12" s="14"/>
      <c r="K12" s="6" t="s">
        <v>290</v>
      </c>
      <c r="N12" s="21"/>
    </row>
    <row r="13" spans="2:19" ht="12.75">
      <c r="B13" t="s">
        <v>210</v>
      </c>
      <c r="D13" t="s">
        <v>75</v>
      </c>
      <c r="E13" s="21" t="s">
        <v>81</v>
      </c>
      <c r="F13" s="14">
        <v>2</v>
      </c>
      <c r="G13" s="14">
        <v>31.5</v>
      </c>
      <c r="H13" s="14"/>
      <c r="I13" s="14">
        <f>F13*G13</f>
        <v>63</v>
      </c>
      <c r="K13" t="s">
        <v>210</v>
      </c>
      <c r="M13" t="s">
        <v>75</v>
      </c>
      <c r="N13" s="21" t="s">
        <v>81</v>
      </c>
      <c r="O13" s="80"/>
      <c r="Q13" s="80"/>
      <c r="S13" s="80">
        <f>O13*Q13</f>
        <v>0</v>
      </c>
    </row>
    <row r="14" spans="2:19" ht="12.75">
      <c r="B14" t="s">
        <v>208</v>
      </c>
      <c r="D14" t="s">
        <v>76</v>
      </c>
      <c r="E14" s="21" t="s">
        <v>81</v>
      </c>
      <c r="F14" s="14">
        <v>2</v>
      </c>
      <c r="G14" s="14">
        <v>21</v>
      </c>
      <c r="H14" s="14"/>
      <c r="I14" s="14">
        <f>F14*G14</f>
        <v>42</v>
      </c>
      <c r="K14" t="s">
        <v>208</v>
      </c>
      <c r="M14" t="s">
        <v>76</v>
      </c>
      <c r="N14" s="21" t="s">
        <v>81</v>
      </c>
      <c r="O14" s="80"/>
      <c r="Q14" s="80"/>
      <c r="S14" s="80">
        <f>O14*Q14</f>
        <v>0</v>
      </c>
    </row>
    <row r="15" spans="2:19" ht="12.75">
      <c r="B15" s="31" t="s">
        <v>172</v>
      </c>
      <c r="D15" t="s">
        <v>78</v>
      </c>
      <c r="E15" s="21" t="s">
        <v>81</v>
      </c>
      <c r="F15" s="14">
        <v>4</v>
      </c>
      <c r="G15" s="14">
        <v>9</v>
      </c>
      <c r="H15" s="14"/>
      <c r="I15" s="14">
        <f>F$15*G$15</f>
        <v>36</v>
      </c>
      <c r="K15" s="31" t="s">
        <v>351</v>
      </c>
      <c r="M15" t="s">
        <v>78</v>
      </c>
      <c r="N15" s="21" t="s">
        <v>81</v>
      </c>
      <c r="O15" s="80"/>
      <c r="Q15" s="80"/>
      <c r="S15" s="80">
        <f>O$15*Q$15</f>
        <v>0</v>
      </c>
    </row>
    <row r="16" spans="2:11" ht="12.75">
      <c r="B16" s="6" t="s">
        <v>158</v>
      </c>
      <c r="E16" s="21"/>
      <c r="F16" s="14"/>
      <c r="G16" s="14"/>
      <c r="H16" s="14"/>
      <c r="I16" s="14"/>
      <c r="K16" s="6" t="s">
        <v>158</v>
      </c>
    </row>
    <row r="17" spans="2:19" ht="12.75">
      <c r="B17" t="s">
        <v>140</v>
      </c>
      <c r="D17" t="s">
        <v>80</v>
      </c>
      <c r="E17" s="21" t="s">
        <v>81</v>
      </c>
      <c r="F17" s="14">
        <v>8</v>
      </c>
      <c r="G17" s="14">
        <v>48.436</v>
      </c>
      <c r="H17" s="14"/>
      <c r="I17" s="14">
        <f aca="true" t="shared" si="0" ref="I17:I23">F17*G17</f>
        <v>387.488</v>
      </c>
      <c r="K17" t="s">
        <v>140</v>
      </c>
      <c r="M17" t="s">
        <v>80</v>
      </c>
      <c r="N17" s="21" t="s">
        <v>81</v>
      </c>
      <c r="O17" s="80"/>
      <c r="Q17" s="80"/>
      <c r="S17" s="80">
        <f aca="true" t="shared" si="1" ref="S17:S23">O17*Q17</f>
        <v>0</v>
      </c>
    </row>
    <row r="18" spans="2:19" ht="12.75">
      <c r="B18" t="s">
        <v>159</v>
      </c>
      <c r="D18" t="s">
        <v>78</v>
      </c>
      <c r="E18" s="21" t="s">
        <v>81</v>
      </c>
      <c r="F18" s="14">
        <v>4</v>
      </c>
      <c r="G18" s="14">
        <v>7.35</v>
      </c>
      <c r="H18" s="14"/>
      <c r="I18" s="14">
        <f t="shared" si="0"/>
        <v>29.4</v>
      </c>
      <c r="K18" t="s">
        <v>159</v>
      </c>
      <c r="M18" t="s">
        <v>78</v>
      </c>
      <c r="N18" s="21" t="s">
        <v>81</v>
      </c>
      <c r="O18" s="80"/>
      <c r="Q18" s="80"/>
      <c r="S18" s="80">
        <f t="shared" si="1"/>
        <v>0</v>
      </c>
    </row>
    <row r="19" spans="2:19" ht="12.75">
      <c r="B19" t="s">
        <v>273</v>
      </c>
      <c r="D19" t="s">
        <v>73</v>
      </c>
      <c r="E19" s="21" t="s">
        <v>81</v>
      </c>
      <c r="F19" s="14">
        <v>12</v>
      </c>
      <c r="G19" s="14">
        <v>12</v>
      </c>
      <c r="H19" s="14"/>
      <c r="I19" s="14">
        <f t="shared" si="0"/>
        <v>144</v>
      </c>
      <c r="K19" t="s">
        <v>273</v>
      </c>
      <c r="M19" t="s">
        <v>73</v>
      </c>
      <c r="N19" s="21" t="s">
        <v>81</v>
      </c>
      <c r="O19" s="80"/>
      <c r="Q19" s="80"/>
      <c r="S19" s="80">
        <f t="shared" si="1"/>
        <v>0</v>
      </c>
    </row>
    <row r="20" spans="2:19" ht="12.75">
      <c r="B20" t="s">
        <v>173</v>
      </c>
      <c r="D20" t="s">
        <v>73</v>
      </c>
      <c r="E20" s="21" t="s">
        <v>81</v>
      </c>
      <c r="F20" s="14">
        <v>12</v>
      </c>
      <c r="G20" s="14">
        <v>9</v>
      </c>
      <c r="H20" s="14"/>
      <c r="I20" s="14">
        <f t="shared" si="0"/>
        <v>108</v>
      </c>
      <c r="K20" t="s">
        <v>173</v>
      </c>
      <c r="M20" t="s">
        <v>73</v>
      </c>
      <c r="N20" s="21" t="s">
        <v>81</v>
      </c>
      <c r="O20" s="80"/>
      <c r="Q20" s="80"/>
      <c r="S20" s="80">
        <f t="shared" si="1"/>
        <v>0</v>
      </c>
    </row>
    <row r="21" spans="2:19" ht="12.75">
      <c r="B21" s="31" t="s">
        <v>220</v>
      </c>
      <c r="D21" t="s">
        <v>72</v>
      </c>
      <c r="E21" s="45" t="s">
        <v>81</v>
      </c>
      <c r="F21" s="14">
        <v>1210</v>
      </c>
      <c r="G21" s="14">
        <v>0.23</v>
      </c>
      <c r="H21" s="14"/>
      <c r="I21" s="14">
        <f t="shared" si="0"/>
        <v>278.3</v>
      </c>
      <c r="K21" s="31" t="s">
        <v>220</v>
      </c>
      <c r="M21" t="s">
        <v>72</v>
      </c>
      <c r="N21" s="45" t="s">
        <v>81</v>
      </c>
      <c r="O21" s="80"/>
      <c r="Q21" s="80"/>
      <c r="S21" s="80">
        <f t="shared" si="1"/>
        <v>0</v>
      </c>
    </row>
    <row r="22" spans="2:19" ht="12.75">
      <c r="B22" s="31" t="s">
        <v>169</v>
      </c>
      <c r="E22" s="21" t="s">
        <v>81</v>
      </c>
      <c r="F22" s="14">
        <v>1</v>
      </c>
      <c r="G22" s="14">
        <f>Drip!I40</f>
        <v>140</v>
      </c>
      <c r="H22" s="14"/>
      <c r="I22" s="14">
        <f t="shared" si="0"/>
        <v>140</v>
      </c>
      <c r="K22" s="31" t="s">
        <v>169</v>
      </c>
      <c r="N22" s="21" t="s">
        <v>81</v>
      </c>
      <c r="O22" s="80"/>
      <c r="Q22" s="80"/>
      <c r="S22" s="80">
        <f t="shared" si="1"/>
        <v>0</v>
      </c>
    </row>
    <row r="23" spans="2:19" ht="12.75">
      <c r="B23" s="31" t="s">
        <v>167</v>
      </c>
      <c r="E23" s="21" t="s">
        <v>58</v>
      </c>
      <c r="F23" s="14">
        <f>SUM(I11:I22)</f>
        <v>1393.938</v>
      </c>
      <c r="G23" s="14">
        <v>0.065</v>
      </c>
      <c r="H23" s="14"/>
      <c r="I23" s="14">
        <f t="shared" si="0"/>
        <v>90.60597000000001</v>
      </c>
      <c r="K23" s="31" t="s">
        <v>167</v>
      </c>
      <c r="N23" s="21" t="s">
        <v>58</v>
      </c>
      <c r="O23" s="80"/>
      <c r="Q23" s="80"/>
      <c r="S23" s="80">
        <f t="shared" si="1"/>
        <v>0</v>
      </c>
    </row>
    <row r="24" spans="2:19" ht="13.5" thickBot="1">
      <c r="B24" s="6" t="s">
        <v>266</v>
      </c>
      <c r="E24" s="45" t="s">
        <v>58</v>
      </c>
      <c r="F24" s="14"/>
      <c r="G24" s="14"/>
      <c r="H24" s="14"/>
      <c r="I24" s="44">
        <f>SUM(I11:I23)</f>
        <v>1484.5439700000002</v>
      </c>
      <c r="K24" s="6" t="s">
        <v>266</v>
      </c>
      <c r="N24" s="45" t="s">
        <v>58</v>
      </c>
      <c r="O24" s="80"/>
      <c r="Q24" s="80"/>
      <c r="S24" s="81">
        <f>SUM(S11:S23)</f>
        <v>0</v>
      </c>
    </row>
    <row r="25" spans="5:14" ht="13.5" thickTop="1">
      <c r="E25" s="21"/>
      <c r="F25" s="14"/>
      <c r="G25" s="14"/>
      <c r="H25" s="14"/>
      <c r="I25" s="14"/>
      <c r="N25" s="21"/>
    </row>
    <row r="26" spans="2:14" ht="12.75">
      <c r="B26" s="6" t="s">
        <v>151</v>
      </c>
      <c r="E26" s="21"/>
      <c r="F26" s="14"/>
      <c r="G26" s="14"/>
      <c r="H26" s="14"/>
      <c r="I26" s="14"/>
      <c r="K26" s="6" t="s">
        <v>151</v>
      </c>
      <c r="N26" s="21"/>
    </row>
    <row r="27" spans="2:19" ht="12.75">
      <c r="B27" t="s">
        <v>150</v>
      </c>
      <c r="E27" s="21" t="s">
        <v>154</v>
      </c>
      <c r="F27" s="14">
        <f>4000*0.95</f>
        <v>3800</v>
      </c>
      <c r="G27" s="14">
        <v>1.05</v>
      </c>
      <c r="H27" s="14"/>
      <c r="I27" s="14">
        <f>F27*G27</f>
        <v>3990</v>
      </c>
      <c r="K27" t="s">
        <v>150</v>
      </c>
      <c r="N27" s="21" t="s">
        <v>154</v>
      </c>
      <c r="O27" s="80"/>
      <c r="Q27" s="80"/>
      <c r="S27" s="80">
        <f>O27*Q27</f>
        <v>0</v>
      </c>
    </row>
    <row r="28" spans="2:19" ht="12.75">
      <c r="B28" t="s">
        <v>109</v>
      </c>
      <c r="E28" s="21" t="s">
        <v>175</v>
      </c>
      <c r="F28" s="14">
        <f>4000*0.95</f>
        <v>3800</v>
      </c>
      <c r="G28" s="14">
        <v>0.987</v>
      </c>
      <c r="H28" s="14"/>
      <c r="I28" s="14">
        <f>F28*G28</f>
        <v>3750.6</v>
      </c>
      <c r="K28" t="s">
        <v>109</v>
      </c>
      <c r="N28" s="21" t="s">
        <v>175</v>
      </c>
      <c r="O28" s="80"/>
      <c r="Q28" s="80"/>
      <c r="S28" s="80">
        <f>O28*Q28</f>
        <v>0</v>
      </c>
    </row>
    <row r="29" spans="2:19" ht="12.75">
      <c r="B29" t="s">
        <v>105</v>
      </c>
      <c r="E29" s="21" t="s">
        <v>175</v>
      </c>
      <c r="F29" s="14">
        <f>4000*0.95</f>
        <v>3800</v>
      </c>
      <c r="G29" s="14">
        <v>0.157</v>
      </c>
      <c r="H29" s="14"/>
      <c r="I29" s="14">
        <f>F29*G29</f>
        <v>596.6</v>
      </c>
      <c r="K29" t="s">
        <v>105</v>
      </c>
      <c r="N29" s="21" t="s">
        <v>175</v>
      </c>
      <c r="O29" s="80"/>
      <c r="Q29" s="80"/>
      <c r="S29" s="80">
        <f>O29*Q29</f>
        <v>0</v>
      </c>
    </row>
    <row r="30" spans="2:19" ht="13.5" thickBot="1">
      <c r="B30" s="6" t="s">
        <v>261</v>
      </c>
      <c r="C30" s="6"/>
      <c r="D30" s="6"/>
      <c r="E30" s="22"/>
      <c r="F30" s="15"/>
      <c r="G30" s="15"/>
      <c r="H30" s="15"/>
      <c r="I30" s="44">
        <f>SUM(I27:I29)</f>
        <v>8337.2</v>
      </c>
      <c r="K30" s="6" t="s">
        <v>261</v>
      </c>
      <c r="L30" s="6"/>
      <c r="M30" s="6"/>
      <c r="N30" s="22"/>
      <c r="O30" s="80"/>
      <c r="Q30" s="80"/>
      <c r="S30" s="81">
        <f>SUM(S27:S29)</f>
        <v>0</v>
      </c>
    </row>
    <row r="31" spans="2:19" ht="14.25" thickBot="1" thickTop="1">
      <c r="B31" s="38" t="s">
        <v>329</v>
      </c>
      <c r="C31" s="6"/>
      <c r="D31" s="6"/>
      <c r="E31" s="21"/>
      <c r="F31" s="14"/>
      <c r="G31" s="14"/>
      <c r="H31" s="14"/>
      <c r="I31" s="47">
        <f>I24+I30</f>
        <v>9821.743970000001</v>
      </c>
      <c r="K31" s="38" t="s">
        <v>329</v>
      </c>
      <c r="L31" s="6"/>
      <c r="M31" s="6"/>
      <c r="N31" s="21"/>
      <c r="O31" s="80"/>
      <c r="Q31" s="80"/>
      <c r="S31" s="81">
        <f>S24+S30</f>
        <v>0</v>
      </c>
    </row>
    <row r="32" spans="5:14" ht="13.5" thickTop="1">
      <c r="E32" s="21"/>
      <c r="F32" s="14"/>
      <c r="G32" s="14"/>
      <c r="H32" s="14"/>
      <c r="I32" s="14"/>
      <c r="N32" s="21"/>
    </row>
    <row r="33" spans="2:14" ht="12.75">
      <c r="B33" s="6" t="s">
        <v>134</v>
      </c>
      <c r="E33" s="21"/>
      <c r="F33" s="14"/>
      <c r="G33" s="14"/>
      <c r="H33" s="14"/>
      <c r="I33" s="14"/>
      <c r="K33" s="6" t="s">
        <v>134</v>
      </c>
      <c r="N33" s="21"/>
    </row>
    <row r="34" spans="2:19" ht="12.75">
      <c r="B34" t="s">
        <v>276</v>
      </c>
      <c r="E34" s="21" t="s">
        <v>81</v>
      </c>
      <c r="F34" s="14">
        <v>1</v>
      </c>
      <c r="G34" s="14">
        <f>FxdCost!E30</f>
        <v>1597.36581</v>
      </c>
      <c r="H34" s="14"/>
      <c r="I34" s="14">
        <f>F34*G34</f>
        <v>1597.36581</v>
      </c>
      <c r="K34" t="s">
        <v>276</v>
      </c>
      <c r="N34" s="21" t="s">
        <v>81</v>
      </c>
      <c r="O34" s="80"/>
      <c r="Q34" s="80"/>
      <c r="S34" s="80">
        <f>O34*Q34</f>
        <v>0</v>
      </c>
    </row>
    <row r="35" spans="2:19" ht="12.75">
      <c r="B35" t="s">
        <v>197</v>
      </c>
      <c r="E35" s="21" t="s">
        <v>58</v>
      </c>
      <c r="F35" s="14">
        <f>I24</f>
        <v>1484.5439700000002</v>
      </c>
      <c r="G35" s="14">
        <v>0.15</v>
      </c>
      <c r="H35" s="14"/>
      <c r="I35" s="14">
        <f>F35*G35</f>
        <v>222.68159550000001</v>
      </c>
      <c r="K35" t="s">
        <v>197</v>
      </c>
      <c r="N35" s="21" t="s">
        <v>58</v>
      </c>
      <c r="O35" s="80"/>
      <c r="Q35" s="80"/>
      <c r="S35" s="80">
        <f>O35*Q35</f>
        <v>0</v>
      </c>
    </row>
    <row r="36" spans="2:19" ht="12.75">
      <c r="B36" t="s">
        <v>169</v>
      </c>
      <c r="E36" s="21" t="s">
        <v>81</v>
      </c>
      <c r="F36" s="14">
        <v>1</v>
      </c>
      <c r="G36" s="14">
        <f>Drip!I28</f>
        <v>300.37</v>
      </c>
      <c r="H36" s="14"/>
      <c r="I36" s="14">
        <f>F36*G36</f>
        <v>300.37</v>
      </c>
      <c r="K36" t="s">
        <v>169</v>
      </c>
      <c r="N36" s="21" t="s">
        <v>81</v>
      </c>
      <c r="O36" s="80"/>
      <c r="Q36" s="80"/>
      <c r="S36" s="80">
        <f>O36*Q36</f>
        <v>0</v>
      </c>
    </row>
    <row r="37" spans="2:19" ht="13.5" thickBot="1">
      <c r="B37" s="6" t="s">
        <v>258</v>
      </c>
      <c r="E37" s="21"/>
      <c r="F37" s="14"/>
      <c r="G37" s="14"/>
      <c r="H37" s="14"/>
      <c r="I37" s="44">
        <f>SUM(I34:I36)</f>
        <v>2120.4174055</v>
      </c>
      <c r="K37" s="6" t="s">
        <v>258</v>
      </c>
      <c r="N37" s="21"/>
      <c r="O37" s="80"/>
      <c r="Q37" s="80"/>
      <c r="S37" s="81">
        <f>SUM(S34:S36)</f>
        <v>0</v>
      </c>
    </row>
    <row r="38" spans="5:14" ht="13.5" thickTop="1">
      <c r="E38" s="21"/>
      <c r="F38" s="18"/>
      <c r="G38" s="18"/>
      <c r="H38" s="18"/>
      <c r="N38" s="21"/>
    </row>
    <row r="39" spans="2:19" ht="13.5" thickBot="1">
      <c r="B39" s="6" t="s">
        <v>144</v>
      </c>
      <c r="C39" s="6"/>
      <c r="D39" s="6"/>
      <c r="E39" s="22"/>
      <c r="F39" s="23"/>
      <c r="G39" s="23"/>
      <c r="H39" s="23"/>
      <c r="I39" s="86">
        <f>I24+I30+I37</f>
        <v>11942.161375500002</v>
      </c>
      <c r="K39" s="6" t="s">
        <v>144</v>
      </c>
      <c r="L39" s="6"/>
      <c r="M39" s="6"/>
      <c r="N39" s="22"/>
      <c r="O39" s="80"/>
      <c r="Q39" s="80"/>
      <c r="S39" s="81">
        <f>S24+S30+S37</f>
        <v>0</v>
      </c>
    </row>
    <row r="40" spans="2:19" ht="14.25" thickBot="1" thickTop="1">
      <c r="B40" s="6" t="s">
        <v>259</v>
      </c>
      <c r="E40" s="21"/>
      <c r="F40" s="18">
        <f>F27</f>
        <v>3800</v>
      </c>
      <c r="G40" s="18">
        <f>+MEDP</f>
        <v>2.75</v>
      </c>
      <c r="H40" s="18"/>
      <c r="I40" s="86">
        <f>F40*G40</f>
        <v>10450</v>
      </c>
      <c r="K40" s="6" t="s">
        <v>259</v>
      </c>
      <c r="N40" s="21"/>
      <c r="O40" s="80"/>
      <c r="Q40" s="80"/>
      <c r="S40" s="81">
        <f>O40*Q40</f>
        <v>0</v>
      </c>
    </row>
    <row r="41" spans="2:19" ht="14.25" thickBot="1" thickTop="1">
      <c r="B41" s="38" t="s">
        <v>330</v>
      </c>
      <c r="E41" s="21"/>
      <c r="F41" s="18"/>
      <c r="G41" s="18"/>
      <c r="H41" s="18"/>
      <c r="I41" s="44">
        <f>I39-I40</f>
        <v>1492.1613755000017</v>
      </c>
      <c r="K41" s="38" t="s">
        <v>330</v>
      </c>
      <c r="N41" s="21"/>
      <c r="O41" s="80"/>
      <c r="Q41" s="80"/>
      <c r="S41" s="81">
        <f>S39-S40</f>
        <v>0</v>
      </c>
    </row>
    <row r="42" ht="13.5" thickTop="1">
      <c r="E42" s="21"/>
    </row>
    <row r="43" ht="12.75">
      <c r="B43" t="s">
        <v>123</v>
      </c>
    </row>
    <row r="44" spans="2:9" ht="12.75">
      <c r="B44" s="126" t="s">
        <v>388</v>
      </c>
      <c r="C44" s="64"/>
      <c r="D44" s="64"/>
      <c r="E44" s="64"/>
      <c r="F44" s="64"/>
      <c r="G44" s="64"/>
      <c r="H44" s="73"/>
      <c r="I44" s="64"/>
    </row>
    <row r="45" spans="2:9" ht="12.75">
      <c r="B45" s="151"/>
      <c r="C45" s="151"/>
      <c r="D45" s="151"/>
      <c r="E45" s="151"/>
      <c r="F45" s="151"/>
      <c r="G45" s="151"/>
      <c r="H45" s="151"/>
      <c r="I45" s="151"/>
    </row>
    <row r="46" spans="2:9" ht="12.75">
      <c r="B46" s="151"/>
      <c r="C46" s="151"/>
      <c r="D46" s="151"/>
      <c r="E46" s="151"/>
      <c r="F46" s="151"/>
      <c r="G46" s="151"/>
      <c r="H46" s="151"/>
      <c r="I46" s="151"/>
    </row>
    <row r="47" spans="2:9" ht="12.75">
      <c r="B47" s="34"/>
      <c r="C47" s="34"/>
      <c r="D47" s="34"/>
      <c r="E47" s="35"/>
      <c r="F47" s="35"/>
      <c r="G47" s="34"/>
      <c r="H47" s="34"/>
      <c r="I47" s="34"/>
    </row>
    <row r="48" spans="2:9" ht="12.75">
      <c r="B48" s="35"/>
      <c r="C48" s="34"/>
      <c r="D48" s="34"/>
      <c r="E48" s="34"/>
      <c r="F48" s="36"/>
      <c r="G48" s="36"/>
      <c r="H48" s="36"/>
      <c r="I48" s="36"/>
    </row>
    <row r="49" spans="2:9" ht="12.75">
      <c r="B49" s="34"/>
      <c r="C49" s="34"/>
      <c r="D49" s="34"/>
      <c r="E49" s="34"/>
      <c r="F49" s="36"/>
      <c r="G49" s="36"/>
      <c r="H49" s="36"/>
      <c r="I49" s="36"/>
    </row>
    <row r="50" spans="2:9" ht="12.75">
      <c r="B50" s="34"/>
      <c r="C50" s="34"/>
      <c r="D50" s="34"/>
      <c r="E50" s="34"/>
      <c r="F50" s="36"/>
      <c r="G50" s="36"/>
      <c r="H50" s="36"/>
      <c r="I50" s="36"/>
    </row>
    <row r="51" spans="2:9" ht="12.75">
      <c r="B51" s="34"/>
      <c r="C51" s="34"/>
      <c r="D51" s="34"/>
      <c r="E51" s="34"/>
      <c r="F51" s="36"/>
      <c r="G51" s="36"/>
      <c r="H51" s="36"/>
      <c r="I51" s="36"/>
    </row>
    <row r="52" spans="2:9" ht="12.75">
      <c r="B52" s="34"/>
      <c r="C52" s="34"/>
      <c r="D52" s="34"/>
      <c r="E52" s="34"/>
      <c r="F52" s="36"/>
      <c r="G52" s="36"/>
      <c r="H52" s="36"/>
      <c r="I52" s="36"/>
    </row>
    <row r="53" spans="2:9" ht="12.75">
      <c r="B53" s="34"/>
      <c r="C53" s="34"/>
      <c r="D53" s="34"/>
      <c r="E53" s="34"/>
      <c r="F53" s="36"/>
      <c r="G53" s="36"/>
      <c r="H53" s="36"/>
      <c r="I53" s="36"/>
    </row>
    <row r="54" spans="2:9" ht="12.75">
      <c r="B54" s="34"/>
      <c r="C54" s="34"/>
      <c r="D54" s="34"/>
      <c r="E54" s="34"/>
      <c r="F54" s="36"/>
      <c r="G54" s="36"/>
      <c r="H54" s="36"/>
      <c r="I54" s="36"/>
    </row>
    <row r="55" spans="2:9" ht="12.75">
      <c r="B55" s="35"/>
      <c r="C55" s="34"/>
      <c r="D55" s="34"/>
      <c r="E55" s="34"/>
      <c r="F55" s="34"/>
      <c r="G55" s="36"/>
      <c r="H55" s="36"/>
      <c r="I55" s="37"/>
    </row>
    <row r="56" spans="2:9" ht="12.75">
      <c r="B56" s="34"/>
      <c r="C56" s="34"/>
      <c r="D56" s="34"/>
      <c r="E56" s="34"/>
      <c r="F56" s="34"/>
      <c r="G56" s="36"/>
      <c r="H56" s="36"/>
      <c r="I56" s="36"/>
    </row>
    <row r="57" spans="2:9" ht="12.75">
      <c r="B57" s="34"/>
      <c r="C57" s="34"/>
      <c r="D57" s="34"/>
      <c r="E57" s="34"/>
      <c r="F57" s="34"/>
      <c r="G57" s="36"/>
      <c r="H57" s="36"/>
      <c r="I57" s="36"/>
    </row>
    <row r="58" spans="2:9" ht="12.75">
      <c r="B58" s="34"/>
      <c r="C58" s="34"/>
      <c r="D58" s="34"/>
      <c r="E58" s="34"/>
      <c r="F58" s="34"/>
      <c r="G58" s="36"/>
      <c r="H58" s="36"/>
      <c r="I58" s="36"/>
    </row>
    <row r="59" spans="2:9" ht="12.75">
      <c r="B59" s="35"/>
      <c r="C59" s="34"/>
      <c r="D59" s="34"/>
      <c r="E59" s="34"/>
      <c r="F59" s="34"/>
      <c r="G59" s="36"/>
      <c r="H59" s="36"/>
      <c r="I59" s="37"/>
    </row>
  </sheetData>
  <sheetProtection/>
  <mergeCells count="5">
    <mergeCell ref="B3:I3"/>
    <mergeCell ref="B4:I4"/>
    <mergeCell ref="B45:I45"/>
    <mergeCell ref="B46:I46"/>
    <mergeCell ref="B2:I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H44"/>
  <sheetViews>
    <sheetView zoomScalePageLayoutView="0" workbookViewId="0" topLeftCell="B1">
      <selection activeCell="G18" sqref="G18"/>
    </sheetView>
  </sheetViews>
  <sheetFormatPr defaultColWidth="9.140625" defaultRowHeight="12.75"/>
  <cols>
    <col min="1" max="1" width="4.7109375" style="0" customWidth="1"/>
    <col min="2" max="2" width="34.421875" style="0" customWidth="1"/>
    <col min="4" max="4" width="5.28125" style="0" customWidth="1"/>
    <col min="7" max="7" width="9.8515625" style="0" customWidth="1"/>
  </cols>
  <sheetData>
    <row r="2" spans="2:8" ht="15">
      <c r="B2" s="158" t="s">
        <v>352</v>
      </c>
      <c r="C2" s="158"/>
      <c r="D2" s="158"/>
      <c r="E2" s="158"/>
      <c r="F2" s="158"/>
      <c r="G2" s="158"/>
      <c r="H2" s="76"/>
    </row>
    <row r="3" spans="2:7" ht="15">
      <c r="B3" s="159" t="s">
        <v>334</v>
      </c>
      <c r="C3" s="159"/>
      <c r="D3" s="159"/>
      <c r="E3" s="159"/>
      <c r="F3" s="159"/>
      <c r="G3" s="159"/>
    </row>
    <row r="4" spans="2:8" ht="12.75">
      <c r="B4" s="34"/>
      <c r="C4" s="162"/>
      <c r="D4" s="162"/>
      <c r="E4" s="162"/>
      <c r="F4" s="162"/>
      <c r="G4" s="162"/>
      <c r="H4" s="162"/>
    </row>
    <row r="7" spans="2:7" ht="12.75">
      <c r="B7" s="84" t="s">
        <v>171</v>
      </c>
      <c r="C7" s="84" t="s">
        <v>281</v>
      </c>
      <c r="D7" s="84"/>
      <c r="E7" s="84" t="s">
        <v>227</v>
      </c>
      <c r="F7" s="84" t="s">
        <v>218</v>
      </c>
      <c r="G7" s="84" t="s">
        <v>85</v>
      </c>
    </row>
    <row r="8" spans="2:7" ht="12.75">
      <c r="B8" s="22" t="s">
        <v>216</v>
      </c>
      <c r="F8" s="18"/>
      <c r="G8" s="18"/>
    </row>
    <row r="9" spans="2:7" ht="12.75">
      <c r="B9" s="22" t="s">
        <v>291</v>
      </c>
      <c r="C9" s="6"/>
      <c r="F9" s="19"/>
      <c r="G9" s="19"/>
    </row>
    <row r="10" spans="2:7" ht="12.75">
      <c r="B10" s="21" t="s">
        <v>213</v>
      </c>
      <c r="C10" s="21" t="s">
        <v>154</v>
      </c>
      <c r="E10" s="14">
        <v>0</v>
      </c>
      <c r="F10" s="14">
        <v>0</v>
      </c>
      <c r="G10" s="19">
        <f aca="true" t="shared" si="0" ref="G10:G16">E10*F10</f>
        <v>0</v>
      </c>
    </row>
    <row r="11" spans="2:7" ht="12.75">
      <c r="B11" s="21" t="s">
        <v>211</v>
      </c>
      <c r="C11" s="21" t="s">
        <v>225</v>
      </c>
      <c r="E11" s="14">
        <v>0</v>
      </c>
      <c r="F11" s="14">
        <v>0</v>
      </c>
      <c r="G11" s="19">
        <f t="shared" si="0"/>
        <v>0</v>
      </c>
    </row>
    <row r="12" spans="2:7" ht="12.75">
      <c r="B12" s="21" t="s">
        <v>212</v>
      </c>
      <c r="C12" s="21" t="s">
        <v>225</v>
      </c>
      <c r="E12" s="14">
        <v>0</v>
      </c>
      <c r="F12" s="14">
        <v>0</v>
      </c>
      <c r="G12" s="19">
        <f t="shared" si="0"/>
        <v>0</v>
      </c>
    </row>
    <row r="13" spans="2:7" ht="12.75">
      <c r="B13" s="21" t="s">
        <v>209</v>
      </c>
      <c r="C13" s="21" t="s">
        <v>143</v>
      </c>
      <c r="E13" s="14">
        <v>0</v>
      </c>
      <c r="F13" s="14">
        <v>0</v>
      </c>
      <c r="G13" s="19">
        <f t="shared" si="0"/>
        <v>0</v>
      </c>
    </row>
    <row r="14" spans="2:7" ht="12.75">
      <c r="B14" s="21" t="s">
        <v>272</v>
      </c>
      <c r="C14" s="21" t="s">
        <v>153</v>
      </c>
      <c r="E14" s="14">
        <v>0</v>
      </c>
      <c r="F14" s="14">
        <v>0</v>
      </c>
      <c r="G14" s="19">
        <f t="shared" si="0"/>
        <v>0</v>
      </c>
    </row>
    <row r="15" spans="2:7" ht="12.75">
      <c r="B15" s="21" t="s">
        <v>233</v>
      </c>
      <c r="C15" s="21" t="s">
        <v>143</v>
      </c>
      <c r="E15" s="14">
        <v>0</v>
      </c>
      <c r="F15" s="14">
        <v>0</v>
      </c>
      <c r="G15" s="19">
        <f t="shared" si="0"/>
        <v>0</v>
      </c>
    </row>
    <row r="16" spans="2:7" ht="12.75">
      <c r="B16" s="21" t="s">
        <v>234</v>
      </c>
      <c r="C16" s="21" t="s">
        <v>143</v>
      </c>
      <c r="E16" s="14">
        <v>0</v>
      </c>
      <c r="F16" s="14">
        <v>0</v>
      </c>
      <c r="G16" s="19">
        <f t="shared" si="0"/>
        <v>0</v>
      </c>
    </row>
    <row r="17" spans="2:7" ht="13.5" thickBot="1">
      <c r="B17" s="89" t="s">
        <v>251</v>
      </c>
      <c r="C17" s="21"/>
      <c r="E17" s="14"/>
      <c r="F17" s="14"/>
      <c r="G17" s="48">
        <f>SUM(G10:G16)</f>
        <v>0</v>
      </c>
    </row>
    <row r="18" spans="2:7" ht="13.5" thickTop="1">
      <c r="B18" s="21"/>
      <c r="C18" s="21"/>
      <c r="E18" s="14"/>
      <c r="F18" s="14"/>
      <c r="G18" s="19"/>
    </row>
    <row r="19" spans="2:7" ht="12.75">
      <c r="B19" s="22" t="s">
        <v>202</v>
      </c>
      <c r="C19" s="22"/>
      <c r="E19" s="14"/>
      <c r="F19" s="14"/>
      <c r="G19" s="19"/>
    </row>
    <row r="20" spans="2:7" ht="12.75">
      <c r="B20" s="21" t="s">
        <v>160</v>
      </c>
      <c r="C20" s="21" t="s">
        <v>154</v>
      </c>
      <c r="E20" s="14">
        <v>0</v>
      </c>
      <c r="F20" s="14">
        <v>0</v>
      </c>
      <c r="G20" s="19">
        <f aca="true" t="shared" si="1" ref="G20:G29">E20*F20</f>
        <v>0</v>
      </c>
    </row>
    <row r="21" spans="2:7" ht="12.75">
      <c r="B21" s="21" t="s">
        <v>189</v>
      </c>
      <c r="C21" s="21" t="s">
        <v>154</v>
      </c>
      <c r="E21" s="14">
        <v>0</v>
      </c>
      <c r="F21" s="14">
        <v>0</v>
      </c>
      <c r="G21" s="19">
        <f t="shared" si="1"/>
        <v>0</v>
      </c>
    </row>
    <row r="22" spans="2:7" ht="12.75">
      <c r="B22" s="21" t="s">
        <v>141</v>
      </c>
      <c r="C22" s="21" t="s">
        <v>198</v>
      </c>
      <c r="E22" s="14">
        <v>0</v>
      </c>
      <c r="F22" s="14">
        <v>0</v>
      </c>
      <c r="G22" s="19">
        <f t="shared" si="1"/>
        <v>0</v>
      </c>
    </row>
    <row r="23" spans="2:7" ht="12.75">
      <c r="B23" s="21" t="s">
        <v>203</v>
      </c>
      <c r="C23" s="21" t="s">
        <v>222</v>
      </c>
      <c r="E23" s="14">
        <v>0</v>
      </c>
      <c r="F23" s="14">
        <v>0</v>
      </c>
      <c r="G23" s="19">
        <f t="shared" si="1"/>
        <v>0</v>
      </c>
    </row>
    <row r="24" spans="2:8" ht="12.75">
      <c r="B24" s="21" t="s">
        <v>176</v>
      </c>
      <c r="C24" s="21" t="s">
        <v>154</v>
      </c>
      <c r="E24" s="14">
        <v>0</v>
      </c>
      <c r="F24" s="14">
        <v>0</v>
      </c>
      <c r="G24" s="19">
        <f t="shared" si="1"/>
        <v>0</v>
      </c>
      <c r="H24" s="14"/>
    </row>
    <row r="25" spans="2:8" ht="12.75">
      <c r="B25" s="21" t="s">
        <v>97</v>
      </c>
      <c r="C25" s="21" t="s">
        <v>154</v>
      </c>
      <c r="E25" s="14">
        <v>0</v>
      </c>
      <c r="F25" s="14">
        <v>0</v>
      </c>
      <c r="G25" s="19">
        <f t="shared" si="1"/>
        <v>0</v>
      </c>
      <c r="H25" s="14"/>
    </row>
    <row r="26" spans="2:8" ht="12.75">
      <c r="B26" s="21" t="s">
        <v>232</v>
      </c>
      <c r="C26" s="21" t="s">
        <v>136</v>
      </c>
      <c r="E26" s="14">
        <v>0</v>
      </c>
      <c r="F26" s="14">
        <v>0</v>
      </c>
      <c r="G26" s="19">
        <f t="shared" si="1"/>
        <v>0</v>
      </c>
      <c r="H26" s="14"/>
    </row>
    <row r="27" spans="2:8" ht="12.75">
      <c r="B27" s="21" t="s">
        <v>195</v>
      </c>
      <c r="C27" s="21" t="s">
        <v>91</v>
      </c>
      <c r="E27" s="14">
        <v>0</v>
      </c>
      <c r="F27" s="14">
        <v>0</v>
      </c>
      <c r="G27" s="19">
        <f t="shared" si="1"/>
        <v>0</v>
      </c>
      <c r="H27" s="14"/>
    </row>
    <row r="28" spans="2:8" ht="12.75">
      <c r="B28" s="21" t="s">
        <v>195</v>
      </c>
      <c r="C28" s="21" t="s">
        <v>91</v>
      </c>
      <c r="E28" s="14">
        <v>0</v>
      </c>
      <c r="F28" s="14">
        <v>0</v>
      </c>
      <c r="G28" s="19">
        <f t="shared" si="1"/>
        <v>0</v>
      </c>
      <c r="H28" s="14"/>
    </row>
    <row r="29" spans="2:8" ht="12.75">
      <c r="B29" s="21" t="s">
        <v>195</v>
      </c>
      <c r="C29" s="21" t="s">
        <v>91</v>
      </c>
      <c r="E29" s="14">
        <v>0</v>
      </c>
      <c r="F29" s="14">
        <v>0</v>
      </c>
      <c r="G29" s="19">
        <f t="shared" si="1"/>
        <v>0</v>
      </c>
      <c r="H29" s="14"/>
    </row>
    <row r="30" spans="2:8" ht="13.5" thickBot="1">
      <c r="B30" s="89" t="s">
        <v>251</v>
      </c>
      <c r="C30" s="21"/>
      <c r="E30" s="14"/>
      <c r="F30" s="14"/>
      <c r="G30" s="48">
        <f>SUM(G20:G29)</f>
        <v>0</v>
      </c>
      <c r="H30" s="14"/>
    </row>
    <row r="31" spans="2:8" ht="13.5" thickTop="1">
      <c r="B31" s="21"/>
      <c r="C31" s="21"/>
      <c r="E31" s="14"/>
      <c r="F31" s="14"/>
      <c r="G31" s="19"/>
      <c r="H31" s="14"/>
    </row>
    <row r="32" spans="2:8" ht="12.75">
      <c r="B32" s="21" t="s">
        <v>122</v>
      </c>
      <c r="C32" s="21" t="s">
        <v>154</v>
      </c>
      <c r="E32" s="14">
        <v>0</v>
      </c>
      <c r="F32" s="14">
        <v>0</v>
      </c>
      <c r="G32" s="19">
        <f>E32*F32</f>
        <v>0</v>
      </c>
      <c r="H32" s="14"/>
    </row>
    <row r="33" spans="2:7" ht="12.75">
      <c r="B33" s="21" t="s">
        <v>207</v>
      </c>
      <c r="C33" s="21" t="s">
        <v>154</v>
      </c>
      <c r="E33" s="14">
        <v>0</v>
      </c>
      <c r="F33" s="14">
        <v>0</v>
      </c>
      <c r="G33" s="19">
        <f>E33*F33</f>
        <v>0</v>
      </c>
    </row>
    <row r="34" spans="2:7" ht="12.75">
      <c r="B34" s="21" t="s">
        <v>274</v>
      </c>
      <c r="C34" s="21" t="s">
        <v>153</v>
      </c>
      <c r="E34" s="14">
        <v>0</v>
      </c>
      <c r="F34" s="14">
        <v>0</v>
      </c>
      <c r="G34" s="19">
        <f>E34*F34</f>
        <v>0</v>
      </c>
    </row>
    <row r="35" spans="2:7" ht="12.75">
      <c r="B35" s="21"/>
      <c r="E35" s="14"/>
      <c r="F35" s="14"/>
      <c r="G35" s="20"/>
    </row>
    <row r="36" spans="2:7" ht="12.75">
      <c r="B36" s="21"/>
      <c r="E36" s="14"/>
      <c r="F36" s="14"/>
      <c r="G36" s="19"/>
    </row>
    <row r="37" spans="2:7" ht="13.5" thickBot="1">
      <c r="B37" s="87" t="s">
        <v>251</v>
      </c>
      <c r="E37" s="14"/>
      <c r="F37" s="14"/>
      <c r="G37" s="48">
        <f>G17+G30+G35</f>
        <v>0</v>
      </c>
    </row>
    <row r="38" ht="13.5" thickTop="1">
      <c r="G38" s="9"/>
    </row>
    <row r="42" spans="2:8" ht="12.75">
      <c r="B42" s="64"/>
      <c r="C42" s="64"/>
      <c r="D42" s="64"/>
      <c r="E42" s="64"/>
      <c r="F42" s="64"/>
      <c r="G42" s="64"/>
      <c r="H42" s="64"/>
    </row>
    <row r="43" spans="2:8" ht="12.75">
      <c r="B43" s="151"/>
      <c r="C43" s="151"/>
      <c r="D43" s="151"/>
      <c r="E43" s="151"/>
      <c r="F43" s="151"/>
      <c r="G43" s="151"/>
      <c r="H43" s="151"/>
    </row>
    <row r="44" spans="1:8" ht="12.75">
      <c r="A44" t="s">
        <v>69</v>
      </c>
      <c r="B44" s="151"/>
      <c r="C44" s="151"/>
      <c r="D44" s="151"/>
      <c r="E44" s="151"/>
      <c r="F44" s="151"/>
      <c r="G44" s="151"/>
      <c r="H44" s="151"/>
    </row>
  </sheetData>
  <sheetProtection/>
  <mergeCells count="5">
    <mergeCell ref="C4:H4"/>
    <mergeCell ref="B43:H43"/>
    <mergeCell ref="B44:H44"/>
    <mergeCell ref="B2:G2"/>
    <mergeCell ref="B3:G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3:K59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4.140625" style="0" customWidth="1"/>
    <col min="3" max="3" width="5.421875" style="0" customWidth="1"/>
    <col min="4" max="4" width="10.28125" style="0" customWidth="1"/>
    <col min="5" max="5" width="6.7109375" style="0" customWidth="1"/>
    <col min="6" max="6" width="7.57421875" style="0" customWidth="1"/>
    <col min="7" max="7" width="6.7109375" style="0" customWidth="1"/>
    <col min="8" max="8" width="7.57421875" style="0" customWidth="1"/>
    <col min="9" max="9" width="14.57421875" style="0" customWidth="1"/>
    <col min="10" max="10" width="9.421875" style="0" customWidth="1"/>
  </cols>
  <sheetData>
    <row r="3" spans="2:11" ht="15">
      <c r="B3" s="164" t="s">
        <v>358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2:11" ht="15">
      <c r="B4" s="159" t="s">
        <v>334</v>
      </c>
      <c r="C4" s="159"/>
      <c r="D4" s="159"/>
      <c r="E4" s="159"/>
      <c r="F4" s="159"/>
      <c r="G4" s="159"/>
      <c r="H4" s="159"/>
      <c r="I4" s="159"/>
      <c r="J4" s="159"/>
      <c r="K4" s="159"/>
    </row>
    <row r="5" spans="4:11" ht="12.75">
      <c r="D5" s="4"/>
      <c r="E5" s="4"/>
      <c r="F5" s="79" t="s">
        <v>132</v>
      </c>
      <c r="G5" s="4"/>
      <c r="H5" s="4"/>
      <c r="I5" s="4"/>
      <c r="J5" s="4"/>
      <c r="K5" s="4"/>
    </row>
    <row r="6" spans="2:11" ht="12.75">
      <c r="B6" s="163" t="s">
        <v>54</v>
      </c>
      <c r="C6" s="38"/>
      <c r="D6" s="78" t="s">
        <v>118</v>
      </c>
      <c r="E6" s="78" t="s">
        <v>132</v>
      </c>
      <c r="F6" s="79" t="s">
        <v>116</v>
      </c>
      <c r="G6" s="78" t="s">
        <v>82</v>
      </c>
      <c r="H6" s="78" t="s">
        <v>191</v>
      </c>
      <c r="I6" s="78" t="s">
        <v>138</v>
      </c>
      <c r="J6" s="78" t="s">
        <v>179</v>
      </c>
      <c r="K6" s="78" t="s">
        <v>172</v>
      </c>
    </row>
    <row r="7" spans="2:11" ht="12.75">
      <c r="B7" s="163"/>
      <c r="C7" s="38"/>
      <c r="D7" s="78" t="s">
        <v>293</v>
      </c>
      <c r="E7" s="78" t="s">
        <v>241</v>
      </c>
      <c r="F7" s="79" t="s">
        <v>60</v>
      </c>
      <c r="G7" s="78" t="s">
        <v>199</v>
      </c>
      <c r="H7" s="78" t="s">
        <v>249</v>
      </c>
      <c r="I7" s="78" t="s">
        <v>282</v>
      </c>
      <c r="J7" s="78" t="s">
        <v>228</v>
      </c>
      <c r="K7" s="78" t="s">
        <v>282</v>
      </c>
    </row>
    <row r="8" spans="2:11" ht="12.75">
      <c r="B8" s="163"/>
      <c r="C8" s="38"/>
      <c r="D8" s="78" t="s">
        <v>62</v>
      </c>
      <c r="E8" s="78" t="s">
        <v>65</v>
      </c>
      <c r="F8" s="4"/>
      <c r="G8" s="78" t="s">
        <v>152</v>
      </c>
      <c r="H8" s="78" t="s">
        <v>196</v>
      </c>
      <c r="I8" s="78" t="s">
        <v>63</v>
      </c>
      <c r="J8" s="78" t="s">
        <v>61</v>
      </c>
      <c r="K8" s="78" t="s">
        <v>64</v>
      </c>
    </row>
    <row r="9" spans="4:11" ht="12.75">
      <c r="D9" s="4"/>
      <c r="E9" s="4"/>
      <c r="G9" s="4"/>
      <c r="H9" s="4"/>
      <c r="I9" s="4"/>
      <c r="J9" s="4"/>
      <c r="K9" s="4"/>
    </row>
    <row r="10" spans="2:11" ht="12.75">
      <c r="B10" s="22" t="s">
        <v>214</v>
      </c>
      <c r="C10" s="21"/>
      <c r="D10" s="4"/>
      <c r="E10" s="4"/>
      <c r="F10" s="4"/>
      <c r="G10" s="4"/>
      <c r="H10" s="4"/>
      <c r="I10" s="4"/>
      <c r="J10" s="4"/>
      <c r="K10" s="4"/>
    </row>
    <row r="11" spans="2:11" ht="12.75">
      <c r="B11" s="45" t="s">
        <v>242</v>
      </c>
      <c r="C11" s="21"/>
      <c r="D11" s="4"/>
      <c r="E11" s="4"/>
      <c r="F11" s="4"/>
      <c r="G11" s="4" t="s">
        <v>0</v>
      </c>
      <c r="H11" s="8" t="s">
        <v>0</v>
      </c>
      <c r="I11" s="4"/>
      <c r="J11" s="4" t="s">
        <v>0</v>
      </c>
      <c r="K11" s="4" t="s">
        <v>0</v>
      </c>
    </row>
    <row r="12" spans="2:11" ht="12.75">
      <c r="B12" s="45" t="s">
        <v>353</v>
      </c>
      <c r="C12" s="21"/>
      <c r="D12" s="4">
        <v>20</v>
      </c>
      <c r="E12" s="4">
        <v>3</v>
      </c>
      <c r="F12" s="8">
        <v>70</v>
      </c>
      <c r="G12" s="4">
        <f>(D12*E12*(F12/100))/8.25</f>
        <v>5.090909090909091</v>
      </c>
      <c r="H12" s="8">
        <v>2</v>
      </c>
      <c r="I12" s="4">
        <f>(H12*(1/G12))*0.05*75</f>
        <v>1.4732142857142856</v>
      </c>
      <c r="J12" s="4">
        <f>(F42+F33)*(1/G12*H12)</f>
        <v>1.7188285714285712</v>
      </c>
      <c r="K12" s="4">
        <f>H12*(1/G12)*1.2</f>
        <v>0.4714285714285714</v>
      </c>
    </row>
    <row r="13" spans="2:11" ht="12.75">
      <c r="B13" s="45" t="s">
        <v>84</v>
      </c>
      <c r="C13" s="21"/>
      <c r="D13" s="4">
        <v>40</v>
      </c>
      <c r="E13" s="4">
        <v>2.5</v>
      </c>
      <c r="F13" s="8">
        <v>65</v>
      </c>
      <c r="G13" s="4">
        <f>(D13*E13*(F13/100))/8.25</f>
        <v>7.878787878787879</v>
      </c>
      <c r="H13" s="8">
        <v>12</v>
      </c>
      <c r="I13" s="4">
        <f>(H13*(1/G13))*0.05*325</f>
        <v>24.75</v>
      </c>
      <c r="J13" s="4">
        <f>(F43+F34)*(1/G13*H13)</f>
        <v>35.434384615384616</v>
      </c>
      <c r="K13" s="4">
        <f>H13*(1/G13)*1.2</f>
        <v>1.8276923076923075</v>
      </c>
    </row>
    <row r="14" spans="2:11" ht="12.75">
      <c r="B14" s="45" t="s">
        <v>354</v>
      </c>
      <c r="C14" s="21"/>
      <c r="D14" s="4">
        <v>15</v>
      </c>
      <c r="E14" s="4">
        <v>6</v>
      </c>
      <c r="F14" s="8">
        <v>95</v>
      </c>
      <c r="G14" s="4">
        <f>(D14*E14*(F14/100))/8.25</f>
        <v>10.363636363636363</v>
      </c>
      <c r="H14" s="8">
        <v>10</v>
      </c>
      <c r="I14" s="4">
        <f>(H14*(1/G14))*0.05*125</f>
        <v>6.030701754385967</v>
      </c>
      <c r="J14" s="4">
        <f>(F43+F35)*(1/G14*H14)</f>
        <v>4.144298245614036</v>
      </c>
      <c r="K14" s="4">
        <f>H14*(1/G14)*1.2</f>
        <v>1.1578947368421053</v>
      </c>
    </row>
    <row r="15" spans="2:3" ht="12.75">
      <c r="B15" s="21"/>
      <c r="C15" s="21"/>
    </row>
    <row r="16" spans="2:11" ht="12.75">
      <c r="B16" s="90" t="s">
        <v>267</v>
      </c>
      <c r="C16" s="21"/>
      <c r="D16" s="4"/>
      <c r="F16" s="4"/>
      <c r="G16" s="4"/>
      <c r="H16" s="4"/>
      <c r="I16" s="7">
        <f>SUM(I12:I15)</f>
        <v>32.25391604010025</v>
      </c>
      <c r="J16" s="7">
        <f>SUM(J12:J15)</f>
        <v>41.29751143242723</v>
      </c>
      <c r="K16" s="7">
        <f>SUM(K12:K15)</f>
        <v>3.4570156159629843</v>
      </c>
    </row>
    <row r="17" spans="2:11" ht="12.75">
      <c r="B17" s="25"/>
      <c r="C17" s="21"/>
      <c r="D17" s="4"/>
      <c r="E17" s="4"/>
      <c r="F17" s="4"/>
      <c r="G17" s="4"/>
      <c r="H17" s="4"/>
      <c r="I17" s="4"/>
      <c r="J17" s="4"/>
      <c r="K17" s="4"/>
    </row>
    <row r="18" spans="2:11" ht="12.75">
      <c r="B18" s="87" t="s">
        <v>148</v>
      </c>
      <c r="C18" s="21"/>
      <c r="D18" s="4"/>
      <c r="E18" s="4"/>
      <c r="F18" s="4"/>
      <c r="G18" s="4"/>
      <c r="H18" s="4"/>
      <c r="I18" s="4"/>
      <c r="J18" s="4"/>
      <c r="K18" s="4"/>
    </row>
    <row r="19" spans="2:11" ht="12.75">
      <c r="B19" s="92" t="s">
        <v>355</v>
      </c>
      <c r="C19" s="21"/>
      <c r="D19" s="8">
        <v>40</v>
      </c>
      <c r="E19" s="4">
        <v>1</v>
      </c>
      <c r="F19" s="8">
        <v>90</v>
      </c>
      <c r="G19" s="4">
        <f>(D19*E19*(F19/100))/8.25</f>
        <v>4.363636363636363</v>
      </c>
      <c r="H19" s="8">
        <v>3</v>
      </c>
      <c r="I19" s="4">
        <f>(H19*(1/G19))*0.05*90</f>
        <v>3.0937500000000004</v>
      </c>
      <c r="J19" s="4">
        <f>(H61+F44)*(1/G19*H19)</f>
        <v>5.5</v>
      </c>
      <c r="K19" s="4">
        <f>H19*(1/G19)*1.2</f>
        <v>0.825</v>
      </c>
    </row>
    <row r="20" spans="2:11" ht="12.75">
      <c r="B20" s="45" t="s">
        <v>356</v>
      </c>
      <c r="C20" s="21"/>
      <c r="D20" s="10">
        <v>10</v>
      </c>
      <c r="E20" s="4">
        <v>3</v>
      </c>
      <c r="F20" s="10">
        <v>90</v>
      </c>
      <c r="G20" s="4">
        <f>(D20*E20*(F20/100))/8.25</f>
        <v>3.272727272727273</v>
      </c>
      <c r="H20" s="8">
        <v>3</v>
      </c>
      <c r="I20" s="4">
        <f>(H20*(1/G20))*0.05*75</f>
        <v>3.4374999999999996</v>
      </c>
      <c r="J20" s="4">
        <f>(F38+F42)*(1/G20*H20)</f>
        <v>9.366224999999998</v>
      </c>
      <c r="K20" s="4">
        <f>H20*(1/G20)*1.2</f>
        <v>1.0999999999999999</v>
      </c>
    </row>
    <row r="21" spans="2:11" ht="12.75">
      <c r="B21" s="45" t="s">
        <v>148</v>
      </c>
      <c r="C21" s="21"/>
      <c r="D21" s="10">
        <v>10</v>
      </c>
      <c r="E21" s="4">
        <v>2</v>
      </c>
      <c r="F21" s="10">
        <v>80</v>
      </c>
      <c r="G21" s="4">
        <v>7</v>
      </c>
      <c r="H21" s="8">
        <v>3</v>
      </c>
      <c r="I21" s="4">
        <f>(H21*(1/G21))*0.05*125</f>
        <v>2.6785714285714284</v>
      </c>
      <c r="J21" s="4">
        <f>(F39+F43)*(1/G21*H21)</f>
        <v>4.894285714285714</v>
      </c>
      <c r="K21" s="4">
        <f>H21*(1/G21)*1.2</f>
        <v>0.5142857142857142</v>
      </c>
    </row>
    <row r="22" spans="2:11" ht="12.75">
      <c r="B22" s="45" t="s">
        <v>357</v>
      </c>
      <c r="C22" s="21"/>
      <c r="H22" s="8"/>
      <c r="I22" s="4">
        <v>5</v>
      </c>
      <c r="J22" s="4">
        <v>0.5</v>
      </c>
      <c r="K22" s="4">
        <v>1</v>
      </c>
    </row>
    <row r="23" spans="2:11" ht="12.75">
      <c r="B23" s="90" t="s">
        <v>260</v>
      </c>
      <c r="C23" s="21"/>
      <c r="I23" s="7">
        <f>SUM(I19:I22)</f>
        <v>14.209821428571429</v>
      </c>
      <c r="J23" s="7">
        <f>SUM(J19:J22)</f>
        <v>20.26051071428571</v>
      </c>
      <c r="K23" s="7">
        <f>SUM(K19:K22)</f>
        <v>3.439285714285714</v>
      </c>
    </row>
    <row r="30" spans="2:7" ht="12.75">
      <c r="B30" s="25"/>
      <c r="C30" s="25"/>
      <c r="D30" s="25" t="s">
        <v>107</v>
      </c>
      <c r="E30" s="25"/>
      <c r="F30" s="25" t="s">
        <v>235</v>
      </c>
      <c r="G30" s="25" t="s">
        <v>139</v>
      </c>
    </row>
    <row r="31" spans="2:7" ht="12.75">
      <c r="B31" s="25"/>
      <c r="C31" s="25"/>
      <c r="D31" s="25"/>
      <c r="E31" s="25"/>
      <c r="F31" s="25"/>
      <c r="G31" s="25"/>
    </row>
    <row r="32" spans="2:7" ht="12.75">
      <c r="B32" s="25" t="s">
        <v>113</v>
      </c>
      <c r="C32" s="26"/>
      <c r="D32" s="26">
        <v>600</v>
      </c>
      <c r="E32" s="14">
        <v>0.33</v>
      </c>
      <c r="F32" s="14">
        <f aca="true" t="shared" si="0" ref="F32:F44">D32/1000*E32</f>
        <v>0.198</v>
      </c>
      <c r="G32" s="14">
        <f aca="true" t="shared" si="1" ref="G32:G43">C32*0.05</f>
        <v>0</v>
      </c>
    </row>
    <row r="33" spans="2:7" ht="12.75">
      <c r="B33" s="25" t="s">
        <v>242</v>
      </c>
      <c r="C33" s="26">
        <v>200</v>
      </c>
      <c r="D33" s="26">
        <v>400</v>
      </c>
      <c r="E33" s="14">
        <v>0.75</v>
      </c>
      <c r="F33" s="14">
        <f t="shared" si="0"/>
        <v>0.30000000000000004</v>
      </c>
      <c r="G33" s="14">
        <f t="shared" si="1"/>
        <v>10</v>
      </c>
    </row>
    <row r="34" spans="2:7" ht="12.75">
      <c r="B34" s="25" t="s">
        <v>84</v>
      </c>
      <c r="C34" s="26"/>
      <c r="D34" s="26">
        <v>56700</v>
      </c>
      <c r="E34" s="14">
        <v>0.35000000000000003</v>
      </c>
      <c r="F34" s="14">
        <f t="shared" si="0"/>
        <v>19.845000000000002</v>
      </c>
      <c r="G34" s="14">
        <f t="shared" si="1"/>
        <v>0</v>
      </c>
    </row>
    <row r="35" spans="2:7" ht="12.75">
      <c r="B35" s="25" t="s">
        <v>188</v>
      </c>
      <c r="C35" s="26"/>
      <c r="D35" s="26">
        <v>3500</v>
      </c>
      <c r="E35" s="14">
        <v>0.25</v>
      </c>
      <c r="F35" s="14">
        <f t="shared" si="0"/>
        <v>0.875</v>
      </c>
      <c r="G35" s="14">
        <f t="shared" si="1"/>
        <v>0</v>
      </c>
    </row>
    <row r="36" spans="1:7" ht="12.75">
      <c r="A36" t="s">
        <v>69</v>
      </c>
      <c r="B36" s="21" t="s">
        <v>237</v>
      </c>
      <c r="C36" s="26">
        <v>90</v>
      </c>
      <c r="D36" s="26">
        <v>95000</v>
      </c>
      <c r="E36" s="18">
        <v>0.6</v>
      </c>
      <c r="F36" s="14">
        <f t="shared" si="0"/>
        <v>57</v>
      </c>
      <c r="G36" s="14">
        <f t="shared" si="1"/>
        <v>4.5</v>
      </c>
    </row>
    <row r="37" spans="2:7" ht="12.75">
      <c r="B37" s="21"/>
      <c r="C37" s="26"/>
      <c r="D37" s="18"/>
      <c r="E37" s="18"/>
      <c r="F37" s="14">
        <f t="shared" si="0"/>
        <v>0</v>
      </c>
      <c r="G37" s="14">
        <f t="shared" si="1"/>
        <v>0</v>
      </c>
    </row>
    <row r="38" spans="2:7" ht="12.75">
      <c r="B38" s="21" t="s">
        <v>244</v>
      </c>
      <c r="C38" s="26"/>
      <c r="D38" s="18">
        <v>15750</v>
      </c>
      <c r="E38" s="18">
        <v>0.39</v>
      </c>
      <c r="F38" s="14">
        <f t="shared" si="0"/>
        <v>6.1425</v>
      </c>
      <c r="G38" s="14">
        <f t="shared" si="1"/>
        <v>0</v>
      </c>
    </row>
    <row r="39" spans="2:7" ht="12.75">
      <c r="B39" s="21" t="s">
        <v>149</v>
      </c>
      <c r="C39" s="26"/>
      <c r="D39" s="18">
        <v>32000</v>
      </c>
      <c r="E39" s="18">
        <v>0.25</v>
      </c>
      <c r="F39" s="14">
        <f t="shared" si="0"/>
        <v>8</v>
      </c>
      <c r="G39" s="14">
        <f t="shared" si="1"/>
        <v>0</v>
      </c>
    </row>
    <row r="40" spans="2:7" ht="12.75">
      <c r="B40" s="21" t="s">
        <v>288</v>
      </c>
      <c r="C40" s="26"/>
      <c r="D40" s="18">
        <v>2500</v>
      </c>
      <c r="E40" s="18"/>
      <c r="F40" s="14">
        <f t="shared" si="0"/>
        <v>0</v>
      </c>
      <c r="G40" s="14">
        <f t="shared" si="1"/>
        <v>0</v>
      </c>
    </row>
    <row r="41" spans="2:7" ht="12.75">
      <c r="B41" s="25" t="s">
        <v>115</v>
      </c>
      <c r="C41" s="26"/>
      <c r="D41" s="26">
        <v>10000</v>
      </c>
      <c r="E41" s="14">
        <v>0.1</v>
      </c>
      <c r="F41" s="14">
        <f t="shared" si="0"/>
        <v>1</v>
      </c>
      <c r="G41" s="14">
        <f t="shared" si="1"/>
        <v>0</v>
      </c>
    </row>
    <row r="42" spans="2:7" ht="12.75">
      <c r="B42" s="25" t="s">
        <v>278</v>
      </c>
      <c r="C42" s="26">
        <v>75</v>
      </c>
      <c r="D42" s="26">
        <v>67920</v>
      </c>
      <c r="E42" s="14">
        <v>0.06</v>
      </c>
      <c r="F42" s="14">
        <f t="shared" si="0"/>
        <v>4.0752</v>
      </c>
      <c r="G42" s="14">
        <f t="shared" si="1"/>
        <v>3.75</v>
      </c>
    </row>
    <row r="43" spans="2:7" ht="12.75">
      <c r="B43" s="25" t="s">
        <v>279</v>
      </c>
      <c r="C43" s="26">
        <v>125</v>
      </c>
      <c r="D43" s="26">
        <v>57000</v>
      </c>
      <c r="E43" s="14">
        <v>0.06</v>
      </c>
      <c r="F43" s="14">
        <f t="shared" si="0"/>
        <v>3.42</v>
      </c>
      <c r="G43" s="14">
        <f t="shared" si="1"/>
        <v>6.25</v>
      </c>
    </row>
    <row r="44" spans="2:7" ht="12.75">
      <c r="B44" s="21" t="s">
        <v>280</v>
      </c>
      <c r="C44" s="26">
        <v>200</v>
      </c>
      <c r="D44" s="18">
        <v>20000</v>
      </c>
      <c r="E44" s="14">
        <v>0.4</v>
      </c>
      <c r="F44" s="14">
        <f t="shared" si="0"/>
        <v>8</v>
      </c>
      <c r="G44" s="14">
        <v>5.1</v>
      </c>
    </row>
    <row r="58" spans="5:6" ht="12.75">
      <c r="E58" s="2"/>
      <c r="F58" s="10"/>
    </row>
    <row r="59" ht="12.75">
      <c r="F59" s="10"/>
    </row>
  </sheetData>
  <sheetProtection/>
  <mergeCells count="3">
    <mergeCell ref="B6:B8"/>
    <mergeCell ref="B3:K3"/>
    <mergeCell ref="B4:K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4:IU38"/>
  <sheetViews>
    <sheetView workbookViewId="0" topLeftCell="A1">
      <selection activeCell="E26" sqref="E26"/>
    </sheetView>
  </sheetViews>
  <sheetFormatPr defaultColWidth="9.140625" defaultRowHeight="12.75"/>
  <cols>
    <col min="1" max="1" width="1.421875" style="0" customWidth="1"/>
    <col min="2" max="2" width="27.00390625" style="0" customWidth="1"/>
    <col min="3" max="3" width="0.42578125" style="0" customWidth="1"/>
    <col min="4" max="4" width="6.140625" style="0" customWidth="1"/>
    <col min="5" max="5" width="9.8515625" style="0" customWidth="1"/>
    <col min="6" max="6" width="8.140625" style="0" customWidth="1"/>
    <col min="7" max="7" width="5.421875" style="0" customWidth="1"/>
    <col min="8" max="8" width="7.7109375" style="0" customWidth="1"/>
    <col min="9" max="9" width="6.7109375" style="0" customWidth="1"/>
    <col min="10" max="10" width="7.57421875" style="0" customWidth="1"/>
    <col min="11" max="11" width="7.7109375" style="3" customWidth="1"/>
  </cols>
  <sheetData>
    <row r="2" ht="15" customHeight="1"/>
    <row r="4" spans="2:11" ht="15">
      <c r="B4" s="164" t="s">
        <v>306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5">
      <c r="A5" s="30"/>
      <c r="B5" s="159" t="s">
        <v>334</v>
      </c>
      <c r="C5" s="159"/>
      <c r="D5" s="159"/>
      <c r="E5" s="159"/>
      <c r="F5" s="159"/>
      <c r="G5" s="159"/>
      <c r="H5" s="159"/>
      <c r="I5" s="159"/>
      <c r="J5" s="159"/>
      <c r="K5" s="159"/>
    </row>
    <row r="6" ht="12.75">
      <c r="A6" s="30"/>
    </row>
    <row r="7" ht="12.75">
      <c r="A7" s="30"/>
    </row>
    <row r="8" spans="1:4" ht="12.75">
      <c r="A8" s="30"/>
      <c r="B8" t="s">
        <v>82</v>
      </c>
      <c r="D8" s="38">
        <v>10</v>
      </c>
    </row>
    <row r="9" spans="1:11" ht="12.75">
      <c r="A9" s="30"/>
      <c r="B9" t="s">
        <v>165</v>
      </c>
      <c r="D9" s="38">
        <v>0.065</v>
      </c>
      <c r="G9" s="30"/>
      <c r="H9" s="30"/>
      <c r="I9" s="30"/>
      <c r="J9" s="30"/>
      <c r="K9" s="63"/>
    </row>
    <row r="10" ht="12.75">
      <c r="A10" s="30"/>
    </row>
    <row r="11" ht="12.75">
      <c r="A11" s="30"/>
    </row>
    <row r="12" ht="12.75">
      <c r="A12" s="30"/>
    </row>
    <row r="13" spans="1:11" ht="12.75">
      <c r="A13" s="30"/>
      <c r="B13" s="32"/>
      <c r="C13" s="32"/>
      <c r="D13" s="78" t="s">
        <v>200</v>
      </c>
      <c r="E13" s="79" t="s">
        <v>0</v>
      </c>
      <c r="F13" s="32"/>
      <c r="G13" s="32"/>
      <c r="H13" s="32"/>
      <c r="I13" s="32"/>
      <c r="J13" s="32"/>
      <c r="K13" s="78"/>
    </row>
    <row r="14" spans="1:11" ht="12.75">
      <c r="A14" s="30"/>
      <c r="B14" s="32"/>
      <c r="C14" s="32"/>
      <c r="D14" s="78" t="s">
        <v>283</v>
      </c>
      <c r="E14" s="79" t="s">
        <v>0</v>
      </c>
      <c r="F14" s="32"/>
      <c r="G14" s="32"/>
      <c r="H14" s="32"/>
      <c r="I14" s="32"/>
      <c r="J14" s="32"/>
      <c r="K14" s="78"/>
    </row>
    <row r="15" spans="1:11" ht="12.75">
      <c r="A15" s="30"/>
      <c r="B15" s="32"/>
      <c r="C15" s="32"/>
      <c r="D15" s="78" t="s">
        <v>137</v>
      </c>
      <c r="E15" s="79" t="s">
        <v>224</v>
      </c>
      <c r="F15" s="78" t="s">
        <v>236</v>
      </c>
      <c r="G15" s="78" t="s">
        <v>300</v>
      </c>
      <c r="H15" s="32"/>
      <c r="I15" s="32"/>
      <c r="J15" s="32" t="s">
        <v>359</v>
      </c>
      <c r="K15" s="78"/>
    </row>
    <row r="16" spans="1:11" ht="12.75">
      <c r="A16" s="30"/>
      <c r="B16" s="78" t="s">
        <v>53</v>
      </c>
      <c r="C16" s="32"/>
      <c r="D16" s="78" t="s">
        <v>108</v>
      </c>
      <c r="E16" s="79" t="s">
        <v>218</v>
      </c>
      <c r="F16" s="78" t="s">
        <v>284</v>
      </c>
      <c r="G16" s="78" t="s">
        <v>178</v>
      </c>
      <c r="H16" s="78" t="s">
        <v>111</v>
      </c>
      <c r="I16" s="78" t="s">
        <v>164</v>
      </c>
      <c r="J16" s="78" t="s">
        <v>360</v>
      </c>
      <c r="K16" s="78" t="s">
        <v>121</v>
      </c>
    </row>
    <row r="17" spans="1:11" ht="12.75">
      <c r="A17" s="30"/>
      <c r="E17" s="18"/>
      <c r="F17" s="18"/>
      <c r="G17" s="18"/>
      <c r="H17" s="18"/>
      <c r="I17" s="18"/>
      <c r="J17" s="18"/>
      <c r="K17" s="14"/>
    </row>
    <row r="18" spans="1:255" ht="12.75">
      <c r="A18" s="62"/>
      <c r="B18" s="21" t="s">
        <v>56</v>
      </c>
      <c r="D18" s="12">
        <v>1</v>
      </c>
      <c r="E18" s="26">
        <v>4200</v>
      </c>
      <c r="F18" s="26">
        <f aca="true" t="shared" si="0" ref="F18:F25">E18*0.2</f>
        <v>840</v>
      </c>
      <c r="G18" s="26">
        <v>5</v>
      </c>
      <c r="H18" s="26">
        <f>(E18-F18)/G18*D18</f>
        <v>672</v>
      </c>
      <c r="I18" s="26">
        <f aca="true" t="shared" si="1" ref="I18:I25">(E18+F18)/2*D$9*D18</f>
        <v>163.8</v>
      </c>
      <c r="J18" s="26">
        <f>(E18+F18)/2*0.014*D18</f>
        <v>35.28</v>
      </c>
      <c r="K18" s="14">
        <f>(H18+I18+J18)/$D$8</f>
        <v>87.10799999999999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</row>
    <row r="19" spans="1:11" ht="12.75">
      <c r="A19" s="30"/>
      <c r="B19" s="21" t="s">
        <v>57</v>
      </c>
      <c r="D19" s="12">
        <v>1</v>
      </c>
      <c r="E19" s="26">
        <v>4200</v>
      </c>
      <c r="F19" s="26">
        <f t="shared" si="0"/>
        <v>840</v>
      </c>
      <c r="G19" s="26">
        <v>5</v>
      </c>
      <c r="H19" s="26">
        <f aca="true" t="shared" si="2" ref="H19:H25">(E19-F19)/G19*D19</f>
        <v>672</v>
      </c>
      <c r="I19" s="26">
        <f t="shared" si="1"/>
        <v>163.8</v>
      </c>
      <c r="J19" s="26">
        <f aca="true" t="shared" si="3" ref="J19:J25">(E19+F19)/2*0.014*D19</f>
        <v>35.28</v>
      </c>
      <c r="K19" s="14">
        <f aca="true" t="shared" si="4" ref="K19:K25">(H19+I19+J19)/$D$8</f>
        <v>87.10799999999999</v>
      </c>
    </row>
    <row r="20" spans="1:11" ht="12.75">
      <c r="A20" s="30"/>
      <c r="B20" s="21" t="s">
        <v>55</v>
      </c>
      <c r="D20" s="12">
        <v>0.75</v>
      </c>
      <c r="E20" s="26">
        <v>1890</v>
      </c>
      <c r="F20" s="26">
        <f t="shared" si="0"/>
        <v>378</v>
      </c>
      <c r="G20" s="26">
        <v>7</v>
      </c>
      <c r="H20" s="26">
        <f t="shared" si="2"/>
        <v>162</v>
      </c>
      <c r="I20" s="26">
        <f t="shared" si="1"/>
        <v>55.282500000000006</v>
      </c>
      <c r="J20" s="26">
        <f t="shared" si="3"/>
        <v>11.907</v>
      </c>
      <c r="K20" s="14">
        <f t="shared" si="4"/>
        <v>22.918950000000002</v>
      </c>
    </row>
    <row r="21" spans="1:11" ht="12.75">
      <c r="A21" s="30"/>
      <c r="B21" s="25" t="s">
        <v>275</v>
      </c>
      <c r="C21" s="3"/>
      <c r="D21" s="12">
        <v>1</v>
      </c>
      <c r="E21" s="26">
        <v>63000</v>
      </c>
      <c r="F21" s="26">
        <f t="shared" si="0"/>
        <v>12600</v>
      </c>
      <c r="G21" s="26">
        <v>8</v>
      </c>
      <c r="H21" s="26">
        <f t="shared" si="2"/>
        <v>6300</v>
      </c>
      <c r="I21" s="26">
        <f t="shared" si="1"/>
        <v>2457</v>
      </c>
      <c r="J21" s="26">
        <f t="shared" si="3"/>
        <v>529.2</v>
      </c>
      <c r="K21" s="14">
        <f t="shared" si="4"/>
        <v>928.6200000000001</v>
      </c>
    </row>
    <row r="22" spans="1:11" ht="12.75">
      <c r="A22" s="30"/>
      <c r="B22" s="25" t="s">
        <v>280</v>
      </c>
      <c r="C22" s="3"/>
      <c r="D22" s="12">
        <v>0.75</v>
      </c>
      <c r="E22" s="26">
        <v>42000</v>
      </c>
      <c r="F22" s="26">
        <f t="shared" si="0"/>
        <v>8400</v>
      </c>
      <c r="G22" s="26">
        <v>10</v>
      </c>
      <c r="H22" s="26">
        <f t="shared" si="2"/>
        <v>2520</v>
      </c>
      <c r="I22" s="26">
        <f t="shared" si="1"/>
        <v>1228.5</v>
      </c>
      <c r="J22" s="26">
        <f t="shared" si="3"/>
        <v>264.6</v>
      </c>
      <c r="K22" s="14">
        <f t="shared" si="4"/>
        <v>401.31</v>
      </c>
    </row>
    <row r="23" spans="1:11" ht="12.75">
      <c r="A23" s="30"/>
      <c r="B23" s="25" t="s">
        <v>131</v>
      </c>
      <c r="C23" s="3"/>
      <c r="D23" s="12">
        <v>1</v>
      </c>
      <c r="E23" s="26">
        <v>4200</v>
      </c>
      <c r="F23" s="26">
        <f t="shared" si="0"/>
        <v>840</v>
      </c>
      <c r="G23" s="26">
        <v>10</v>
      </c>
      <c r="H23" s="26">
        <f t="shared" si="2"/>
        <v>336</v>
      </c>
      <c r="I23" s="26">
        <f t="shared" si="1"/>
        <v>163.8</v>
      </c>
      <c r="J23" s="26">
        <f t="shared" si="3"/>
        <v>35.28</v>
      </c>
      <c r="K23" s="14">
        <f t="shared" si="4"/>
        <v>53.508</v>
      </c>
    </row>
    <row r="24" spans="1:11" ht="12.75">
      <c r="A24" s="30"/>
      <c r="B24" s="25" t="s">
        <v>146</v>
      </c>
      <c r="C24" s="3"/>
      <c r="D24" s="12">
        <v>1</v>
      </c>
      <c r="E24" s="167">
        <v>1155</v>
      </c>
      <c r="F24" s="26">
        <f t="shared" si="0"/>
        <v>231</v>
      </c>
      <c r="G24" s="18">
        <v>10</v>
      </c>
      <c r="H24" s="26">
        <f t="shared" si="2"/>
        <v>92.4</v>
      </c>
      <c r="I24" s="26">
        <f t="shared" si="1"/>
        <v>45.045</v>
      </c>
      <c r="J24" s="26">
        <f t="shared" si="3"/>
        <v>9.702</v>
      </c>
      <c r="K24" s="14">
        <f t="shared" si="4"/>
        <v>14.714699999999999</v>
      </c>
    </row>
    <row r="25" spans="1:11" ht="12.75">
      <c r="A25" s="30"/>
      <c r="B25" s="3" t="s">
        <v>145</v>
      </c>
      <c r="C25" s="3"/>
      <c r="D25" s="12">
        <v>1</v>
      </c>
      <c r="E25" s="26">
        <v>84</v>
      </c>
      <c r="F25" s="26">
        <f t="shared" si="0"/>
        <v>16.8</v>
      </c>
      <c r="G25" s="18">
        <v>4</v>
      </c>
      <c r="H25" s="26">
        <f t="shared" si="2"/>
        <v>16.8</v>
      </c>
      <c r="I25" s="26">
        <f t="shared" si="1"/>
        <v>3.276</v>
      </c>
      <c r="J25" s="26">
        <f t="shared" si="3"/>
        <v>0.7056</v>
      </c>
      <c r="K25" s="14">
        <f t="shared" si="4"/>
        <v>2.07816</v>
      </c>
    </row>
    <row r="26" spans="1:11" ht="12.75">
      <c r="A26" s="30"/>
      <c r="B26" s="3"/>
      <c r="C26" s="3"/>
      <c r="D26" s="10"/>
      <c r="E26" s="8"/>
      <c r="F26" s="8"/>
      <c r="K26"/>
    </row>
    <row r="27" spans="1:11" ht="13.5" thickBot="1">
      <c r="A27" s="30"/>
      <c r="B27" s="5" t="s">
        <v>263</v>
      </c>
      <c r="D27" s="10"/>
      <c r="E27" s="49">
        <f>SUM(E18:E26)</f>
        <v>120729</v>
      </c>
      <c r="F27" s="50">
        <f>SUM(F18:F26)</f>
        <v>24145.8</v>
      </c>
      <c r="G27" s="6"/>
      <c r="H27" s="51">
        <f>SUM(H18:H26)</f>
        <v>10771.199999999999</v>
      </c>
      <c r="I27" s="51">
        <f>SUM(I18:I26)</f>
        <v>4280.5035</v>
      </c>
      <c r="J27" s="51">
        <f>SUM(J18:J26)</f>
        <v>921.9546</v>
      </c>
      <c r="K27" s="51">
        <f>SUM(K18:K26)</f>
        <v>1597.36581</v>
      </c>
    </row>
    <row r="28" spans="1:11" ht="13.5" thickTop="1">
      <c r="A28" s="30"/>
      <c r="D28" s="10"/>
      <c r="E28" s="10"/>
      <c r="F28" s="10"/>
      <c r="G28" s="10"/>
      <c r="H28" s="10"/>
      <c r="I28" s="10"/>
      <c r="J28" s="10"/>
      <c r="K28" s="4"/>
    </row>
    <row r="29" spans="1:11" ht="13.5" thickBot="1">
      <c r="A29" s="30"/>
      <c r="B29" s="5" t="s">
        <v>258</v>
      </c>
      <c r="E29" s="95">
        <f>H27+I27+J27</f>
        <v>15973.6581</v>
      </c>
      <c r="F29" s="10"/>
      <c r="G29" s="10"/>
      <c r="H29" s="10"/>
      <c r="I29" s="8"/>
      <c r="J29" s="10"/>
      <c r="K29" s="4"/>
    </row>
    <row r="30" spans="1:11" ht="14.25" thickBot="1" thickTop="1">
      <c r="A30" s="30"/>
      <c r="B30" s="5" t="s">
        <v>135</v>
      </c>
      <c r="E30" s="94">
        <f>E29/D8</f>
        <v>1597.36581</v>
      </c>
      <c r="F30" s="10"/>
      <c r="G30" s="10"/>
      <c r="H30" s="10"/>
      <c r="J30" s="10"/>
      <c r="K30" s="4"/>
    </row>
    <row r="31" spans="4:11" ht="13.5" thickTop="1">
      <c r="D31" s="10"/>
      <c r="E31" s="10"/>
      <c r="F31" s="10"/>
      <c r="G31" s="10"/>
      <c r="H31" s="10"/>
      <c r="J31" s="10"/>
      <c r="K31" s="4"/>
    </row>
    <row r="32" spans="4:11" ht="12.75">
      <c r="D32" s="10"/>
      <c r="E32" s="10"/>
      <c r="F32" s="10"/>
      <c r="G32" s="10"/>
      <c r="H32" s="10"/>
      <c r="J32" s="10"/>
      <c r="K32" s="4"/>
    </row>
    <row r="33" spans="2:11" ht="12.75">
      <c r="B33" s="31" t="s">
        <v>361</v>
      </c>
      <c r="D33" s="10"/>
      <c r="E33" s="10"/>
      <c r="F33" s="10"/>
      <c r="G33" s="10"/>
      <c r="H33" s="10"/>
      <c r="J33" s="10"/>
      <c r="K33" s="4"/>
    </row>
    <row r="34" spans="4:11" ht="12.75">
      <c r="D34" s="10"/>
      <c r="E34" s="10"/>
      <c r="F34" s="10"/>
      <c r="G34" s="10"/>
      <c r="H34" s="10"/>
      <c r="J34" s="10"/>
      <c r="K34" s="4"/>
    </row>
    <row r="35" spans="2:11" ht="12.75">
      <c r="B35" s="64"/>
      <c r="C35" s="64"/>
      <c r="D35" s="64"/>
      <c r="E35" s="64"/>
      <c r="F35" s="64"/>
      <c r="G35" s="64"/>
      <c r="H35" s="64"/>
      <c r="J35" s="65"/>
      <c r="K35" s="4"/>
    </row>
    <row r="36" spans="2:11" ht="12.75">
      <c r="B36" s="151"/>
      <c r="C36" s="151"/>
      <c r="D36" s="151"/>
      <c r="E36" s="151"/>
      <c r="F36" s="151"/>
      <c r="G36" s="151"/>
      <c r="H36" s="151"/>
      <c r="I36" s="151"/>
      <c r="J36" s="151"/>
      <c r="K36" s="4"/>
    </row>
    <row r="37" spans="2:11" ht="12.75">
      <c r="B37" s="151"/>
      <c r="C37" s="151"/>
      <c r="D37" s="151"/>
      <c r="E37" s="151"/>
      <c r="F37" s="151"/>
      <c r="G37" s="151"/>
      <c r="H37" s="151"/>
      <c r="I37" s="151"/>
      <c r="J37" s="151"/>
      <c r="K37" s="4"/>
    </row>
    <row r="38" spans="4:11" ht="12.75">
      <c r="D38" s="10"/>
      <c r="E38" s="10"/>
      <c r="F38" s="10"/>
      <c r="G38" s="10"/>
      <c r="H38" s="10"/>
      <c r="I38" s="10"/>
      <c r="J38" s="10"/>
      <c r="K38" s="4"/>
    </row>
    <row r="49" ht="12.75"/>
    <row r="50" ht="12.75"/>
  </sheetData>
  <sheetProtection/>
  <mergeCells count="4">
    <mergeCell ref="B36:J36"/>
    <mergeCell ref="B37:J37"/>
    <mergeCell ref="B5:K5"/>
    <mergeCell ref="B4:K4"/>
  </mergeCells>
  <printOptions/>
  <pageMargins left="0.75" right="0.75" top="1" bottom="1" header="0.5" footer="0.5"/>
  <pageSetup horizontalDpi="600" verticalDpi="600" orientation="portrait" r:id="rId2"/>
  <colBreaks count="1" manualBreakCount="1">
    <brk id="11" max="49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J62"/>
  <sheetViews>
    <sheetView zoomScale="108" zoomScaleNormal="108" zoomScalePageLayoutView="0" workbookViewId="0" topLeftCell="A10">
      <selection activeCell="L29" sqref="L29"/>
    </sheetView>
  </sheetViews>
  <sheetFormatPr defaultColWidth="9.140625" defaultRowHeight="12.75"/>
  <cols>
    <col min="1" max="1" width="2.57421875" style="0" customWidth="1"/>
    <col min="2" max="2" width="15.57421875" style="0" customWidth="1"/>
    <col min="3" max="3" width="9.7109375" style="0" customWidth="1"/>
    <col min="4" max="4" width="7.8515625" style="0" customWidth="1"/>
    <col min="5" max="5" width="8.140625" style="0" customWidth="1"/>
    <col min="6" max="6" width="7.00390625" style="0" customWidth="1"/>
    <col min="7" max="7" width="9.57421875" style="0" customWidth="1"/>
    <col min="8" max="8" width="11.28125" style="0" customWidth="1"/>
    <col min="9" max="9" width="10.140625" style="0" customWidth="1"/>
    <col min="10" max="10" width="8.140625" style="0" customWidth="1"/>
  </cols>
  <sheetData>
    <row r="2" ht="15" customHeight="1">
      <c r="J2" s="75"/>
    </row>
    <row r="3" spans="1:10" ht="12.75" customHeight="1">
      <c r="A3" s="3"/>
      <c r="B3" s="160" t="s">
        <v>391</v>
      </c>
      <c r="C3" s="160"/>
      <c r="D3" s="160"/>
      <c r="E3" s="160"/>
      <c r="F3" s="160"/>
      <c r="G3" s="160"/>
      <c r="H3" s="160"/>
      <c r="I3" s="160"/>
      <c r="J3" s="96"/>
    </row>
    <row r="4" spans="1:9" ht="15">
      <c r="A4" s="3"/>
      <c r="B4" s="159" t="s">
        <v>334</v>
      </c>
      <c r="C4" s="159"/>
      <c r="D4" s="159"/>
      <c r="E4" s="159"/>
      <c r="F4" s="159"/>
      <c r="G4" s="159"/>
      <c r="H4" s="159"/>
      <c r="I4" s="159"/>
    </row>
    <row r="5" ht="12.75">
      <c r="A5" s="3"/>
    </row>
    <row r="6" spans="1:8" ht="12.75">
      <c r="A6" s="3"/>
      <c r="C6" s="29"/>
      <c r="D6" s="29"/>
      <c r="E6" s="29"/>
      <c r="F6" s="29"/>
      <c r="G6" s="29"/>
      <c r="H6" s="29"/>
    </row>
    <row r="7" spans="1:8" ht="12.75">
      <c r="A7" s="3"/>
      <c r="B7" t="s">
        <v>94</v>
      </c>
      <c r="F7" s="38">
        <v>10</v>
      </c>
      <c r="G7" s="42" t="s">
        <v>82</v>
      </c>
      <c r="H7" s="29"/>
    </row>
    <row r="8" spans="1:7" ht="12.75">
      <c r="A8" s="3"/>
      <c r="B8" t="s">
        <v>240</v>
      </c>
      <c r="F8" s="93" t="s">
        <v>362</v>
      </c>
      <c r="G8" s="6"/>
    </row>
    <row r="9" spans="1:8" ht="12.75">
      <c r="A9" s="3"/>
      <c r="B9" t="s">
        <v>166</v>
      </c>
      <c r="F9" s="97">
        <v>0.065</v>
      </c>
      <c r="H9" s="29"/>
    </row>
    <row r="10" spans="1:6" ht="12.75">
      <c r="A10" s="3"/>
      <c r="B10" t="s">
        <v>245</v>
      </c>
      <c r="F10" s="38">
        <v>0.015</v>
      </c>
    </row>
    <row r="11" spans="1:8" ht="12.75">
      <c r="A11" s="3"/>
      <c r="B11" t="s">
        <v>112</v>
      </c>
      <c r="F11" s="38">
        <v>600</v>
      </c>
      <c r="H11" s="27"/>
    </row>
    <row r="12" ht="12.75">
      <c r="A12" s="3"/>
    </row>
    <row r="13" ht="12.75">
      <c r="A13" s="3"/>
    </row>
    <row r="14" spans="1:2" ht="12.75">
      <c r="A14" s="3"/>
      <c r="B14" s="6" t="s">
        <v>168</v>
      </c>
    </row>
    <row r="15" spans="1:9" ht="12.75">
      <c r="A15" s="3"/>
      <c r="E15" s="33" t="s">
        <v>367</v>
      </c>
      <c r="F15" s="33" t="s">
        <v>366</v>
      </c>
      <c r="G15" s="10"/>
      <c r="H15" s="10"/>
      <c r="I15" s="33" t="s">
        <v>369</v>
      </c>
    </row>
    <row r="16" spans="1:9" ht="12.75">
      <c r="A16" s="3"/>
      <c r="B16" s="38" t="s">
        <v>363</v>
      </c>
      <c r="E16" s="33" t="s">
        <v>107</v>
      </c>
      <c r="F16" s="33" t="s">
        <v>178</v>
      </c>
      <c r="G16" s="33" t="s">
        <v>368</v>
      </c>
      <c r="H16" s="99" t="s">
        <v>165</v>
      </c>
      <c r="I16" s="99" t="s">
        <v>360</v>
      </c>
    </row>
    <row r="17" spans="1:9" ht="12.75">
      <c r="A17" s="3"/>
      <c r="B17" t="s">
        <v>170</v>
      </c>
      <c r="E17" s="8">
        <v>9450</v>
      </c>
      <c r="F17" s="8">
        <v>20</v>
      </c>
      <c r="G17" s="8">
        <f aca="true" t="shared" si="0" ref="G17:G23">E17/F17</f>
        <v>472.5</v>
      </c>
      <c r="H17" s="8">
        <f>(E17/2)*F9</f>
        <v>307.125</v>
      </c>
      <c r="I17" s="8">
        <f>(E17/2)*F10</f>
        <v>70.875</v>
      </c>
    </row>
    <row r="18" spans="1:9" ht="12.75">
      <c r="A18" s="3"/>
      <c r="B18" t="s">
        <v>157</v>
      </c>
      <c r="E18" s="8">
        <v>0</v>
      </c>
      <c r="F18" s="8">
        <v>10</v>
      </c>
      <c r="G18" s="8">
        <f t="shared" si="0"/>
        <v>0</v>
      </c>
      <c r="H18" s="8">
        <f>(E18/2)*F9</f>
        <v>0</v>
      </c>
      <c r="I18" s="8">
        <f>(E18/2)*F10</f>
        <v>0</v>
      </c>
    </row>
    <row r="19" spans="1:9" ht="12.75">
      <c r="A19" s="3"/>
      <c r="B19" t="s">
        <v>156</v>
      </c>
      <c r="E19" s="8">
        <v>5250</v>
      </c>
      <c r="F19" s="8">
        <v>10</v>
      </c>
      <c r="G19" s="8">
        <f t="shared" si="0"/>
        <v>525</v>
      </c>
      <c r="H19" s="8">
        <f>(E19/2)*F10</f>
        <v>39.375</v>
      </c>
      <c r="I19" s="8">
        <f>(E19/2)*F10</f>
        <v>39.375</v>
      </c>
    </row>
    <row r="20" spans="1:9" ht="12.75">
      <c r="A20" s="3"/>
      <c r="B20" t="s">
        <v>292</v>
      </c>
      <c r="E20" s="8">
        <v>10290</v>
      </c>
      <c r="F20" s="8">
        <v>25</v>
      </c>
      <c r="G20" s="8">
        <f t="shared" si="0"/>
        <v>411.6</v>
      </c>
      <c r="H20" s="8">
        <f>(E20/2)*F9</f>
        <v>334.425</v>
      </c>
      <c r="I20" s="8">
        <f>(E20/2)*F10</f>
        <v>77.175</v>
      </c>
    </row>
    <row r="21" spans="1:9" ht="12.75">
      <c r="A21" s="3"/>
      <c r="B21" t="s">
        <v>128</v>
      </c>
      <c r="E21" s="8">
        <v>1050</v>
      </c>
      <c r="F21" s="8">
        <v>15</v>
      </c>
      <c r="G21" s="8">
        <f t="shared" si="0"/>
        <v>70</v>
      </c>
      <c r="H21" s="8">
        <f>(E21/2)*F9</f>
        <v>34.125</v>
      </c>
      <c r="I21" s="8">
        <f>(E21/2)*F10</f>
        <v>7.875</v>
      </c>
    </row>
    <row r="22" spans="1:9" ht="12.75">
      <c r="A22" s="3"/>
      <c r="B22" t="s">
        <v>186</v>
      </c>
      <c r="E22" s="8"/>
      <c r="F22" s="8">
        <v>20</v>
      </c>
      <c r="G22" s="8">
        <f t="shared" si="0"/>
        <v>0</v>
      </c>
      <c r="H22" s="8">
        <f>(E22/2)*F9</f>
        <v>0</v>
      </c>
      <c r="I22" s="8">
        <f>(E22/2)*F10</f>
        <v>0</v>
      </c>
    </row>
    <row r="23" spans="1:9" ht="12.75">
      <c r="A23" s="3"/>
      <c r="B23" t="s">
        <v>163</v>
      </c>
      <c r="E23" s="8">
        <v>6825</v>
      </c>
      <c r="F23" s="8">
        <v>20</v>
      </c>
      <c r="G23" s="8">
        <f t="shared" si="0"/>
        <v>341.25</v>
      </c>
      <c r="H23" s="8">
        <f>(E23/2)*F9</f>
        <v>221.8125</v>
      </c>
      <c r="I23" s="8">
        <f>(E23/2)*F10</f>
        <v>51.1875</v>
      </c>
    </row>
    <row r="24" spans="1:9" ht="13.5" thickBot="1">
      <c r="A24" s="3"/>
      <c r="B24" s="6" t="s">
        <v>264</v>
      </c>
      <c r="E24" s="40">
        <f>SUM(E17:E23)</f>
        <v>32865</v>
      </c>
      <c r="F24" s="10"/>
      <c r="G24" s="98">
        <f>SUM(G17:G23)</f>
        <v>1820.35</v>
      </c>
      <c r="H24" s="98">
        <f>SUM(H17:H23)</f>
        <v>936.8625</v>
      </c>
      <c r="I24" s="98">
        <f>SUM(I17:I23)</f>
        <v>246.4875</v>
      </c>
    </row>
    <row r="25" spans="1:8" ht="13.5" thickTop="1">
      <c r="A25" s="3"/>
      <c r="E25" s="10"/>
      <c r="F25" s="10"/>
      <c r="G25" s="10"/>
      <c r="H25" s="10"/>
    </row>
    <row r="26" spans="1:9" ht="13.5" thickBot="1">
      <c r="A26" s="3"/>
      <c r="B26" s="6" t="s">
        <v>254</v>
      </c>
      <c r="E26" s="10"/>
      <c r="F26" s="10"/>
      <c r="G26" s="10"/>
      <c r="H26" s="10"/>
      <c r="I26" s="40">
        <f>G24+H24+I24</f>
        <v>3003.7</v>
      </c>
    </row>
    <row r="27" spans="1:9" ht="13.5" thickTop="1">
      <c r="A27" s="3"/>
      <c r="E27" s="10"/>
      <c r="F27" s="10"/>
      <c r="G27" s="10"/>
      <c r="H27" s="10"/>
      <c r="I27" s="10"/>
    </row>
    <row r="28" spans="1:9" ht="13.5" thickBot="1">
      <c r="A28" s="3"/>
      <c r="B28" s="6" t="s">
        <v>88</v>
      </c>
      <c r="E28" s="10"/>
      <c r="F28" s="10"/>
      <c r="G28" s="10"/>
      <c r="H28" s="10"/>
      <c r="I28" s="40">
        <f>I26/F7</f>
        <v>300.37</v>
      </c>
    </row>
    <row r="29" ht="13.5" thickTop="1">
      <c r="A29" s="3"/>
    </row>
    <row r="30" spans="1:9" ht="12.75">
      <c r="A30" s="3"/>
      <c r="B30" s="6" t="s">
        <v>193</v>
      </c>
      <c r="E30" s="10"/>
      <c r="F30" s="10"/>
      <c r="G30" s="10"/>
      <c r="H30" s="10"/>
      <c r="I30" s="10"/>
    </row>
    <row r="31" spans="1:9" ht="12.75">
      <c r="A31" s="3"/>
      <c r="E31" s="10"/>
      <c r="F31" s="10"/>
      <c r="G31" s="10"/>
      <c r="H31" s="10"/>
      <c r="I31" s="10"/>
    </row>
    <row r="32" spans="1:9" ht="12.75">
      <c r="A32" s="3"/>
      <c r="B32" t="s">
        <v>187</v>
      </c>
      <c r="E32" s="10"/>
      <c r="F32" s="10"/>
      <c r="G32" s="8">
        <f>IF(F7&lt;=40,5,IF(F7&lt;=100,20,IF(F7&lt;=200,40,80)))</f>
        <v>5</v>
      </c>
      <c r="H32" s="10"/>
      <c r="I32" s="10"/>
    </row>
    <row r="33" spans="1:9" ht="12.75">
      <c r="A33" s="3"/>
      <c r="B33" t="s">
        <v>229</v>
      </c>
      <c r="E33" s="10"/>
      <c r="F33" s="10"/>
      <c r="G33" s="8">
        <v>800</v>
      </c>
      <c r="H33" s="10"/>
      <c r="I33" s="10"/>
    </row>
    <row r="34" spans="1:9" ht="12.75">
      <c r="A34" s="3"/>
      <c r="B34" t="s">
        <v>89</v>
      </c>
      <c r="E34" s="10"/>
      <c r="F34" s="10"/>
      <c r="G34" s="8">
        <v>1080</v>
      </c>
      <c r="H34" s="10"/>
      <c r="I34" s="10"/>
    </row>
    <row r="35" spans="1:9" ht="12.75">
      <c r="A35" s="3"/>
      <c r="B35" t="s">
        <v>117</v>
      </c>
      <c r="E35" s="10"/>
      <c r="F35" s="10"/>
      <c r="G35" s="8"/>
      <c r="H35" s="10"/>
      <c r="I35" s="10"/>
    </row>
    <row r="36" spans="1:9" ht="12.75">
      <c r="A36" s="3"/>
      <c r="B36" s="31" t="s">
        <v>364</v>
      </c>
      <c r="E36" s="10"/>
      <c r="F36" s="10"/>
      <c r="G36" s="8">
        <f>G32*0</f>
        <v>0</v>
      </c>
      <c r="H36" s="10"/>
      <c r="I36" s="10"/>
    </row>
    <row r="37" spans="1:9" ht="12.75">
      <c r="A37" s="3"/>
      <c r="B37" s="31" t="s">
        <v>365</v>
      </c>
      <c r="E37" s="10"/>
      <c r="F37" s="10"/>
      <c r="G37" s="4">
        <v>0.12</v>
      </c>
      <c r="H37" s="10"/>
      <c r="I37" s="10"/>
    </row>
    <row r="38" spans="1:9" ht="12.75">
      <c r="A38" s="3"/>
      <c r="B38" t="s">
        <v>86</v>
      </c>
      <c r="E38" s="10"/>
      <c r="F38" s="10"/>
      <c r="G38" s="8">
        <v>600</v>
      </c>
      <c r="H38" s="10"/>
      <c r="I38" s="10"/>
    </row>
    <row r="39" spans="1:9" ht="12.75">
      <c r="A39" s="3"/>
      <c r="B39" t="s">
        <v>87</v>
      </c>
      <c r="E39" s="10"/>
      <c r="F39" s="10"/>
      <c r="G39" s="10"/>
      <c r="H39" s="10"/>
      <c r="I39" s="4">
        <f>G38/F7</f>
        <v>60</v>
      </c>
    </row>
    <row r="40" spans="1:9" ht="13.5" thickBot="1">
      <c r="A40" s="3"/>
      <c r="B40" s="6" t="s">
        <v>192</v>
      </c>
      <c r="E40" s="10"/>
      <c r="F40" s="10"/>
      <c r="G40" s="10"/>
      <c r="H40" s="10"/>
      <c r="I40" s="52">
        <f>(G33+G38)/F7</f>
        <v>140</v>
      </c>
    </row>
    <row r="41" spans="1:9" ht="13.5" thickTop="1">
      <c r="A41" s="3"/>
      <c r="B41" s="27"/>
      <c r="C41" s="27"/>
      <c r="D41" s="27"/>
      <c r="E41" s="28"/>
      <c r="F41" s="28"/>
      <c r="G41" s="28"/>
      <c r="H41" s="28"/>
      <c r="I41" s="28"/>
    </row>
    <row r="42" spans="1:9" ht="12.75">
      <c r="A42" s="3"/>
      <c r="E42" s="10"/>
      <c r="F42" s="10"/>
      <c r="G42" s="10"/>
      <c r="H42" s="10"/>
      <c r="I42" s="10"/>
    </row>
    <row r="43" spans="1:9" ht="13.5" thickBot="1">
      <c r="A43" s="3"/>
      <c r="B43" s="6" t="s">
        <v>253</v>
      </c>
      <c r="E43" s="10"/>
      <c r="F43" s="10"/>
      <c r="G43" s="10"/>
      <c r="H43" s="10"/>
      <c r="I43" s="52">
        <f>I28+I40</f>
        <v>440.37</v>
      </c>
    </row>
    <row r="44" ht="13.5" thickTop="1">
      <c r="A44" s="3"/>
    </row>
    <row r="45" spans="1:9" ht="12.75">
      <c r="A45" s="3"/>
      <c r="B45" s="31" t="s">
        <v>371</v>
      </c>
      <c r="E45" s="10"/>
      <c r="F45" s="10"/>
      <c r="G45" s="10"/>
      <c r="H45" s="10"/>
      <c r="I45" s="10"/>
    </row>
    <row r="46" spans="1:9" ht="12.75">
      <c r="A46" s="3"/>
      <c r="B46" s="31" t="s">
        <v>370</v>
      </c>
      <c r="E46" s="10"/>
      <c r="F46" s="10"/>
      <c r="G46" s="10"/>
      <c r="H46" s="10"/>
      <c r="I46" s="10"/>
    </row>
    <row r="47" ht="12.75">
      <c r="A47" s="3"/>
    </row>
    <row r="48" ht="12.75">
      <c r="A48" s="3"/>
    </row>
    <row r="49" spans="1:9" ht="12.75">
      <c r="A49" s="3"/>
      <c r="E49" s="10"/>
      <c r="F49" s="10"/>
      <c r="G49" s="10"/>
      <c r="H49" s="10"/>
      <c r="I49" s="10"/>
    </row>
    <row r="50" spans="1:9" ht="12.75">
      <c r="A50" s="3"/>
      <c r="E50" s="10"/>
      <c r="F50" s="10"/>
      <c r="G50" s="10"/>
      <c r="H50" s="10"/>
      <c r="I50" s="10"/>
    </row>
    <row r="51" spans="1:9" ht="12.75">
      <c r="A51" s="3"/>
      <c r="E51" s="10"/>
      <c r="F51" s="10"/>
      <c r="G51" s="10"/>
      <c r="H51" s="10"/>
      <c r="I51" s="10"/>
    </row>
    <row r="52" ht="12.75">
      <c r="A52" s="3"/>
    </row>
    <row r="53" ht="12.75">
      <c r="A53" s="3"/>
    </row>
    <row r="54" spans="1:9" ht="12.75">
      <c r="A54" s="3"/>
      <c r="E54" s="10"/>
      <c r="F54" s="10"/>
      <c r="G54" s="10"/>
      <c r="H54" s="10"/>
      <c r="I54" s="10"/>
    </row>
    <row r="55" spans="1:9" ht="12.75">
      <c r="A55" s="3"/>
      <c r="E55" s="10"/>
      <c r="F55" s="10"/>
      <c r="G55" s="10"/>
      <c r="H55" s="10"/>
      <c r="I55" s="10"/>
    </row>
    <row r="56" spans="1:9" ht="12.75">
      <c r="A56" s="3"/>
      <c r="E56" s="10"/>
      <c r="F56" s="10"/>
      <c r="G56" s="10"/>
      <c r="H56" s="10"/>
      <c r="I56" s="10"/>
    </row>
    <row r="60" spans="2:10" ht="12.75">
      <c r="B60" s="64"/>
      <c r="C60" s="64"/>
      <c r="D60" s="64"/>
      <c r="E60" s="64"/>
      <c r="F60" s="64"/>
      <c r="G60" s="64"/>
      <c r="H60" s="64"/>
      <c r="I60" s="64"/>
      <c r="J60" s="65"/>
    </row>
    <row r="61" spans="2:10" ht="12.75">
      <c r="B61" s="151"/>
      <c r="C61" s="151"/>
      <c r="D61" s="151"/>
      <c r="E61" s="151"/>
      <c r="F61" s="151"/>
      <c r="G61" s="151"/>
      <c r="H61" s="151"/>
      <c r="I61" s="151"/>
      <c r="J61" s="151"/>
    </row>
    <row r="62" spans="2:10" ht="12.75">
      <c r="B62" s="151"/>
      <c r="C62" s="151"/>
      <c r="D62" s="151"/>
      <c r="E62" s="151"/>
      <c r="F62" s="151"/>
      <c r="G62" s="151"/>
      <c r="H62" s="151"/>
      <c r="I62" s="151"/>
      <c r="J62" s="151"/>
    </row>
  </sheetData>
  <sheetProtection/>
  <mergeCells count="4">
    <mergeCell ref="B4:I4"/>
    <mergeCell ref="B3:I3"/>
    <mergeCell ref="B62:J62"/>
    <mergeCell ref="B61:J6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2:N65"/>
  <sheetViews>
    <sheetView zoomScale="130" zoomScaleNormal="130" workbookViewId="0" topLeftCell="A1">
      <selection activeCell="F27" sqref="F27"/>
    </sheetView>
  </sheetViews>
  <sheetFormatPr defaultColWidth="9.140625" defaultRowHeight="12.75"/>
  <cols>
    <col min="1" max="1" width="2.57421875" style="0" customWidth="1"/>
    <col min="2" max="2" width="11.7109375" style="0" customWidth="1"/>
    <col min="3" max="3" width="9.00390625" style="0" customWidth="1"/>
    <col min="4" max="4" width="10.7109375" style="0" customWidth="1"/>
    <col min="5" max="5" width="8.7109375" style="0" customWidth="1"/>
    <col min="6" max="6" width="14.00390625" style="0" customWidth="1"/>
    <col min="7" max="7" width="13.28125" style="0" customWidth="1"/>
    <col min="8" max="8" width="11.00390625" style="0" customWidth="1"/>
    <col min="9" max="9" width="12.421875" style="0" customWidth="1"/>
  </cols>
  <sheetData>
    <row r="2" spans="2:8" ht="15">
      <c r="B2" s="160" t="s">
        <v>321</v>
      </c>
      <c r="C2" s="160"/>
      <c r="D2" s="160"/>
      <c r="E2" s="160"/>
      <c r="F2" s="160"/>
      <c r="G2" s="160"/>
      <c r="H2" s="160"/>
    </row>
    <row r="3" spans="2:8" ht="15">
      <c r="B3" s="159" t="s">
        <v>334</v>
      </c>
      <c r="C3" s="159"/>
      <c r="D3" s="159"/>
      <c r="E3" s="159"/>
      <c r="F3" s="159"/>
      <c r="G3" s="159"/>
      <c r="H3" s="159"/>
    </row>
    <row r="4" spans="3:7" ht="15">
      <c r="C4" s="165"/>
      <c r="D4" s="166"/>
      <c r="E4" s="166"/>
      <c r="F4" s="166"/>
      <c r="G4" s="166"/>
    </row>
    <row r="5" spans="2:9" ht="15">
      <c r="B5" t="s">
        <v>94</v>
      </c>
      <c r="E5" s="17">
        <v>10</v>
      </c>
      <c r="F5" s="4" t="s">
        <v>83</v>
      </c>
      <c r="I5" s="76"/>
    </row>
    <row r="6" spans="2:6" ht="12.75">
      <c r="B6" s="31" t="s">
        <v>373</v>
      </c>
      <c r="E6" s="33" t="s">
        <v>376</v>
      </c>
      <c r="F6" s="10"/>
    </row>
    <row r="7" spans="2:6" ht="12.75">
      <c r="B7" t="s">
        <v>166</v>
      </c>
      <c r="E7" s="10"/>
      <c r="F7" s="24">
        <v>0.065</v>
      </c>
    </row>
    <row r="8" spans="2:6" ht="12.75">
      <c r="B8" t="s">
        <v>245</v>
      </c>
      <c r="E8" s="10"/>
      <c r="F8" s="10">
        <v>0.015</v>
      </c>
    </row>
    <row r="9" spans="2:6" ht="12.75">
      <c r="B9" t="s">
        <v>112</v>
      </c>
      <c r="E9" s="10"/>
      <c r="F9" s="8">
        <v>600</v>
      </c>
    </row>
    <row r="10" spans="1:2" ht="12.75">
      <c r="A10" s="30"/>
      <c r="B10" s="6" t="s">
        <v>168</v>
      </c>
    </row>
    <row r="11" spans="1:8" ht="12.75">
      <c r="A11" s="30"/>
      <c r="D11" s="32" t="s">
        <v>367</v>
      </c>
      <c r="E11" s="32" t="s">
        <v>366</v>
      </c>
      <c r="F11" s="32" t="s">
        <v>368</v>
      </c>
      <c r="G11" s="78" t="s">
        <v>165</v>
      </c>
      <c r="H11" s="78" t="s">
        <v>359</v>
      </c>
    </row>
    <row r="12" spans="1:8" ht="12.75">
      <c r="A12" s="30"/>
      <c r="D12" s="16" t="s">
        <v>107</v>
      </c>
      <c r="E12" s="32" t="s">
        <v>178</v>
      </c>
      <c r="F12" s="10"/>
      <c r="G12" s="10"/>
      <c r="H12" s="32" t="s">
        <v>372</v>
      </c>
    </row>
    <row r="13" spans="1:8" ht="12.75">
      <c r="A13" s="30"/>
      <c r="B13" s="31" t="s">
        <v>303</v>
      </c>
      <c r="D13" s="8">
        <v>10080</v>
      </c>
      <c r="E13" s="8">
        <v>20</v>
      </c>
      <c r="F13" s="8">
        <f aca="true" t="shared" si="0" ref="F13:F23">D13/E13</f>
        <v>504</v>
      </c>
      <c r="G13" s="8">
        <f>(D13/2)*F7</f>
        <v>327.6</v>
      </c>
      <c r="H13" s="8">
        <f>(D13/2)*F8</f>
        <v>75.6</v>
      </c>
    </row>
    <row r="14" spans="1:8" ht="12.75">
      <c r="A14" s="30"/>
      <c r="B14" s="31" t="s">
        <v>304</v>
      </c>
      <c r="D14" s="8">
        <v>1470</v>
      </c>
      <c r="E14" s="8">
        <v>10</v>
      </c>
      <c r="F14" s="8">
        <f t="shared" si="0"/>
        <v>147</v>
      </c>
      <c r="G14" s="8">
        <f>(D14/2)*F7</f>
        <v>47.775</v>
      </c>
      <c r="H14" s="8">
        <f>(D14/2)*F8</f>
        <v>11.025</v>
      </c>
    </row>
    <row r="15" spans="1:8" ht="12.75">
      <c r="A15" s="30"/>
      <c r="B15" s="31" t="s">
        <v>305</v>
      </c>
      <c r="D15" s="8">
        <v>52500</v>
      </c>
      <c r="E15" s="8">
        <v>25</v>
      </c>
      <c r="F15" s="8">
        <f t="shared" si="0"/>
        <v>2100</v>
      </c>
      <c r="G15" s="8">
        <f>(D15/2)*F7</f>
        <v>1706.25</v>
      </c>
      <c r="H15" s="8">
        <f>(D15/2)*F8</f>
        <v>393.75</v>
      </c>
    </row>
    <row r="16" spans="1:14" ht="12.75">
      <c r="A16" s="30"/>
      <c r="B16" t="s">
        <v>223</v>
      </c>
      <c r="D16" s="8">
        <v>16800</v>
      </c>
      <c r="E16" s="8">
        <v>15</v>
      </c>
      <c r="F16" s="8">
        <f t="shared" si="0"/>
        <v>1120</v>
      </c>
      <c r="G16" s="8">
        <f>(D16/2)*F7</f>
        <v>546</v>
      </c>
      <c r="H16" s="8">
        <f>(D16/2)*F$8</f>
        <v>126</v>
      </c>
      <c r="N16" s="30"/>
    </row>
    <row r="17" spans="1:8" ht="12.75">
      <c r="A17" s="30"/>
      <c r="B17" t="s">
        <v>103</v>
      </c>
      <c r="D17" s="8">
        <v>1.05</v>
      </c>
      <c r="E17" s="8">
        <v>10</v>
      </c>
      <c r="F17" s="8">
        <f t="shared" si="0"/>
        <v>0.10500000000000001</v>
      </c>
      <c r="G17" s="8">
        <f>(D18/2)*F7</f>
        <v>68.25</v>
      </c>
      <c r="H17" s="8">
        <f>(D17/2)*F8</f>
        <v>0.007875</v>
      </c>
    </row>
    <row r="18" spans="1:8" ht="12.75">
      <c r="A18" s="30"/>
      <c r="B18" t="s">
        <v>133</v>
      </c>
      <c r="D18" s="8">
        <v>2100</v>
      </c>
      <c r="E18" s="8">
        <v>5</v>
      </c>
      <c r="F18" s="8">
        <f t="shared" si="0"/>
        <v>420</v>
      </c>
      <c r="G18" s="8">
        <f>(D18/2)*F7</f>
        <v>68.25</v>
      </c>
      <c r="H18" s="8">
        <f>(D18/2)*F$8</f>
        <v>15.75</v>
      </c>
    </row>
    <row r="19" spans="1:8" ht="12.75">
      <c r="A19" s="30"/>
      <c r="B19" t="s">
        <v>183</v>
      </c>
      <c r="D19" s="8">
        <v>2100</v>
      </c>
      <c r="E19" s="8">
        <v>5</v>
      </c>
      <c r="F19" s="8">
        <f t="shared" si="0"/>
        <v>420</v>
      </c>
      <c r="G19" s="8">
        <f>(D19/2)*F7</f>
        <v>68.25</v>
      </c>
      <c r="H19" s="8">
        <f>(D19/2)*F$8</f>
        <v>15.75</v>
      </c>
    </row>
    <row r="20" spans="1:8" ht="12.75">
      <c r="A20" s="30"/>
      <c r="B20" t="s">
        <v>110</v>
      </c>
      <c r="D20" s="8">
        <v>525</v>
      </c>
      <c r="E20" s="8">
        <v>5</v>
      </c>
      <c r="F20" s="8">
        <f t="shared" si="0"/>
        <v>105</v>
      </c>
      <c r="G20" s="8">
        <f>(D20/2)*F7</f>
        <v>17.0625</v>
      </c>
      <c r="H20" s="8">
        <f>(D20/2)*F$8</f>
        <v>3.9375</v>
      </c>
    </row>
    <row r="21" spans="1:8" ht="12.75">
      <c r="A21" s="30"/>
      <c r="B21" t="s">
        <v>289</v>
      </c>
      <c r="D21" s="8">
        <v>1575</v>
      </c>
      <c r="E21" s="8">
        <v>20</v>
      </c>
      <c r="F21" s="8">
        <f t="shared" si="0"/>
        <v>78.75</v>
      </c>
      <c r="G21" s="8">
        <f>(D21/2)*F7</f>
        <v>51.1875</v>
      </c>
      <c r="H21" s="8">
        <f>(D21/2)*F8</f>
        <v>11.8125</v>
      </c>
    </row>
    <row r="22" spans="1:8" ht="12.75">
      <c r="A22" s="30"/>
      <c r="B22" t="s">
        <v>185</v>
      </c>
      <c r="D22" s="8">
        <v>656</v>
      </c>
      <c r="E22" s="8">
        <v>5</v>
      </c>
      <c r="F22" s="8">
        <f t="shared" si="0"/>
        <v>131.2</v>
      </c>
      <c r="G22" s="8">
        <f>(D22/2)*F7</f>
        <v>21.32</v>
      </c>
      <c r="H22" s="8">
        <f>(D22/2)*F8</f>
        <v>4.92</v>
      </c>
    </row>
    <row r="23" spans="1:8" ht="12.75">
      <c r="A23" s="30"/>
      <c r="B23" t="s">
        <v>162</v>
      </c>
      <c r="D23" s="8">
        <v>3150</v>
      </c>
      <c r="E23" s="8">
        <v>20</v>
      </c>
      <c r="F23" s="8">
        <f t="shared" si="0"/>
        <v>157.5</v>
      </c>
      <c r="G23" s="8">
        <f>(D23/2)*F7</f>
        <v>102.375</v>
      </c>
      <c r="H23" s="8">
        <f>(D23/2)*F8</f>
        <v>23.625</v>
      </c>
    </row>
    <row r="24" spans="1:8" ht="13.5" thickBot="1">
      <c r="A24" s="30"/>
      <c r="B24" s="6" t="s">
        <v>264</v>
      </c>
      <c r="D24" s="40">
        <f>SUM(D13:D23)</f>
        <v>90957.05</v>
      </c>
      <c r="E24" s="10"/>
      <c r="F24" s="98">
        <f>SUM(F13:F23)</f>
        <v>5183.554999999999</v>
      </c>
      <c r="G24" s="98">
        <f>SUM(G13:G23)</f>
        <v>3024.32</v>
      </c>
      <c r="H24" s="98">
        <f>SUM(H13:H23)</f>
        <v>682.177875</v>
      </c>
    </row>
    <row r="25" spans="1:8" ht="13.5" thickTop="1">
      <c r="A25" s="30"/>
      <c r="D25" s="10"/>
      <c r="E25" s="10"/>
      <c r="F25" s="10"/>
      <c r="G25" s="10"/>
      <c r="H25" s="10"/>
    </row>
    <row r="26" spans="1:8" ht="13.5" thickBot="1">
      <c r="A26" s="30"/>
      <c r="B26" s="6" t="s">
        <v>254</v>
      </c>
      <c r="D26" s="10"/>
      <c r="E26" s="10"/>
      <c r="F26" s="10"/>
      <c r="G26" s="10"/>
      <c r="H26" s="40">
        <f>F24+G24+H24</f>
        <v>8890.052875</v>
      </c>
    </row>
    <row r="27" spans="1:8" ht="14.25" thickBot="1" thickTop="1">
      <c r="A27" s="30"/>
      <c r="B27" s="6" t="s">
        <v>88</v>
      </c>
      <c r="D27" s="10"/>
      <c r="E27" s="10"/>
      <c r="F27" s="10"/>
      <c r="G27" s="10"/>
      <c r="H27" s="52">
        <f>H26/E5</f>
        <v>889.0052874999999</v>
      </c>
    </row>
    <row r="28" spans="1:8" ht="13.5" thickTop="1">
      <c r="A28" s="30"/>
      <c r="B28" s="6" t="s">
        <v>193</v>
      </c>
      <c r="D28" s="10"/>
      <c r="E28" s="10"/>
      <c r="F28" s="10"/>
      <c r="G28" s="10"/>
      <c r="H28" s="10"/>
    </row>
    <row r="29" spans="1:8" ht="12.75">
      <c r="A29" s="30"/>
      <c r="B29" t="s">
        <v>187</v>
      </c>
      <c r="D29" s="10"/>
      <c r="E29" s="10"/>
      <c r="F29" s="10">
        <v>50</v>
      </c>
      <c r="G29" s="10"/>
      <c r="H29" s="10"/>
    </row>
    <row r="30" spans="1:8" ht="12.75">
      <c r="A30" s="30"/>
      <c r="B30" t="s">
        <v>229</v>
      </c>
      <c r="D30" s="10"/>
      <c r="E30" s="10"/>
      <c r="F30" s="8">
        <v>625</v>
      </c>
      <c r="G30" s="10"/>
      <c r="H30" s="10"/>
    </row>
    <row r="31" spans="1:8" ht="12.75">
      <c r="A31" s="30"/>
      <c r="B31" t="s">
        <v>89</v>
      </c>
      <c r="D31" s="10"/>
      <c r="E31" s="10"/>
      <c r="F31" s="10">
        <v>100</v>
      </c>
      <c r="G31" s="10"/>
      <c r="H31" s="10"/>
    </row>
    <row r="32" spans="1:8" ht="12.75">
      <c r="A32" s="30"/>
      <c r="B32" t="s">
        <v>117</v>
      </c>
      <c r="D32" s="10"/>
      <c r="E32" s="10"/>
      <c r="F32" s="10"/>
      <c r="G32" s="10"/>
      <c r="H32" s="10"/>
    </row>
    <row r="33" spans="1:8" ht="12.75">
      <c r="A33" s="30"/>
      <c r="B33" t="s">
        <v>12</v>
      </c>
      <c r="D33" s="10"/>
      <c r="E33" s="10"/>
      <c r="F33" s="10">
        <v>1100</v>
      </c>
      <c r="G33" s="10"/>
      <c r="H33" s="10"/>
    </row>
    <row r="34" spans="1:8" ht="12.75">
      <c r="A34" s="30"/>
      <c r="B34" t="s">
        <v>32</v>
      </c>
      <c r="D34" s="10"/>
      <c r="E34" s="10"/>
      <c r="F34" s="10">
        <v>0.12</v>
      </c>
      <c r="G34" s="10"/>
      <c r="H34" s="10"/>
    </row>
    <row r="35" spans="1:8" ht="12.75">
      <c r="A35" s="30"/>
      <c r="B35" t="s">
        <v>86</v>
      </c>
      <c r="D35" s="10"/>
      <c r="E35" s="10"/>
      <c r="F35" s="8">
        <v>1245</v>
      </c>
      <c r="G35" s="10"/>
      <c r="H35" s="10"/>
    </row>
    <row r="36" spans="1:8" ht="12.75">
      <c r="A36" s="30"/>
      <c r="B36" t="s">
        <v>87</v>
      </c>
      <c r="D36" s="10"/>
      <c r="E36" s="10"/>
      <c r="F36" s="10"/>
      <c r="G36" s="10"/>
      <c r="H36" s="4">
        <f>F35/E5</f>
        <v>124.5</v>
      </c>
    </row>
    <row r="37" spans="1:8" ht="13.5" thickBot="1">
      <c r="A37" s="30"/>
      <c r="B37" s="6" t="s">
        <v>192</v>
      </c>
      <c r="D37" s="10"/>
      <c r="E37" s="10"/>
      <c r="F37" s="10"/>
      <c r="G37" s="10"/>
      <c r="H37" s="52">
        <f>(F30+F35)/E5</f>
        <v>187</v>
      </c>
    </row>
    <row r="38" spans="1:8" ht="13.5" thickTop="1">
      <c r="A38" s="30"/>
      <c r="D38" s="10"/>
      <c r="E38" s="10"/>
      <c r="F38" s="10"/>
      <c r="G38" s="10"/>
      <c r="H38" s="10"/>
    </row>
    <row r="39" spans="1:8" ht="13.5" thickBot="1">
      <c r="A39" s="30"/>
      <c r="B39" s="6" t="s">
        <v>253</v>
      </c>
      <c r="D39" s="10"/>
      <c r="E39" s="10"/>
      <c r="F39" s="10"/>
      <c r="G39" s="10"/>
      <c r="H39" s="52">
        <f>H27+H37</f>
        <v>1076.0052875</v>
      </c>
    </row>
    <row r="40" ht="13.5" thickTop="1">
      <c r="A40" s="30"/>
    </row>
    <row r="41" spans="1:8" ht="12.75">
      <c r="A41" s="30"/>
      <c r="B41" s="100" t="s">
        <v>71</v>
      </c>
      <c r="C41" s="100"/>
      <c r="D41" s="100"/>
      <c r="E41" s="100"/>
      <c r="F41" s="100"/>
      <c r="G41" s="100"/>
      <c r="H41" s="100"/>
    </row>
    <row r="42" spans="1:8" ht="12.75">
      <c r="A42" s="30"/>
      <c r="B42" s="100" t="s">
        <v>331</v>
      </c>
      <c r="C42" s="100"/>
      <c r="D42" s="100"/>
      <c r="E42" s="100"/>
      <c r="F42" s="100"/>
      <c r="G42" s="100"/>
      <c r="H42" s="100"/>
    </row>
    <row r="43" spans="1:8" ht="12.75">
      <c r="A43" s="30"/>
      <c r="B43" s="100" t="s">
        <v>7</v>
      </c>
      <c r="C43" s="100"/>
      <c r="D43" s="100"/>
      <c r="E43" s="100"/>
      <c r="F43" s="100"/>
      <c r="G43" s="100"/>
      <c r="H43" s="100"/>
    </row>
    <row r="44" spans="1:8" ht="12.75">
      <c r="A44" s="30"/>
      <c r="B44" s="100" t="s">
        <v>6</v>
      </c>
      <c r="C44" s="100"/>
      <c r="D44" s="100"/>
      <c r="E44" s="100"/>
      <c r="F44" s="100"/>
      <c r="G44" s="100"/>
      <c r="H44" s="100"/>
    </row>
    <row r="45" spans="1:9" ht="12.75">
      <c r="A45" s="30"/>
      <c r="I45" s="100"/>
    </row>
    <row r="46" spans="1:9" ht="12.75">
      <c r="A46" s="30"/>
      <c r="B46" s="100" t="s">
        <v>375</v>
      </c>
      <c r="I46" s="100"/>
    </row>
    <row r="47" spans="1:9" ht="12.75">
      <c r="A47" s="30"/>
      <c r="B47" s="100" t="s">
        <v>374</v>
      </c>
      <c r="I47" s="100"/>
    </row>
    <row r="48" spans="1:9" ht="12.75">
      <c r="A48" s="30"/>
      <c r="I48" s="100"/>
    </row>
    <row r="49" spans="1:9" ht="12.75">
      <c r="A49" s="30"/>
      <c r="B49" s="100"/>
      <c r="C49" s="100"/>
      <c r="D49" s="100"/>
      <c r="E49" s="100"/>
      <c r="F49" s="100"/>
      <c r="G49" s="100"/>
      <c r="H49" s="100"/>
      <c r="I49" s="100"/>
    </row>
    <row r="50" spans="1:9" ht="12.75">
      <c r="A50" s="30"/>
      <c r="B50" s="31"/>
      <c r="C50" s="31"/>
      <c r="D50" s="31"/>
      <c r="E50" s="31"/>
      <c r="F50" s="31"/>
      <c r="G50" s="31"/>
      <c r="H50" s="31"/>
      <c r="I50" s="31"/>
    </row>
    <row r="51" spans="1:9" ht="12.75">
      <c r="A51" s="30"/>
      <c r="C51" s="100"/>
      <c r="D51" s="100"/>
      <c r="E51" s="100"/>
      <c r="F51" s="100"/>
      <c r="G51" s="100"/>
      <c r="H51" s="100"/>
      <c r="I51" s="100"/>
    </row>
    <row r="52" spans="1:8" ht="12.75">
      <c r="A52" s="30"/>
      <c r="D52" s="10"/>
      <c r="E52" s="10"/>
      <c r="F52" s="10"/>
      <c r="G52" s="10"/>
      <c r="H52" s="10"/>
    </row>
    <row r="53" spans="1:10" ht="12.75">
      <c r="A53" s="30"/>
      <c r="J53" s="34"/>
    </row>
    <row r="54" spans="1:10" ht="12.75">
      <c r="A54" s="30"/>
      <c r="J54" s="34"/>
    </row>
    <row r="55" spans="1:10" ht="12.75">
      <c r="A55" s="30"/>
      <c r="J55" s="34"/>
    </row>
    <row r="56" ht="12.75">
      <c r="J56" s="34"/>
    </row>
    <row r="57" ht="12.75">
      <c r="J57" s="34"/>
    </row>
    <row r="58" ht="12.75">
      <c r="J58" s="34"/>
    </row>
    <row r="59" ht="12.75">
      <c r="J59" s="34"/>
    </row>
    <row r="63" spans="2:10" ht="12.75">
      <c r="B63" s="64"/>
      <c r="C63" s="64"/>
      <c r="D63" s="64"/>
      <c r="E63" s="64"/>
      <c r="F63" s="64"/>
      <c r="G63" s="64"/>
      <c r="H63" s="64"/>
      <c r="I63" s="64"/>
      <c r="J63" s="65"/>
    </row>
    <row r="64" spans="2:10" ht="12.75">
      <c r="B64" s="151"/>
      <c r="C64" s="151"/>
      <c r="D64" s="151"/>
      <c r="E64" s="151"/>
      <c r="F64" s="151"/>
      <c r="G64" s="151"/>
      <c r="H64" s="151"/>
      <c r="I64" s="151"/>
      <c r="J64" s="151"/>
    </row>
    <row r="65" spans="2:10" ht="12.75">
      <c r="B65" s="151"/>
      <c r="C65" s="151"/>
      <c r="D65" s="151"/>
      <c r="E65" s="151"/>
      <c r="F65" s="151"/>
      <c r="G65" s="151"/>
      <c r="H65" s="151"/>
      <c r="I65" s="151"/>
      <c r="J65" s="151"/>
    </row>
  </sheetData>
  <sheetProtection/>
  <mergeCells count="5">
    <mergeCell ref="B65:J65"/>
    <mergeCell ref="C4:G4"/>
    <mergeCell ref="B64:J64"/>
    <mergeCell ref="B2:H2"/>
    <mergeCell ref="B3:H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2020-03-12T17:29:33Z</cp:lastPrinted>
  <dcterms:created xsi:type="dcterms:W3CDTF">2017-06-26T16:31:50Z</dcterms:created>
  <dcterms:modified xsi:type="dcterms:W3CDTF">2021-12-26T16:21:06Z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