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ziehl/Desktop/2022 M&amp;B/"/>
    </mc:Choice>
  </mc:AlternateContent>
  <xr:revisionPtr revIDLastSave="0" documentId="13_ncr:1_{8C69265E-C6B0-B946-8CBC-BFD27294CF9D}" xr6:coauthVersionLast="47" xr6:coauthVersionMax="47" xr10:uidLastSave="{00000000-0000-0000-0000-000000000000}"/>
  <bookViews>
    <workbookView xWindow="6740" yWindow="500" windowWidth="21660" windowHeight="1940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2" l="1"/>
  <c r="B21" i="2"/>
  <c r="L16" i="2"/>
  <c r="B16" i="2"/>
  <c r="L14" i="2"/>
  <c r="B14" i="2"/>
  <c r="L35" i="1"/>
  <c r="B35" i="1"/>
  <c r="L20" i="1"/>
  <c r="B20" i="1"/>
  <c r="B15" i="1"/>
  <c r="L15" i="1"/>
  <c r="L13" i="1"/>
  <c r="B13" i="1"/>
  <c r="D36" i="2"/>
  <c r="N36" i="2"/>
  <c r="D21" i="2"/>
  <c r="N21" i="2"/>
  <c r="N20" i="2"/>
  <c r="D20" i="2"/>
  <c r="N16" i="2"/>
  <c r="D16" i="2"/>
  <c r="D14" i="2"/>
  <c r="N14" i="2"/>
  <c r="D35" i="1"/>
  <c r="N35" i="1"/>
  <c r="D20" i="1"/>
  <c r="N20" i="1"/>
  <c r="N19" i="1"/>
  <c r="D19" i="1"/>
  <c r="N15" i="1"/>
  <c r="D15" i="1"/>
  <c r="N13" i="1"/>
  <c r="D13" i="1"/>
  <c r="H36" i="2"/>
  <c r="R36" i="2"/>
  <c r="R21" i="2"/>
  <c r="H21" i="2"/>
  <c r="R16" i="2"/>
  <c r="H16" i="2"/>
  <c r="R14" i="2"/>
  <c r="H14" i="2"/>
  <c r="R11" i="2"/>
  <c r="H11" i="2"/>
  <c r="R35" i="1"/>
  <c r="H35" i="1"/>
  <c r="R20" i="1"/>
  <c r="H20" i="1"/>
  <c r="R15" i="1"/>
  <c r="H15" i="1"/>
  <c r="J15" i="1"/>
  <c r="R13" i="1"/>
  <c r="H13" i="1"/>
  <c r="R11" i="1"/>
  <c r="H11" i="1"/>
  <c r="T35" i="1"/>
  <c r="T20" i="1"/>
  <c r="T15" i="1"/>
  <c r="T13" i="1"/>
  <c r="T21" i="2"/>
  <c r="T16" i="2"/>
  <c r="T14" i="2"/>
  <c r="J36" i="2"/>
  <c r="J23" i="2"/>
  <c r="J21" i="2"/>
  <c r="J16" i="2"/>
  <c r="J14" i="2"/>
  <c r="J35" i="1"/>
  <c r="J20" i="1"/>
  <c r="J13" i="1"/>
  <c r="P36" i="2"/>
  <c r="P21" i="2"/>
  <c r="P16" i="2"/>
  <c r="P14" i="2"/>
  <c r="P35" i="1"/>
  <c r="P22" i="1"/>
  <c r="P20" i="1"/>
  <c r="P15" i="1"/>
  <c r="P13" i="1"/>
  <c r="F36" i="2"/>
  <c r="F21" i="2"/>
  <c r="F16" i="2"/>
  <c r="F14" i="2"/>
  <c r="F11" i="2"/>
  <c r="F35" i="1"/>
  <c r="F20" i="1"/>
  <c r="F15" i="1"/>
  <c r="F13" i="1"/>
  <c r="V35" i="1" l="1"/>
  <c r="V20" i="1"/>
  <c r="V15" i="1"/>
  <c r="V13" i="1"/>
  <c r="X35" i="1"/>
  <c r="X20" i="1"/>
  <c r="X19" i="1"/>
  <c r="X15" i="1"/>
  <c r="X13" i="1"/>
  <c r="X11" i="1"/>
  <c r="T36" i="2"/>
  <c r="L36" i="2"/>
  <c r="A23" i="17" l="1"/>
  <c r="A12" i="17"/>
  <c r="F8" i="2"/>
  <c r="L27" i="1" l="1"/>
  <c r="B27" i="1"/>
  <c r="B28" i="2"/>
  <c r="L28" i="2"/>
  <c r="B19" i="1"/>
  <c r="L19" i="1"/>
  <c r="B12" i="1"/>
  <c r="J21" i="1" l="1"/>
  <c r="H21" i="1"/>
  <c r="F21" i="1"/>
  <c r="B21" i="1"/>
  <c r="B26" i="1" s="1"/>
  <c r="D21" i="1"/>
  <c r="J8" i="2" l="1"/>
  <c r="H8" i="2"/>
  <c r="T19" i="1" l="1"/>
  <c r="T26" i="1" s="1"/>
  <c r="H24" i="2" l="1"/>
  <c r="H19" i="1" l="1"/>
  <c r="H26" i="1" s="1"/>
  <c r="R19" i="1"/>
  <c r="R26" i="1" s="1"/>
  <c r="D26" i="1" l="1"/>
  <c r="D48" i="2" l="1"/>
  <c r="N24" i="2" l="1"/>
  <c r="P24" i="2"/>
  <c r="D24" i="2"/>
  <c r="F24" i="2"/>
  <c r="D4" i="9"/>
  <c r="T24" i="2"/>
  <c r="L24" i="2"/>
  <c r="J24" i="2"/>
  <c r="B24" i="2"/>
  <c r="P19" i="1"/>
  <c r="P26" i="1" s="1"/>
  <c r="F19" i="1"/>
  <c r="F26" i="1" s="1"/>
  <c r="X26" i="1"/>
  <c r="V19" i="1"/>
  <c r="V26" i="1" s="1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26" i="1"/>
  <c r="N7" i="1"/>
  <c r="N28" i="1" s="1"/>
  <c r="L12" i="1"/>
  <c r="L26" i="1" s="1"/>
  <c r="L8" i="1"/>
  <c r="L9" i="1" s="1"/>
  <c r="J19" i="1"/>
  <c r="J26" i="1" s="1"/>
  <c r="J28" i="1"/>
  <c r="F28" i="1"/>
  <c r="D7" i="1"/>
  <c r="B269" i="11" s="1"/>
  <c r="D28" i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K13" i="3" s="1"/>
  <c r="I13" i="3" s="1"/>
  <c r="B2" i="3"/>
  <c r="C2" i="3"/>
  <c r="D2" i="3"/>
  <c r="E2" i="3"/>
  <c r="F2" i="3"/>
  <c r="G2" i="3"/>
  <c r="V9" i="1"/>
  <c r="H9" i="1"/>
  <c r="B9" i="1"/>
  <c r="F9" i="1"/>
  <c r="B371" i="16"/>
  <c r="B270" i="16"/>
  <c r="B269" i="16"/>
  <c r="B134" i="11"/>
  <c r="C3" i="9"/>
  <c r="K23" i="9" s="1"/>
  <c r="B133" i="16"/>
  <c r="F4" i="7"/>
  <c r="A26" i="7" s="1"/>
  <c r="J9" i="1"/>
  <c r="B371" i="11"/>
  <c r="B202" i="11"/>
  <c r="B167" i="11"/>
  <c r="C4" i="10"/>
  <c r="B201" i="11"/>
  <c r="B31" i="11"/>
  <c r="F9" i="2"/>
  <c r="C3" i="7"/>
  <c r="K23" i="7" s="1"/>
  <c r="C25" i="10"/>
  <c r="B32" i="11"/>
  <c r="C46" i="10" l="1"/>
  <c r="B31" i="16"/>
  <c r="B201" i="16"/>
  <c r="B167" i="16"/>
  <c r="B168" i="16"/>
  <c r="L20" i="2"/>
  <c r="B20" i="2"/>
  <c r="F22" i="2"/>
  <c r="H22" i="2"/>
  <c r="D22" i="2"/>
  <c r="J22" i="2"/>
  <c r="B22" i="2"/>
  <c r="X30" i="1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L30" i="1"/>
  <c r="D29" i="1"/>
  <c r="D30" i="1" s="1"/>
  <c r="C3" i="10" s="1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B40" i="10" s="1"/>
  <c r="D4" i="8"/>
  <c r="D5" i="8" s="1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E5" i="8"/>
  <c r="N55" i="10"/>
  <c r="N54" i="10" s="1"/>
  <c r="N53" i="10" s="1"/>
  <c r="E5" i="9"/>
  <c r="D5" i="9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J23" i="7"/>
  <c r="I23" i="7"/>
  <c r="M23" i="7"/>
  <c r="L2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I23" i="9"/>
  <c r="L23" i="9"/>
  <c r="J23" i="9"/>
  <c r="M23" i="9"/>
  <c r="T38" i="10"/>
  <c r="R20" i="2"/>
  <c r="P20" i="2"/>
  <c r="P27" i="2" s="1"/>
  <c r="J30" i="1"/>
  <c r="H20" i="2"/>
  <c r="N27" i="2"/>
  <c r="V30" i="1"/>
  <c r="F20" i="2"/>
  <c r="J20" i="2"/>
  <c r="D30" i="2"/>
  <c r="B28" i="17"/>
  <c r="R30" i="1"/>
  <c r="T20" i="2"/>
  <c r="J27" i="2" l="1"/>
  <c r="J31" i="2" s="1"/>
  <c r="B27" i="2"/>
  <c r="B31" i="2" s="1"/>
  <c r="D27" i="2"/>
  <c r="D31" i="2" s="1"/>
  <c r="F27" i="2"/>
  <c r="F31" i="2" s="1"/>
  <c r="T27" i="2"/>
  <c r="T31" i="2" s="1"/>
  <c r="R27" i="2"/>
  <c r="R31" i="2" s="1"/>
  <c r="L27" i="2"/>
  <c r="L31" i="2" s="1"/>
  <c r="H27" i="2"/>
  <c r="H31" i="2" s="1"/>
  <c r="P31" i="2"/>
  <c r="B6" i="3"/>
  <c r="I16" i="3" s="1"/>
  <c r="L33" i="1"/>
  <c r="L31" i="1"/>
  <c r="B24" i="10"/>
  <c r="L32" i="1"/>
  <c r="L38" i="1"/>
  <c r="L39" i="1" s="1"/>
  <c r="L41" i="1" s="1"/>
  <c r="L45" i="1" s="1"/>
  <c r="A37" i="3"/>
  <c r="A37" i="8"/>
  <c r="L23" i="8"/>
  <c r="M23" i="8"/>
  <c r="I23" i="8"/>
  <c r="E6" i="7"/>
  <c r="B38" i="7" s="1"/>
  <c r="D33" i="1"/>
  <c r="C6" i="7"/>
  <c r="E3" i="10"/>
  <c r="R12" i="10" s="1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D38" i="1"/>
  <c r="D39" i="1" s="1"/>
  <c r="D41" i="1" s="1"/>
  <c r="D45" i="1" s="1"/>
  <c r="C17" i="10"/>
  <c r="C13" i="10"/>
  <c r="C14" i="10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B31" i="1"/>
  <c r="D32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10"/>
  <c r="B41" i="10"/>
  <c r="C12" i="10"/>
  <c r="B11" i="10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T61" i="10"/>
  <c r="C18" i="10"/>
  <c r="B19" i="10"/>
  <c r="N10" i="10"/>
  <c r="H45" i="1"/>
  <c r="H42" i="1"/>
  <c r="H44" i="1"/>
  <c r="D9" i="2"/>
  <c r="C4" i="9"/>
  <c r="C5" i="9" s="1"/>
  <c r="T31" i="10"/>
  <c r="F32" i="1"/>
  <c r="F33" i="1"/>
  <c r="D6" i="7"/>
  <c r="B15" i="7" s="1"/>
  <c r="F31" i="1"/>
  <c r="F38" i="1"/>
  <c r="F39" i="1" s="1"/>
  <c r="F41" i="1" s="1"/>
  <c r="D3" i="10"/>
  <c r="N52" i="10"/>
  <c r="C16" i="10"/>
  <c r="C15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J16" i="3" l="1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D44" i="1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42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R39" i="10" l="1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<sst xmlns="http://schemas.openxmlformats.org/spreadsheetml/2006/main" count="793" uniqueCount="196">
  <si>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</si>
  <si>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</si>
  <si>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</si>
  <si>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</si>
  <si>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</si>
  <si>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</si>
  <si>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</si>
  <si>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</si>
  <si>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</si>
  <si>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</si>
  <si>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</si>
  <si>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</si>
  <si>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</si>
  <si>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</si>
  <si>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</si>
  <si>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</si>
  <si>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</si>
  <si>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</si>
  <si>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</si>
  <si>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</si>
  <si>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</si>
  <si>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</si>
  <si>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</si>
  <si>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</si>
  <si>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</si>
  <si>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</si>
  <si>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</si>
  <si>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</si>
  <si>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</si>
  <si>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</si>
  <si>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</si>
  <si>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</si>
  <si>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</si>
  <si>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</si>
  <si>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</si>
  <si>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</si>
  <si>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</si>
  <si>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</si>
  <si>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</si>
  <si>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</si>
  <si>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</si>
  <si>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</si>
  <si>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</si>
  <si>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</si>
  <si>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</si>
  <si>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</si>
  <si>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</si>
  <si>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</si>
  <si>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</si>
  <si>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</si>
  <si>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</si>
  <si>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</si>
  <si>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</si>
  <si>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</si>
  <si>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</si>
  <si>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</si>
  <si>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</si>
  <si>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</si>
  <si>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</si>
  <si>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</si>
  <si>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</si>
  <si>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</si>
  <si>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</si>
  <si>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</si>
  <si>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</si>
  <si>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</si>
  <si>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</si>
  <si>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</si>
  <si>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</si>
  <si>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</si>
  <si>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</si>
  <si>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</si>
  <si>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</si>
  <si>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</si>
  <si>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</si>
  <si>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</si>
  <si>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</si>
  <si>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</si>
  <si>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</si>
  <si>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</si>
  <si>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</si>
  <si>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</si>
  <si>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</si>
  <si>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</si>
  <si>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</si>
  <si>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</si>
  <si>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</si>
  <si>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</si>
  <si>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</si>
  <si>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</si>
  <si>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</si>
  <si>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</si>
  <si>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</si>
  <si>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</si>
  <si>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</si>
  <si>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</si>
  <si>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</si>
  <si>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</si>
  <si>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</si>
  <si>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</si>
  <si>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</si>
  <si>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</si>
  <si>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</si>
  <si>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</si>
  <si>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</si>
  <si>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</si>
  <si>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</si>
  <si>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</si>
  <si>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</si>
  <si>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</si>
  <si>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</si>
  <si>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</si>
  <si>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</si>
  <si>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</si>
  <si>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</si>
  <si>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</si>
  <si>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</si>
  <si>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</si>
  <si>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</si>
  <si>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</si>
  <si>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</si>
  <si>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</si>
  <si>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</si>
  <si>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</si>
  <si>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</si>
  <si>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</si>
  <si>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</si>
  <si>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</si>
  <si>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</si>
  <si>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</si>
  <si>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</si>
  <si>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</si>
  <si>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</si>
  <si>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</si>
  <si>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</si>
  <si>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</si>
  <si>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</si>
  <si>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</si>
  <si>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</si>
  <si>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</si>
  <si>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</si>
  <si>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</si>
  <si>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</si>
  <si>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</si>
  <si>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</si>
  <si>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</si>
  <si>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</si>
  <si>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</si>
  <si>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</si>
  <si>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</si>
  <si>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</si>
  <si>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</si>
  <si>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</si>
  <si>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</si>
  <si>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</si>
  <si>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</si>
  <si>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</si>
  <si>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</si>
  <si>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</si>
  <si>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</si>
  <si>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</si>
  <si>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</si>
  <si>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</si>
  <si>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</si>
  <si>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</si>
  <si>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</si>
  <si>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</si>
  <si>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</si>
  <si>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</si>
  <si>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</si>
  <si>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</si>
  <si>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</si>
  <si>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</si>
  <si>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</si>
  <si>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</si>
  <si>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</si>
  <si>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</si>
  <si>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</si>
  <si>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</si>
  <si>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</si>
  <si>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</si>
  <si>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</si>
  <si>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</si>
  <si>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</si>
  <si>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</si>
  <si>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</si>
  <si>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</si>
  <si>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</si>
  <si>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</si>
  <si>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</si>
  <si>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 and Yangxuan Liu, UGA Extension Economists, Department of Agricultural &amp; Applied Economics</t>
  </si>
  <si>
    <t>*** Weighted average of diesel and electric irrigation application costs.  Electric is estimated at $7/appl and diesel is estimated at $13/appl when diesel cost $3/gal.</t>
  </si>
  <si>
    <t>Estimate of 2022 Relative Row Crop Costs and Net Returns</t>
  </si>
  <si>
    <t>Nov 2021</t>
  </si>
  <si>
    <t>[[Due to extreme volatility in input markets, prices may change rapidly.  You are encouraged to enter your own prices to best estimate your 2022 cost of production.]]</t>
  </si>
  <si>
    <t>[[Due to extreme volatility in input markets, prices may change rapidly.  You should enter your own prices to best estimate your 2022 cost of production.]]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</si>
</sst>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4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169" fontId="14" fillId="8" borderId="0" xfId="0" applyNumberFormat="1" applyFont="1" applyFill="1"/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66" fontId="13" fillId="8" borderId="69" xfId="0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  <xf numFmtId="0" fontId="13" fillId="12" borderId="0" xfId="0" applyFont="1" applyFill="1" applyAlignment="1">
      <alignment horizontal="center" wrapText="1"/>
    </xf>
    <xf numFmtId="0" fontId="13" fillId="12" borderId="10" xfId="0" applyFont="1" applyFill="1" applyBorder="1" applyAlignment="1">
      <alignment horizontal="center" wrapText="1"/>
    </xf>
    <xf numFmtId="0" fontId="13" fillId="8" borderId="0" xfId="0" applyFont="1" applyFill="1" applyAlignment="1">
      <alignment wrapText="1"/>
    </xf>
    <xf numFmtId="0" fontId="13" fillId="8" borderId="10" xfId="0" applyFont="1" applyFill="1" applyBorder="1" applyAlignment="1">
      <alignment wrapText="1"/>
    </xf>
    <xf numFmtId="0" fontId="11" fillId="12" borderId="0" xfId="0" applyFont="1" applyFill="1" applyAlignment="1">
      <alignment horizontal="center" wrapText="1"/>
    </xf>
    <xf numFmtId="0" fontId="11" fillId="12" borderId="10" xfId="0" applyFont="1" applyFill="1" applyBorder="1" applyAlignment="1">
      <alignment horizontal="center" wrapText="1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356.136321779497</c:v>
                </c:pt>
                <c:pt idx="1">
                  <c:v>368.90227922630555</c:v>
                </c:pt>
                <c:pt idx="2">
                  <c:v>381.66823667311405</c:v>
                </c:pt>
                <c:pt idx="3">
                  <c:v>394.43419411992261</c:v>
                </c:pt>
                <c:pt idx="4">
                  <c:v>407.20015156673111</c:v>
                </c:pt>
                <c:pt idx="5">
                  <c:v>419.96610901353961</c:v>
                </c:pt>
                <c:pt idx="6">
                  <c:v>432.73206646034816</c:v>
                </c:pt>
                <c:pt idx="7">
                  <c:v>445.49802390715666</c:v>
                </c:pt>
                <c:pt idx="8">
                  <c:v>458.26398135396511</c:v>
                </c:pt>
                <c:pt idx="9">
                  <c:v>471.02993880077366</c:v>
                </c:pt>
                <c:pt idx="10">
                  <c:v>483.79589624758216</c:v>
                </c:pt>
                <c:pt idx="11">
                  <c:v>496.56185369439066</c:v>
                </c:pt>
                <c:pt idx="12">
                  <c:v>509.32781114119916</c:v>
                </c:pt>
                <c:pt idx="13">
                  <c:v>522.09376858800772</c:v>
                </c:pt>
                <c:pt idx="14">
                  <c:v>534.85972603481628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335.12859308155066</c:v>
                </c:pt>
                <c:pt idx="1">
                  <c:v>346.15800484625657</c:v>
                </c:pt>
                <c:pt idx="2">
                  <c:v>357.18741661096249</c:v>
                </c:pt>
                <c:pt idx="3">
                  <c:v>368.21682837566834</c:v>
                </c:pt>
                <c:pt idx="4">
                  <c:v>379.2462401403742</c:v>
                </c:pt>
                <c:pt idx="5">
                  <c:v>390.27565190508017</c:v>
                </c:pt>
                <c:pt idx="6">
                  <c:v>401.30506366978608</c:v>
                </c:pt>
                <c:pt idx="7">
                  <c:v>412.33447543449194</c:v>
                </c:pt>
                <c:pt idx="8">
                  <c:v>423.36388719919785</c:v>
                </c:pt>
                <c:pt idx="9">
                  <c:v>434.3932989639037</c:v>
                </c:pt>
                <c:pt idx="10">
                  <c:v>445.42271072860962</c:v>
                </c:pt>
                <c:pt idx="11">
                  <c:v>456.45212249331547</c:v>
                </c:pt>
                <c:pt idx="12">
                  <c:v>467.48153425802144</c:v>
                </c:pt>
                <c:pt idx="13">
                  <c:v>478.51094602272724</c:v>
                </c:pt>
                <c:pt idx="14">
                  <c:v>489.54035778743304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0.72409132455681824</c:v>
                </c:pt>
                <c:pt idx="1">
                  <c:v>0.7415913245568182</c:v>
                </c:pt>
                <c:pt idx="2">
                  <c:v>0.75909132455681816</c:v>
                </c:pt>
                <c:pt idx="3">
                  <c:v>0.77659132455681823</c:v>
                </c:pt>
                <c:pt idx="4">
                  <c:v>0.79409132455681819</c:v>
                </c:pt>
                <c:pt idx="5">
                  <c:v>0.81159132455681804</c:v>
                </c:pt>
                <c:pt idx="6">
                  <c:v>0.82909132455681811</c:v>
                </c:pt>
                <c:pt idx="7">
                  <c:v>0.84659132455681807</c:v>
                </c:pt>
                <c:pt idx="8">
                  <c:v>0.86409132455681814</c:v>
                </c:pt>
                <c:pt idx="9">
                  <c:v>0.88159132455681821</c:v>
                </c:pt>
                <c:pt idx="10">
                  <c:v>0.89909132455681795</c:v>
                </c:pt>
                <c:pt idx="11">
                  <c:v>0.91659132455681802</c:v>
                </c:pt>
                <c:pt idx="12">
                  <c:v>0.93409132455681798</c:v>
                </c:pt>
                <c:pt idx="13">
                  <c:v>0.95159132455681794</c:v>
                </c:pt>
                <c:pt idx="14">
                  <c:v>0.96909132455681801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0.72854854198181818</c:v>
                </c:pt>
                <c:pt idx="1">
                  <c:v>0.74254854198181819</c:v>
                </c:pt>
                <c:pt idx="2">
                  <c:v>0.75654854198181809</c:v>
                </c:pt>
                <c:pt idx="3">
                  <c:v>0.7705485419818181</c:v>
                </c:pt>
                <c:pt idx="4">
                  <c:v>0.78454854198181811</c:v>
                </c:pt>
                <c:pt idx="5">
                  <c:v>0.79854854198181813</c:v>
                </c:pt>
                <c:pt idx="6">
                  <c:v>0.81254854198181814</c:v>
                </c:pt>
                <c:pt idx="7">
                  <c:v>0.82654854198181815</c:v>
                </c:pt>
                <c:pt idx="8">
                  <c:v>0.84054854198181816</c:v>
                </c:pt>
                <c:pt idx="9">
                  <c:v>0.85454854198181818</c:v>
                </c:pt>
                <c:pt idx="10">
                  <c:v>0.86854854198181819</c:v>
                </c:pt>
                <c:pt idx="11">
                  <c:v>0.88254854198181809</c:v>
                </c:pt>
                <c:pt idx="12">
                  <c:v>0.8965485419818181</c:v>
                </c:pt>
                <c:pt idx="13">
                  <c:v>0.91054854198181812</c:v>
                </c:pt>
                <c:pt idx="14">
                  <c:v>0.92454854198181813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381.20423219148938</c:v>
                </c:pt>
                <c:pt idx="1">
                  <c:v>390.14040240425533</c:v>
                </c:pt>
                <c:pt idx="2">
                  <c:v>399.07657261702127</c:v>
                </c:pt>
                <c:pt idx="3">
                  <c:v>408.01274282978721</c:v>
                </c:pt>
                <c:pt idx="4">
                  <c:v>416.94891304255322</c:v>
                </c:pt>
                <c:pt idx="5">
                  <c:v>425.8850832553191</c:v>
                </c:pt>
                <c:pt idx="6">
                  <c:v>434.8212534680851</c:v>
                </c:pt>
                <c:pt idx="7">
                  <c:v>443.75742368085105</c:v>
                </c:pt>
                <c:pt idx="8">
                  <c:v>452.69359389361694</c:v>
                </c:pt>
                <c:pt idx="9">
                  <c:v>461.62976410638294</c:v>
                </c:pt>
                <c:pt idx="10">
                  <c:v>470.56593431914888</c:v>
                </c:pt>
                <c:pt idx="11">
                  <c:v>479.50210453191482</c:v>
                </c:pt>
                <c:pt idx="12">
                  <c:v>488.43827474468083</c:v>
                </c:pt>
                <c:pt idx="13">
                  <c:v>497.37444495744677</c:v>
                </c:pt>
                <c:pt idx="14">
                  <c:v>506.31061517021271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358.75294983823522</c:v>
                </c:pt>
                <c:pt idx="1">
                  <c:v>364.92942042647053</c:v>
                </c:pt>
                <c:pt idx="2">
                  <c:v>371.10589101470583</c:v>
                </c:pt>
                <c:pt idx="3">
                  <c:v>377.28236160294108</c:v>
                </c:pt>
                <c:pt idx="4">
                  <c:v>383.45883219117644</c:v>
                </c:pt>
                <c:pt idx="5">
                  <c:v>389.63530277941175</c:v>
                </c:pt>
                <c:pt idx="6">
                  <c:v>395.81177336764699</c:v>
                </c:pt>
                <c:pt idx="7">
                  <c:v>401.9882439558823</c:v>
                </c:pt>
                <c:pt idx="8">
                  <c:v>408.16471454411754</c:v>
                </c:pt>
                <c:pt idx="9">
                  <c:v>414.3411851323529</c:v>
                </c:pt>
                <c:pt idx="10">
                  <c:v>420.51765572058821</c:v>
                </c:pt>
                <c:pt idx="11">
                  <c:v>426.69412630882346</c:v>
                </c:pt>
                <c:pt idx="12">
                  <c:v>432.87059689705876</c:v>
                </c:pt>
                <c:pt idx="13">
                  <c:v>439.04706748529406</c:v>
                </c:pt>
                <c:pt idx="14">
                  <c:v>445.22353807352937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5.088095838250001</c:v>
                </c:pt>
                <c:pt idx="1">
                  <c:v>5.1930958382500014</c:v>
                </c:pt>
                <c:pt idx="2">
                  <c:v>5.298095838250001</c:v>
                </c:pt>
                <c:pt idx="3">
                  <c:v>5.4030958382500014</c:v>
                </c:pt>
                <c:pt idx="4">
                  <c:v>5.5080958382500009</c:v>
                </c:pt>
                <c:pt idx="5">
                  <c:v>5.6130958382500014</c:v>
                </c:pt>
                <c:pt idx="6">
                  <c:v>5.7180958382500009</c:v>
                </c:pt>
                <c:pt idx="7">
                  <c:v>5.8230958382500013</c:v>
                </c:pt>
                <c:pt idx="8">
                  <c:v>5.9280958382500009</c:v>
                </c:pt>
                <c:pt idx="9">
                  <c:v>6.0330958382500013</c:v>
                </c:pt>
                <c:pt idx="10">
                  <c:v>6.1380958382499999</c:v>
                </c:pt>
                <c:pt idx="11">
                  <c:v>6.2430958382500004</c:v>
                </c:pt>
                <c:pt idx="12">
                  <c:v>6.3480958382499999</c:v>
                </c:pt>
                <c:pt idx="13">
                  <c:v>6.4530958382500003</c:v>
                </c:pt>
                <c:pt idx="14">
                  <c:v>6.5580958382499999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4.5498969589705878</c:v>
                </c:pt>
                <c:pt idx="1">
                  <c:v>4.6734263707352941</c:v>
                </c:pt>
                <c:pt idx="2">
                  <c:v>4.7969557824999995</c:v>
                </c:pt>
                <c:pt idx="3">
                  <c:v>4.9204851942647059</c:v>
                </c:pt>
                <c:pt idx="4">
                  <c:v>5.0440146060294113</c:v>
                </c:pt>
                <c:pt idx="5">
                  <c:v>5.1675440177941168</c:v>
                </c:pt>
                <c:pt idx="6">
                  <c:v>5.2910734295588231</c:v>
                </c:pt>
                <c:pt idx="7">
                  <c:v>5.4146028413235285</c:v>
                </c:pt>
                <c:pt idx="8">
                  <c:v>5.538132253088234</c:v>
                </c:pt>
                <c:pt idx="9">
                  <c:v>5.6616616648529403</c:v>
                </c:pt>
                <c:pt idx="10">
                  <c:v>5.7851910766176458</c:v>
                </c:pt>
                <c:pt idx="11">
                  <c:v>5.9087204883823512</c:v>
                </c:pt>
                <c:pt idx="12">
                  <c:v>6.0322499001470575</c:v>
                </c:pt>
                <c:pt idx="13">
                  <c:v>6.155779311911763</c:v>
                </c:pt>
                <c:pt idx="14">
                  <c:v>6.2793087236764693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341.45181646034808</c:v>
                </c:pt>
                <c:pt idx="1">
                  <c:v>354.21777390715658</c:v>
                </c:pt>
                <c:pt idx="2">
                  <c:v>366.9837313539652</c:v>
                </c:pt>
                <c:pt idx="3">
                  <c:v>379.74968880077364</c:v>
                </c:pt>
                <c:pt idx="4">
                  <c:v>392.5156462475822</c:v>
                </c:pt>
                <c:pt idx="5">
                  <c:v>405.2816036943907</c:v>
                </c:pt>
                <c:pt idx="6">
                  <c:v>418.04756114119925</c:v>
                </c:pt>
                <c:pt idx="7">
                  <c:v>430.81351858800775</c:v>
                </c:pt>
                <c:pt idx="8">
                  <c:v>443.57947603481625</c:v>
                </c:pt>
                <c:pt idx="9">
                  <c:v>456.3454334816247</c:v>
                </c:pt>
                <c:pt idx="10">
                  <c:v>469.11139092843325</c:v>
                </c:pt>
                <c:pt idx="11">
                  <c:v>481.87734837524175</c:v>
                </c:pt>
                <c:pt idx="12">
                  <c:v>494.64330582205025</c:v>
                </c:pt>
                <c:pt idx="13">
                  <c:v>507.40926326885869</c:v>
                </c:pt>
                <c:pt idx="14">
                  <c:v>520.17522071566725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303.08872543449183</c:v>
                </c:pt>
                <c:pt idx="1">
                  <c:v>314.11813719919775</c:v>
                </c:pt>
                <c:pt idx="2">
                  <c:v>325.1475489639036</c:v>
                </c:pt>
                <c:pt idx="3">
                  <c:v>336.17696072860946</c:v>
                </c:pt>
                <c:pt idx="4">
                  <c:v>347.20637249331537</c:v>
                </c:pt>
                <c:pt idx="5">
                  <c:v>358.23578425802134</c:v>
                </c:pt>
                <c:pt idx="6">
                  <c:v>369.2651960227272</c:v>
                </c:pt>
                <c:pt idx="7">
                  <c:v>380.29460778743305</c:v>
                </c:pt>
                <c:pt idx="8">
                  <c:v>391.32401955213896</c:v>
                </c:pt>
                <c:pt idx="9">
                  <c:v>402.35343131684488</c:v>
                </c:pt>
                <c:pt idx="10">
                  <c:v>413.38284308155073</c:v>
                </c:pt>
                <c:pt idx="11">
                  <c:v>424.41225484625659</c:v>
                </c:pt>
                <c:pt idx="12">
                  <c:v>435.44166661096256</c:v>
                </c:pt>
                <c:pt idx="13">
                  <c:v>446.47107837566836</c:v>
                </c:pt>
                <c:pt idx="14">
                  <c:v>457.50049014037421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3.7205651179545423</c:v>
                </c:pt>
                <c:pt idx="1">
                  <c:v>3.94115335324866</c:v>
                </c:pt>
                <c:pt idx="2">
                  <c:v>4.1617415885427773</c:v>
                </c:pt>
                <c:pt idx="3">
                  <c:v>4.3823298238368951</c:v>
                </c:pt>
                <c:pt idx="4">
                  <c:v>4.6029180591310128</c:v>
                </c:pt>
                <c:pt idx="5">
                  <c:v>4.8235062944251323</c:v>
                </c:pt>
                <c:pt idx="6">
                  <c:v>5.0440945297192501</c:v>
                </c:pt>
                <c:pt idx="7">
                  <c:v>5.264682765013367</c:v>
                </c:pt>
                <c:pt idx="8">
                  <c:v>5.4852710003074847</c:v>
                </c:pt>
                <c:pt idx="9">
                  <c:v>5.7058592356016025</c:v>
                </c:pt>
                <c:pt idx="10">
                  <c:v>5.9264474708957202</c:v>
                </c:pt>
                <c:pt idx="11">
                  <c:v>6.147035706189838</c:v>
                </c:pt>
                <c:pt idx="12">
                  <c:v>6.3676239414839566</c:v>
                </c:pt>
                <c:pt idx="13">
                  <c:v>6.5882121767780735</c:v>
                </c:pt>
                <c:pt idx="14">
                  <c:v>6.8088004120721894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4.7677319534090907</c:v>
                </c:pt>
                <c:pt idx="1">
                  <c:v>4.9177319534090911</c:v>
                </c:pt>
                <c:pt idx="2">
                  <c:v>5.0677319534090914</c:v>
                </c:pt>
                <c:pt idx="3">
                  <c:v>5.2177319534090909</c:v>
                </c:pt>
                <c:pt idx="4">
                  <c:v>5.3677319534090904</c:v>
                </c:pt>
                <c:pt idx="5">
                  <c:v>5.5177319534090907</c:v>
                </c:pt>
                <c:pt idx="6">
                  <c:v>5.667731953409092</c:v>
                </c:pt>
                <c:pt idx="7">
                  <c:v>5.8177319534090914</c:v>
                </c:pt>
                <c:pt idx="8">
                  <c:v>5.9677319534090918</c:v>
                </c:pt>
                <c:pt idx="9">
                  <c:v>6.1177319534090921</c:v>
                </c:pt>
                <c:pt idx="10">
                  <c:v>6.2677319534090916</c:v>
                </c:pt>
                <c:pt idx="11">
                  <c:v>6.417731953409092</c:v>
                </c:pt>
                <c:pt idx="12">
                  <c:v>6.5677319534090914</c:v>
                </c:pt>
                <c:pt idx="13">
                  <c:v>6.7177319534090918</c:v>
                </c:pt>
                <c:pt idx="14">
                  <c:v>6.8677319534090921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5.6541958254545381</c:v>
                </c:pt>
                <c:pt idx="1">
                  <c:v>6.2791958254545381</c:v>
                </c:pt>
                <c:pt idx="2">
                  <c:v>6.9041958254545381</c:v>
                </c:pt>
                <c:pt idx="3">
                  <c:v>7.5291958254545381</c:v>
                </c:pt>
                <c:pt idx="4">
                  <c:v>8.1541958254545381</c:v>
                </c:pt>
                <c:pt idx="5">
                  <c:v>8.7791958254545417</c:v>
                </c:pt>
                <c:pt idx="6">
                  <c:v>9.4041958254545417</c:v>
                </c:pt>
                <c:pt idx="7">
                  <c:v>10.029195825454542</c:v>
                </c:pt>
                <c:pt idx="8">
                  <c:v>10.654195825454542</c:v>
                </c:pt>
                <c:pt idx="9">
                  <c:v>11.279195825454542</c:v>
                </c:pt>
                <c:pt idx="10">
                  <c:v>11.904195825454542</c:v>
                </c:pt>
                <c:pt idx="11">
                  <c:v>12.529195825454542</c:v>
                </c:pt>
                <c:pt idx="12">
                  <c:v>13.154195825454545</c:v>
                </c:pt>
                <c:pt idx="13">
                  <c:v>13.779195825454542</c:v>
                </c:pt>
                <c:pt idx="14">
                  <c:v>14.404195825454538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7.0126813213636341</c:v>
                </c:pt>
                <c:pt idx="1">
                  <c:v>7.5126813213636341</c:v>
                </c:pt>
                <c:pt idx="2">
                  <c:v>8.0126813213636368</c:v>
                </c:pt>
                <c:pt idx="3">
                  <c:v>8.5126813213636368</c:v>
                </c:pt>
                <c:pt idx="4">
                  <c:v>9.0126813213636368</c:v>
                </c:pt>
                <c:pt idx="5">
                  <c:v>9.5126813213636368</c:v>
                </c:pt>
                <c:pt idx="6">
                  <c:v>10.012681321363637</c:v>
                </c:pt>
                <c:pt idx="7">
                  <c:v>10.512681321363637</c:v>
                </c:pt>
                <c:pt idx="8">
                  <c:v>11.012681321363637</c:v>
                </c:pt>
                <c:pt idx="9">
                  <c:v>11.512681321363637</c:v>
                </c:pt>
                <c:pt idx="10">
                  <c:v>12.012681321363637</c:v>
                </c:pt>
                <c:pt idx="11">
                  <c:v>12.512681321363637</c:v>
                </c:pt>
                <c:pt idx="12">
                  <c:v>13.012681321363637</c:v>
                </c:pt>
                <c:pt idx="13">
                  <c:v>13.512681321363637</c:v>
                </c:pt>
                <c:pt idx="14">
                  <c:v>14.012681321363637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0.82666555568181832</c:v>
                </c:pt>
                <c:pt idx="1">
                  <c:v>0.84933222234848504</c:v>
                </c:pt>
                <c:pt idx="2">
                  <c:v>0.87199888901515166</c:v>
                </c:pt>
                <c:pt idx="3">
                  <c:v>0.89466555568181838</c:v>
                </c:pt>
                <c:pt idx="4">
                  <c:v>0.91733222234848499</c:v>
                </c:pt>
                <c:pt idx="5">
                  <c:v>0.93999888901515172</c:v>
                </c:pt>
                <c:pt idx="6">
                  <c:v>0.96266555568181833</c:v>
                </c:pt>
                <c:pt idx="7">
                  <c:v>0.98533222234848505</c:v>
                </c:pt>
                <c:pt idx="8">
                  <c:v>1.0079988890151517</c:v>
                </c:pt>
                <c:pt idx="9">
                  <c:v>1.0306655556818183</c:v>
                </c:pt>
                <c:pt idx="10">
                  <c:v>1.0533322223484851</c:v>
                </c:pt>
                <c:pt idx="11">
                  <c:v>1.0759988890151517</c:v>
                </c:pt>
                <c:pt idx="12">
                  <c:v>1.0986655556818183</c:v>
                </c:pt>
                <c:pt idx="13">
                  <c:v>1.121332222348485</c:v>
                </c:pt>
                <c:pt idx="14">
                  <c:v>1.1439988890151518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0.7309068594318181</c:v>
                </c:pt>
                <c:pt idx="1">
                  <c:v>0.7504901927651515</c:v>
                </c:pt>
                <c:pt idx="2">
                  <c:v>0.77007352609848478</c:v>
                </c:pt>
                <c:pt idx="3">
                  <c:v>0.78965685943181818</c:v>
                </c:pt>
                <c:pt idx="4">
                  <c:v>0.80924019276515147</c:v>
                </c:pt>
                <c:pt idx="5">
                  <c:v>0.82882352609848486</c:v>
                </c:pt>
                <c:pt idx="6">
                  <c:v>0.84840685943181815</c:v>
                </c:pt>
                <c:pt idx="7">
                  <c:v>0.86799019276515155</c:v>
                </c:pt>
                <c:pt idx="8">
                  <c:v>0.88757352609848494</c:v>
                </c:pt>
                <c:pt idx="9">
                  <c:v>0.90715685943181823</c:v>
                </c:pt>
                <c:pt idx="10">
                  <c:v>0.92674019276515163</c:v>
                </c:pt>
                <c:pt idx="11">
                  <c:v>0.94632352609848491</c:v>
                </c:pt>
                <c:pt idx="12">
                  <c:v>0.9659068594318182</c:v>
                </c:pt>
                <c:pt idx="13">
                  <c:v>0.9854901927651516</c:v>
                </c:pt>
                <c:pt idx="14">
                  <c:v>1.0050735260984849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5.0587906092647055</c:v>
                </c:pt>
                <c:pt idx="1">
                  <c:v>5.2587906092647057</c:v>
                </c:pt>
                <c:pt idx="2">
                  <c:v>5.4587906092647058</c:v>
                </c:pt>
                <c:pt idx="3">
                  <c:v>5.658790609264706</c:v>
                </c:pt>
                <c:pt idx="4">
                  <c:v>5.8587906092647062</c:v>
                </c:pt>
                <c:pt idx="5">
                  <c:v>6.0587906092647055</c:v>
                </c:pt>
                <c:pt idx="6">
                  <c:v>6.2587906092647057</c:v>
                </c:pt>
                <c:pt idx="7">
                  <c:v>6.4587906092647058</c:v>
                </c:pt>
                <c:pt idx="8">
                  <c:v>6.658790609264706</c:v>
                </c:pt>
                <c:pt idx="9">
                  <c:v>6.8587906092647062</c:v>
                </c:pt>
                <c:pt idx="10">
                  <c:v>7.0587906092647055</c:v>
                </c:pt>
                <c:pt idx="11">
                  <c:v>7.2587906092647057</c:v>
                </c:pt>
                <c:pt idx="12">
                  <c:v>7.4587906092647058</c:v>
                </c:pt>
                <c:pt idx="13">
                  <c:v>7.658790609264706</c:v>
                </c:pt>
                <c:pt idx="14">
                  <c:v>7.8587906092647062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5.1031731100000011</c:v>
                </c:pt>
                <c:pt idx="1">
                  <c:v>5.2206731099999999</c:v>
                </c:pt>
                <c:pt idx="2">
                  <c:v>5.3381731100000005</c:v>
                </c:pt>
                <c:pt idx="3">
                  <c:v>5.4556731100000002</c:v>
                </c:pt>
                <c:pt idx="4">
                  <c:v>5.5731731099999999</c:v>
                </c:pt>
                <c:pt idx="5">
                  <c:v>5.6906731100000005</c:v>
                </c:pt>
                <c:pt idx="6">
                  <c:v>5.8081731100000002</c:v>
                </c:pt>
                <c:pt idx="7">
                  <c:v>5.92567311</c:v>
                </c:pt>
                <c:pt idx="8">
                  <c:v>6.0431731100000006</c:v>
                </c:pt>
                <c:pt idx="9">
                  <c:v>6.1606731100000003</c:v>
                </c:pt>
                <c:pt idx="10">
                  <c:v>6.27817311</c:v>
                </c:pt>
                <c:pt idx="11">
                  <c:v>6.3956731100000006</c:v>
                </c:pt>
                <c:pt idx="12">
                  <c:v>6.5131731100000003</c:v>
                </c:pt>
                <c:pt idx="13">
                  <c:v>6.63067311</c:v>
                </c:pt>
                <c:pt idx="14">
                  <c:v>6.7481731099999998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9.4458347175000004</c:v>
                </c:pt>
                <c:pt idx="1">
                  <c:v>10.012501384166667</c:v>
                </c:pt>
                <c:pt idx="2">
                  <c:v>10.579168050833335</c:v>
                </c:pt>
                <c:pt idx="3">
                  <c:v>11.145834717500001</c:v>
                </c:pt>
                <c:pt idx="4">
                  <c:v>11.712501384166668</c:v>
                </c:pt>
                <c:pt idx="5">
                  <c:v>12.279168050833334</c:v>
                </c:pt>
                <c:pt idx="6">
                  <c:v>12.845834717500001</c:v>
                </c:pt>
                <c:pt idx="7">
                  <c:v>13.412501384166667</c:v>
                </c:pt>
                <c:pt idx="8">
                  <c:v>13.979168050833334</c:v>
                </c:pt>
                <c:pt idx="9">
                  <c:v>14.545834717500002</c:v>
                </c:pt>
                <c:pt idx="10">
                  <c:v>15.112501384166668</c:v>
                </c:pt>
                <c:pt idx="11">
                  <c:v>15.679168050833335</c:v>
                </c:pt>
                <c:pt idx="12">
                  <c:v>16.245834717499999</c:v>
                </c:pt>
                <c:pt idx="13">
                  <c:v>16.812501384166669</c:v>
                </c:pt>
                <c:pt idx="14">
                  <c:v>17.379168050833336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8.130818510000001</c:v>
                </c:pt>
                <c:pt idx="1">
                  <c:v>8.5224851766666685</c:v>
                </c:pt>
                <c:pt idx="2">
                  <c:v>8.914151843333336</c:v>
                </c:pt>
                <c:pt idx="3">
                  <c:v>9.3058185100000017</c:v>
                </c:pt>
                <c:pt idx="4">
                  <c:v>9.6974851766666692</c:v>
                </c:pt>
                <c:pt idx="5">
                  <c:v>10.089151843333335</c:v>
                </c:pt>
                <c:pt idx="6">
                  <c:v>10.480818510000002</c:v>
                </c:pt>
                <c:pt idx="7">
                  <c:v>10.872485176666668</c:v>
                </c:pt>
                <c:pt idx="8">
                  <c:v>11.264151843333336</c:v>
                </c:pt>
                <c:pt idx="9">
                  <c:v>11.655818510000001</c:v>
                </c:pt>
                <c:pt idx="10">
                  <c:v>12.047485176666669</c:v>
                </c:pt>
                <c:pt idx="11">
                  <c:v>12.439151843333336</c:v>
                </c:pt>
                <c:pt idx="12">
                  <c:v>12.830818510000002</c:v>
                </c:pt>
                <c:pt idx="13">
                  <c:v>13.22248517666667</c:v>
                </c:pt>
                <c:pt idx="14">
                  <c:v>13.614151843333335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0.62204467443181766</c:v>
                </c:pt>
                <c:pt idx="1">
                  <c:v>0.64704467443181768</c:v>
                </c:pt>
                <c:pt idx="2">
                  <c:v>0.6720446744318177</c:v>
                </c:pt>
                <c:pt idx="3">
                  <c:v>0.69704467443181783</c:v>
                </c:pt>
                <c:pt idx="4">
                  <c:v>0.72204467443181786</c:v>
                </c:pt>
                <c:pt idx="5">
                  <c:v>0.74704467443181788</c:v>
                </c:pt>
                <c:pt idx="6">
                  <c:v>0.77204467443181801</c:v>
                </c:pt>
                <c:pt idx="7">
                  <c:v>0.79704467443181803</c:v>
                </c:pt>
                <c:pt idx="8">
                  <c:v>0.82204467443181806</c:v>
                </c:pt>
                <c:pt idx="9">
                  <c:v>0.84704467443181819</c:v>
                </c:pt>
                <c:pt idx="10">
                  <c:v>0.87204467443181821</c:v>
                </c:pt>
                <c:pt idx="11">
                  <c:v>0.89704467443181823</c:v>
                </c:pt>
                <c:pt idx="12">
                  <c:v>0.92204467443181837</c:v>
                </c:pt>
                <c:pt idx="13">
                  <c:v>0.94704467443181839</c:v>
                </c:pt>
                <c:pt idx="14">
                  <c:v>0.97204467443181841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0.7576692866318181</c:v>
                </c:pt>
                <c:pt idx="1">
                  <c:v>0.77466928663181811</c:v>
                </c:pt>
                <c:pt idx="2">
                  <c:v>0.79166928663181801</c:v>
                </c:pt>
                <c:pt idx="3">
                  <c:v>0.80866928663181825</c:v>
                </c:pt>
                <c:pt idx="4">
                  <c:v>0.82566928663181827</c:v>
                </c:pt>
                <c:pt idx="5">
                  <c:v>0.84266928663181839</c:v>
                </c:pt>
                <c:pt idx="6">
                  <c:v>0.85966928663181841</c:v>
                </c:pt>
                <c:pt idx="7">
                  <c:v>0.87666928663181842</c:v>
                </c:pt>
                <c:pt idx="8">
                  <c:v>0.89366928663181833</c:v>
                </c:pt>
                <c:pt idx="9">
                  <c:v>0.91066928663181834</c:v>
                </c:pt>
                <c:pt idx="10">
                  <c:v>0.92766928663181847</c:v>
                </c:pt>
                <c:pt idx="11">
                  <c:v>0.94466928663181848</c:v>
                </c:pt>
                <c:pt idx="12">
                  <c:v>0.9616692866318185</c:v>
                </c:pt>
                <c:pt idx="13">
                  <c:v>0.97866928663181862</c:v>
                </c:pt>
                <c:pt idx="14">
                  <c:v>0.99566928663181864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4.0774098238368968</c:v>
                </c:pt>
                <c:pt idx="1">
                  <c:v>4.2979980591310145</c:v>
                </c:pt>
                <c:pt idx="2">
                  <c:v>4.5185862944251323</c:v>
                </c:pt>
                <c:pt idx="3">
                  <c:v>4.7391745297192491</c:v>
                </c:pt>
                <c:pt idx="4">
                  <c:v>4.9597627650133669</c:v>
                </c:pt>
                <c:pt idx="5">
                  <c:v>5.1803510003074864</c:v>
                </c:pt>
                <c:pt idx="6">
                  <c:v>5.4009392356016042</c:v>
                </c:pt>
                <c:pt idx="7">
                  <c:v>5.621527470895721</c:v>
                </c:pt>
                <c:pt idx="8">
                  <c:v>5.8421157061898388</c:v>
                </c:pt>
                <c:pt idx="9">
                  <c:v>6.0627039414839574</c:v>
                </c:pt>
                <c:pt idx="10">
                  <c:v>6.2832921767780752</c:v>
                </c:pt>
                <c:pt idx="11">
                  <c:v>6.5038804120721929</c:v>
                </c:pt>
                <c:pt idx="12">
                  <c:v>6.7244686473663107</c:v>
                </c:pt>
                <c:pt idx="13">
                  <c:v>6.9450568826604284</c:v>
                </c:pt>
                <c:pt idx="14">
                  <c:v>7.1656451179545426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4.7935478909090907</c:v>
                </c:pt>
                <c:pt idx="1">
                  <c:v>4.9435478909090911</c:v>
                </c:pt>
                <c:pt idx="2">
                  <c:v>5.0935478909090914</c:v>
                </c:pt>
                <c:pt idx="3">
                  <c:v>5.2435478909090918</c:v>
                </c:pt>
                <c:pt idx="4">
                  <c:v>5.3935478909090921</c:v>
                </c:pt>
                <c:pt idx="5">
                  <c:v>5.5435478909090925</c:v>
                </c:pt>
                <c:pt idx="6">
                  <c:v>5.693547890909092</c:v>
                </c:pt>
                <c:pt idx="7">
                  <c:v>5.8435478909090923</c:v>
                </c:pt>
                <c:pt idx="8">
                  <c:v>5.9935478909090918</c:v>
                </c:pt>
                <c:pt idx="9">
                  <c:v>6.1435478909090921</c:v>
                </c:pt>
                <c:pt idx="10">
                  <c:v>6.2935478909090925</c:v>
                </c:pt>
                <c:pt idx="11">
                  <c:v>6.443547890909092</c:v>
                </c:pt>
                <c:pt idx="12">
                  <c:v>6.5935478909090923</c:v>
                </c:pt>
                <c:pt idx="13">
                  <c:v>6.7435478909090918</c:v>
                </c:pt>
                <c:pt idx="14">
                  <c:v>6.8935478909090921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314.41079914893595</c:v>
                </c:pt>
                <c:pt idx="1">
                  <c:v>327.17675659574439</c:v>
                </c:pt>
                <c:pt idx="2">
                  <c:v>339.94271404255301</c:v>
                </c:pt>
                <c:pt idx="3">
                  <c:v>352.70867148936151</c:v>
                </c:pt>
                <c:pt idx="4">
                  <c:v>365.47462893617006</c:v>
                </c:pt>
                <c:pt idx="5">
                  <c:v>378.24058638297856</c:v>
                </c:pt>
                <c:pt idx="6">
                  <c:v>391.00654382978718</c:v>
                </c:pt>
                <c:pt idx="7">
                  <c:v>403.77250127659568</c:v>
                </c:pt>
                <c:pt idx="8">
                  <c:v>416.53845872340418</c:v>
                </c:pt>
                <c:pt idx="9">
                  <c:v>429.30441617021279</c:v>
                </c:pt>
                <c:pt idx="10">
                  <c:v>442.07037361702129</c:v>
                </c:pt>
                <c:pt idx="11">
                  <c:v>454.83633106382973</c:v>
                </c:pt>
                <c:pt idx="12">
                  <c:v>467.60228851063846</c:v>
                </c:pt>
                <c:pt idx="13">
                  <c:v>480.36824595744696</c:v>
                </c:pt>
                <c:pt idx="14">
                  <c:v>493.13420340425552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339.56046953676457</c:v>
                </c:pt>
                <c:pt idx="1">
                  <c:v>347.06046953676457</c:v>
                </c:pt>
                <c:pt idx="2">
                  <c:v>354.56046953676457</c:v>
                </c:pt>
                <c:pt idx="3">
                  <c:v>362.06046953676463</c:v>
                </c:pt>
                <c:pt idx="4">
                  <c:v>369.56046953676463</c:v>
                </c:pt>
                <c:pt idx="5">
                  <c:v>377.06046953676469</c:v>
                </c:pt>
                <c:pt idx="6">
                  <c:v>384.56046953676469</c:v>
                </c:pt>
                <c:pt idx="7">
                  <c:v>392.06046953676469</c:v>
                </c:pt>
                <c:pt idx="8">
                  <c:v>399.56046953676474</c:v>
                </c:pt>
                <c:pt idx="9">
                  <c:v>407.06046953676474</c:v>
                </c:pt>
                <c:pt idx="10">
                  <c:v>414.5604695367648</c:v>
                </c:pt>
                <c:pt idx="11">
                  <c:v>422.0604695367648</c:v>
                </c:pt>
                <c:pt idx="12">
                  <c:v>429.5604695367648</c:v>
                </c:pt>
                <c:pt idx="13">
                  <c:v>437.06046953676486</c:v>
                </c:pt>
                <c:pt idx="14">
                  <c:v>444.56046953676486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5.9535748099999912</c:v>
                </c:pt>
                <c:pt idx="1">
                  <c:v>6.4535748099999912</c:v>
                </c:pt>
                <c:pt idx="2">
                  <c:v>6.953574809999993</c:v>
                </c:pt>
                <c:pt idx="3">
                  <c:v>7.4535748099999948</c:v>
                </c:pt>
                <c:pt idx="4">
                  <c:v>7.9535748099999948</c:v>
                </c:pt>
                <c:pt idx="5">
                  <c:v>8.4535748099999957</c:v>
                </c:pt>
                <c:pt idx="6">
                  <c:v>8.9535748099999974</c:v>
                </c:pt>
                <c:pt idx="7">
                  <c:v>9.4535748099999974</c:v>
                </c:pt>
                <c:pt idx="8">
                  <c:v>9.9535748099999974</c:v>
                </c:pt>
                <c:pt idx="9">
                  <c:v>10.453574810000001</c:v>
                </c:pt>
                <c:pt idx="10">
                  <c:v>10.953574810000001</c:v>
                </c:pt>
                <c:pt idx="11">
                  <c:v>11.453574810000001</c:v>
                </c:pt>
                <c:pt idx="12">
                  <c:v>11.953574810000005</c:v>
                </c:pt>
                <c:pt idx="13">
                  <c:v>12.453574810000005</c:v>
                </c:pt>
                <c:pt idx="14">
                  <c:v>12.953574810000005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7.7209279912499937</c:v>
                </c:pt>
                <c:pt idx="1">
                  <c:v>8.1459279912499962</c:v>
                </c:pt>
                <c:pt idx="2">
                  <c:v>8.5709279912499952</c:v>
                </c:pt>
                <c:pt idx="3">
                  <c:v>8.9959279912499976</c:v>
                </c:pt>
                <c:pt idx="4">
                  <c:v>9.4209279912499984</c:v>
                </c:pt>
                <c:pt idx="5">
                  <c:v>9.8459279912499991</c:v>
                </c:pt>
                <c:pt idx="6">
                  <c:v>10.27092799125</c:v>
                </c:pt>
                <c:pt idx="7">
                  <c:v>10.69592799125</c:v>
                </c:pt>
                <c:pt idx="8">
                  <c:v>11.120927991250003</c:v>
                </c:pt>
                <c:pt idx="9">
                  <c:v>11.545927991250004</c:v>
                </c:pt>
                <c:pt idx="10">
                  <c:v>11.970927991250004</c:v>
                </c:pt>
                <c:pt idx="11">
                  <c:v>12.395927991250005</c:v>
                </c:pt>
                <c:pt idx="12">
                  <c:v>12.820927991250006</c:v>
                </c:pt>
                <c:pt idx="13">
                  <c:v>13.245927991250008</c:v>
                </c:pt>
                <c:pt idx="14">
                  <c:v>13.670927991250009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0.75186593393181811</c:v>
                </c:pt>
                <c:pt idx="1">
                  <c:v>0.76936593393181818</c:v>
                </c:pt>
                <c:pt idx="2">
                  <c:v>0.78686593393181814</c:v>
                </c:pt>
                <c:pt idx="3">
                  <c:v>0.8043659339318181</c:v>
                </c:pt>
                <c:pt idx="4">
                  <c:v>0.82186593393181817</c:v>
                </c:pt>
                <c:pt idx="5">
                  <c:v>0.83936593393181813</c:v>
                </c:pt>
                <c:pt idx="6">
                  <c:v>0.85686593393181809</c:v>
                </c:pt>
                <c:pt idx="7">
                  <c:v>0.87436593393181816</c:v>
                </c:pt>
                <c:pt idx="8">
                  <c:v>0.89186593393181812</c:v>
                </c:pt>
                <c:pt idx="9">
                  <c:v>0.90936593393181819</c:v>
                </c:pt>
                <c:pt idx="10">
                  <c:v>0.92686593393181793</c:v>
                </c:pt>
                <c:pt idx="11">
                  <c:v>0.944365933931818</c:v>
                </c:pt>
                <c:pt idx="12">
                  <c:v>0.96186593393181796</c:v>
                </c:pt>
                <c:pt idx="13">
                  <c:v>0.97936593393181792</c:v>
                </c:pt>
                <c:pt idx="14">
                  <c:v>0.99686593393181799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0.79083216698181846</c:v>
                </c:pt>
                <c:pt idx="1">
                  <c:v>0.80483216698181848</c:v>
                </c:pt>
                <c:pt idx="2">
                  <c:v>0.81883216698181849</c:v>
                </c:pt>
                <c:pt idx="3">
                  <c:v>0.8328321669818185</c:v>
                </c:pt>
                <c:pt idx="4">
                  <c:v>0.84683216698181851</c:v>
                </c:pt>
                <c:pt idx="5">
                  <c:v>0.8608321669818183</c:v>
                </c:pt>
                <c:pt idx="6">
                  <c:v>0.87483216698181832</c:v>
                </c:pt>
                <c:pt idx="7">
                  <c:v>0.88883216698181833</c:v>
                </c:pt>
                <c:pt idx="8">
                  <c:v>0.90283216698181834</c:v>
                </c:pt>
                <c:pt idx="9">
                  <c:v>0.91683216698181835</c:v>
                </c:pt>
                <c:pt idx="10">
                  <c:v>0.93083216698181814</c:v>
                </c:pt>
                <c:pt idx="11">
                  <c:v>0.94483216698181816</c:v>
                </c:pt>
                <c:pt idx="12">
                  <c:v>0.95883216698181817</c:v>
                </c:pt>
                <c:pt idx="13">
                  <c:v>0.97283216698181818</c:v>
                </c:pt>
                <c:pt idx="14">
                  <c:v>0.98683216698181819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380.7025061276596</c:v>
                </c:pt>
                <c:pt idx="1">
                  <c:v>389.6386763404256</c:v>
                </c:pt>
                <c:pt idx="2">
                  <c:v>398.57484655319155</c:v>
                </c:pt>
                <c:pt idx="3">
                  <c:v>407.51101676595749</c:v>
                </c:pt>
                <c:pt idx="4">
                  <c:v>416.44718697872344</c:v>
                </c:pt>
                <c:pt idx="5">
                  <c:v>425.38335719148927</c:v>
                </c:pt>
                <c:pt idx="6">
                  <c:v>434.31952740425527</c:v>
                </c:pt>
                <c:pt idx="7">
                  <c:v>443.25569761702121</c:v>
                </c:pt>
                <c:pt idx="8">
                  <c:v>452.19186782978716</c:v>
                </c:pt>
                <c:pt idx="9">
                  <c:v>461.12803804255316</c:v>
                </c:pt>
                <c:pt idx="10">
                  <c:v>470.0642082553191</c:v>
                </c:pt>
                <c:pt idx="11">
                  <c:v>479.0003784680851</c:v>
                </c:pt>
                <c:pt idx="12">
                  <c:v>487.93654868085099</c:v>
                </c:pt>
                <c:pt idx="13">
                  <c:v>496.87271889361693</c:v>
                </c:pt>
                <c:pt idx="14">
                  <c:v>505.80888910638288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354.1911520441177</c:v>
                </c:pt>
                <c:pt idx="1">
                  <c:v>360.367622632353</c:v>
                </c:pt>
                <c:pt idx="2">
                  <c:v>366.54409322058831</c:v>
                </c:pt>
                <c:pt idx="3">
                  <c:v>372.72056380882356</c:v>
                </c:pt>
                <c:pt idx="4">
                  <c:v>378.89703439705886</c:v>
                </c:pt>
                <c:pt idx="5">
                  <c:v>385.07350498529411</c:v>
                </c:pt>
                <c:pt idx="6">
                  <c:v>391.24997557352941</c:v>
                </c:pt>
                <c:pt idx="7">
                  <c:v>397.42644616176472</c:v>
                </c:pt>
                <c:pt idx="8">
                  <c:v>403.60291674999996</c:v>
                </c:pt>
                <c:pt idx="9">
                  <c:v>409.77938733823527</c:v>
                </c:pt>
                <c:pt idx="10">
                  <c:v>415.95585792647051</c:v>
                </c:pt>
                <c:pt idx="11">
                  <c:v>422.13232851470576</c:v>
                </c:pt>
                <c:pt idx="12">
                  <c:v>428.30879910294112</c:v>
                </c:pt>
                <c:pt idx="13">
                  <c:v>434.48526969117643</c:v>
                </c:pt>
                <c:pt idx="14">
                  <c:v>440.66174027941167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5.2289275570000004</c:v>
                </c:pt>
                <c:pt idx="1">
                  <c:v>5.3339275570000009</c:v>
                </c:pt>
                <c:pt idx="2">
                  <c:v>5.4389275570000004</c:v>
                </c:pt>
                <c:pt idx="3">
                  <c:v>5.5439275570000008</c:v>
                </c:pt>
                <c:pt idx="4">
                  <c:v>5.6489275570000004</c:v>
                </c:pt>
                <c:pt idx="5">
                  <c:v>5.7539275570000008</c:v>
                </c:pt>
                <c:pt idx="6">
                  <c:v>5.8589275570000003</c:v>
                </c:pt>
                <c:pt idx="7">
                  <c:v>5.9639275570000008</c:v>
                </c:pt>
                <c:pt idx="8">
                  <c:v>6.0689275570000003</c:v>
                </c:pt>
                <c:pt idx="9">
                  <c:v>6.1739275570000007</c:v>
                </c:pt>
                <c:pt idx="10">
                  <c:v>6.2789275569999994</c:v>
                </c:pt>
                <c:pt idx="11">
                  <c:v>6.3839275569999998</c:v>
                </c:pt>
                <c:pt idx="12">
                  <c:v>6.4889275569999993</c:v>
                </c:pt>
                <c:pt idx="13">
                  <c:v>6.5939275569999998</c:v>
                </c:pt>
                <c:pt idx="14">
                  <c:v>6.6989275569999993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8.5500000000000025</c:v>
                </c:pt>
                <c:pt idx="1">
                  <c:v>8.9000000000000021</c:v>
                </c:pt>
                <c:pt idx="2">
                  <c:v>9.2500000000000018</c:v>
                </c:pt>
                <c:pt idx="3">
                  <c:v>9.6000000000000014</c:v>
                </c:pt>
                <c:pt idx="4">
                  <c:v>9.9500000000000011</c:v>
                </c:pt>
                <c:pt idx="5">
                  <c:v>10.3</c:v>
                </c:pt>
                <c:pt idx="6">
                  <c:v>10.65</c:v>
                </c:pt>
                <c:pt idx="7">
                  <c:v>11</c:v>
                </c:pt>
                <c:pt idx="8">
                  <c:v>11.35</c:v>
                </c:pt>
                <c:pt idx="9">
                  <c:v>11.7</c:v>
                </c:pt>
                <c:pt idx="10">
                  <c:v>12.049999999999999</c:v>
                </c:pt>
                <c:pt idx="11">
                  <c:v>12.399999999999999</c:v>
                </c:pt>
                <c:pt idx="12">
                  <c:v>12.749999999999998</c:v>
                </c:pt>
                <c:pt idx="13">
                  <c:v>13.099999999999998</c:v>
                </c:pt>
                <c:pt idx="14">
                  <c:v>13.449999999999998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4.7426136501470593</c:v>
                </c:pt>
                <c:pt idx="1">
                  <c:v>4.8661430619117647</c:v>
                </c:pt>
                <c:pt idx="2">
                  <c:v>4.989672473676471</c:v>
                </c:pt>
                <c:pt idx="3">
                  <c:v>5.1132018854411765</c:v>
                </c:pt>
                <c:pt idx="4">
                  <c:v>5.2367312972058828</c:v>
                </c:pt>
                <c:pt idx="5">
                  <c:v>5.3602607089705874</c:v>
                </c:pt>
                <c:pt idx="6">
                  <c:v>5.4837901207352937</c:v>
                </c:pt>
                <c:pt idx="7">
                  <c:v>5.6073195324999991</c:v>
                </c:pt>
                <c:pt idx="8">
                  <c:v>5.7308489442647055</c:v>
                </c:pt>
                <c:pt idx="9">
                  <c:v>5.8543783560294109</c:v>
                </c:pt>
                <c:pt idx="10">
                  <c:v>5.9779077677941164</c:v>
                </c:pt>
                <c:pt idx="11">
                  <c:v>6.1014371795588218</c:v>
                </c:pt>
                <c:pt idx="12">
                  <c:v>6.2249665913235273</c:v>
                </c:pt>
                <c:pt idx="13">
                  <c:v>6.3484960030882336</c:v>
                </c:pt>
                <c:pt idx="14">
                  <c:v>6.472025414852939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7.2112864504545424</c:v>
                </c:pt>
                <c:pt idx="1">
                  <c:v>7.8362864504545424</c:v>
                </c:pt>
                <c:pt idx="2">
                  <c:v>8.4612864504545424</c:v>
                </c:pt>
                <c:pt idx="3">
                  <c:v>9.0862864504545424</c:v>
                </c:pt>
                <c:pt idx="4">
                  <c:v>9.7112864504545424</c:v>
                </c:pt>
                <c:pt idx="5">
                  <c:v>10.336286450454546</c:v>
                </c:pt>
                <c:pt idx="6">
                  <c:v>10.961286450454546</c:v>
                </c:pt>
                <c:pt idx="7">
                  <c:v>11.586286450454546</c:v>
                </c:pt>
                <c:pt idx="8">
                  <c:v>12.211286450454546</c:v>
                </c:pt>
                <c:pt idx="9">
                  <c:v>12.836286450454546</c:v>
                </c:pt>
                <c:pt idx="10">
                  <c:v>13.461286450454546</c:v>
                </c:pt>
                <c:pt idx="11">
                  <c:v>14.086286450454546</c:v>
                </c:pt>
                <c:pt idx="12">
                  <c:v>14.71128645045455</c:v>
                </c:pt>
                <c:pt idx="13">
                  <c:v>15.336286450454546</c:v>
                </c:pt>
                <c:pt idx="14">
                  <c:v>15.961286450454542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0.67499999999999982</c:v>
                </c:pt>
                <c:pt idx="1">
                  <c:v>0.69999999999999984</c:v>
                </c:pt>
                <c:pt idx="2">
                  <c:v>0.72499999999999987</c:v>
                </c:pt>
                <c:pt idx="3">
                  <c:v>0.74999999999999989</c:v>
                </c:pt>
                <c:pt idx="4">
                  <c:v>0.77499999999999991</c:v>
                </c:pt>
                <c:pt idx="5">
                  <c:v>0.79999999999999993</c:v>
                </c:pt>
                <c:pt idx="6">
                  <c:v>0.82499999999999996</c:v>
                </c:pt>
                <c:pt idx="7">
                  <c:v>0.85</c:v>
                </c:pt>
                <c:pt idx="8">
                  <c:v>0.875</c:v>
                </c:pt>
                <c:pt idx="9">
                  <c:v>0.9</c:v>
                </c:pt>
                <c:pt idx="10">
                  <c:v>0.92500000000000004</c:v>
                </c:pt>
                <c:pt idx="11">
                  <c:v>0.95000000000000007</c:v>
                </c:pt>
                <c:pt idx="12">
                  <c:v>0.97500000000000009</c:v>
                </c:pt>
                <c:pt idx="13">
                  <c:v>1</c:v>
                </c:pt>
                <c:pt idx="14">
                  <c:v>1.0249999999999999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7.5681735088636346</c:v>
                </c:pt>
                <c:pt idx="1">
                  <c:v>8.0681735088636337</c:v>
                </c:pt>
                <c:pt idx="2">
                  <c:v>8.5681735088636355</c:v>
                </c:pt>
                <c:pt idx="3">
                  <c:v>9.0681735088636355</c:v>
                </c:pt>
                <c:pt idx="4">
                  <c:v>9.5681735088636355</c:v>
                </c:pt>
                <c:pt idx="5">
                  <c:v>10.068173508863635</c:v>
                </c:pt>
                <c:pt idx="6">
                  <c:v>10.568173508863639</c:v>
                </c:pt>
                <c:pt idx="7">
                  <c:v>11.068173508863639</c:v>
                </c:pt>
                <c:pt idx="8">
                  <c:v>11.568173508863639</c:v>
                </c:pt>
                <c:pt idx="9">
                  <c:v>12.068173508863639</c:v>
                </c:pt>
                <c:pt idx="10">
                  <c:v>12.568173508863639</c:v>
                </c:pt>
                <c:pt idx="11">
                  <c:v>13.068173508863639</c:v>
                </c:pt>
                <c:pt idx="12">
                  <c:v>13.568173508863639</c:v>
                </c:pt>
                <c:pt idx="13">
                  <c:v>14.068173508863639</c:v>
                </c:pt>
                <c:pt idx="14">
                  <c:v>14.568173508863639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0.75404185568181825</c:v>
                </c:pt>
                <c:pt idx="1">
                  <c:v>0.77670852234848498</c:v>
                </c:pt>
                <c:pt idx="2">
                  <c:v>0.79937518901515159</c:v>
                </c:pt>
                <c:pt idx="3">
                  <c:v>0.82204185568181831</c:v>
                </c:pt>
                <c:pt idx="4">
                  <c:v>0.84470852234848492</c:v>
                </c:pt>
                <c:pt idx="5">
                  <c:v>0.86737518901515154</c:v>
                </c:pt>
                <c:pt idx="6">
                  <c:v>0.89004185568181826</c:v>
                </c:pt>
                <c:pt idx="7">
                  <c:v>0.91270852234848487</c:v>
                </c:pt>
                <c:pt idx="8">
                  <c:v>0.9353751890151516</c:v>
                </c:pt>
                <c:pt idx="9">
                  <c:v>0.95804185568181821</c:v>
                </c:pt>
                <c:pt idx="10">
                  <c:v>0.98070852234848493</c:v>
                </c:pt>
                <c:pt idx="11">
                  <c:v>1.0033751890151517</c:v>
                </c:pt>
                <c:pt idx="12">
                  <c:v>1.0260418556818183</c:v>
                </c:pt>
                <c:pt idx="13">
                  <c:v>1.0487085223484849</c:v>
                </c:pt>
                <c:pt idx="14">
                  <c:v>1.0713751890151515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0.70214970318181813</c:v>
                </c:pt>
                <c:pt idx="1">
                  <c:v>0.72173303651515153</c:v>
                </c:pt>
                <c:pt idx="2">
                  <c:v>0.74131636984848481</c:v>
                </c:pt>
                <c:pt idx="3">
                  <c:v>0.76089970318181821</c:v>
                </c:pt>
                <c:pt idx="4">
                  <c:v>0.7804830365151515</c:v>
                </c:pt>
                <c:pt idx="5">
                  <c:v>0.80006636984848489</c:v>
                </c:pt>
                <c:pt idx="6">
                  <c:v>0.81964970318181818</c:v>
                </c:pt>
                <c:pt idx="7">
                  <c:v>0.83923303651515146</c:v>
                </c:pt>
                <c:pt idx="8">
                  <c:v>0.85881636984848497</c:v>
                </c:pt>
                <c:pt idx="9">
                  <c:v>0.87839970318181826</c:v>
                </c:pt>
                <c:pt idx="10">
                  <c:v>0.89798303651515166</c:v>
                </c:pt>
                <c:pt idx="11">
                  <c:v>0.91756636984848494</c:v>
                </c:pt>
                <c:pt idx="12">
                  <c:v>0.93714970318181823</c:v>
                </c:pt>
                <c:pt idx="13">
                  <c:v>0.95673303651515162</c:v>
                </c:pt>
                <c:pt idx="14">
                  <c:v>0.97631636984848491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4.7748379622058827</c:v>
                </c:pt>
                <c:pt idx="1">
                  <c:v>4.9748379622058829</c:v>
                </c:pt>
                <c:pt idx="2">
                  <c:v>5.1748379622058822</c:v>
                </c:pt>
                <c:pt idx="3">
                  <c:v>5.3748379622058824</c:v>
                </c:pt>
                <c:pt idx="4">
                  <c:v>5.5748379622058826</c:v>
                </c:pt>
                <c:pt idx="5">
                  <c:v>5.7748379622058827</c:v>
                </c:pt>
                <c:pt idx="6">
                  <c:v>5.9748379622058829</c:v>
                </c:pt>
                <c:pt idx="7">
                  <c:v>6.1748379622058831</c:v>
                </c:pt>
                <c:pt idx="8">
                  <c:v>6.3748379622058833</c:v>
                </c:pt>
                <c:pt idx="9">
                  <c:v>6.5748379622058835</c:v>
                </c:pt>
                <c:pt idx="10">
                  <c:v>6.7748379622058836</c:v>
                </c:pt>
                <c:pt idx="11">
                  <c:v>6.9748379622058829</c:v>
                </c:pt>
                <c:pt idx="12">
                  <c:v>7.1748379622058831</c:v>
                </c:pt>
                <c:pt idx="13">
                  <c:v>7.3748379622058833</c:v>
                </c:pt>
                <c:pt idx="14">
                  <c:v>7.5748379622058835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4.9564461100000008</c:v>
                </c:pt>
                <c:pt idx="1">
                  <c:v>5.0739461100000014</c:v>
                </c:pt>
                <c:pt idx="2">
                  <c:v>5.191446110000002</c:v>
                </c:pt>
                <c:pt idx="3">
                  <c:v>5.3089461100000017</c:v>
                </c:pt>
                <c:pt idx="4">
                  <c:v>5.4264461100000014</c:v>
                </c:pt>
                <c:pt idx="5">
                  <c:v>5.543946110000002</c:v>
                </c:pt>
                <c:pt idx="6">
                  <c:v>5.6614461100000018</c:v>
                </c:pt>
                <c:pt idx="7">
                  <c:v>5.7789461100000015</c:v>
                </c:pt>
                <c:pt idx="8">
                  <c:v>5.8964461100000021</c:v>
                </c:pt>
                <c:pt idx="9">
                  <c:v>6.0139461100000018</c:v>
                </c:pt>
                <c:pt idx="10">
                  <c:v>6.1314461100000015</c:v>
                </c:pt>
                <c:pt idx="11">
                  <c:v>6.2489461100000021</c:v>
                </c:pt>
                <c:pt idx="12">
                  <c:v>6.3664461100000018</c:v>
                </c:pt>
                <c:pt idx="13">
                  <c:v>6.4839461100000015</c:v>
                </c:pt>
                <c:pt idx="14">
                  <c:v>6.6014461100000013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9.1873328425000036</c:v>
                </c:pt>
                <c:pt idx="1">
                  <c:v>9.75399950916667</c:v>
                </c:pt>
                <c:pt idx="2">
                  <c:v>10.320666175833336</c:v>
                </c:pt>
                <c:pt idx="3">
                  <c:v>10.887332842500003</c:v>
                </c:pt>
                <c:pt idx="4">
                  <c:v>11.453999509166669</c:v>
                </c:pt>
                <c:pt idx="5">
                  <c:v>12.020666175833336</c:v>
                </c:pt>
                <c:pt idx="6">
                  <c:v>12.587332842500002</c:v>
                </c:pt>
                <c:pt idx="7">
                  <c:v>13.15399950916667</c:v>
                </c:pt>
                <c:pt idx="8">
                  <c:v>13.720666175833337</c:v>
                </c:pt>
                <c:pt idx="9">
                  <c:v>14.287332842500003</c:v>
                </c:pt>
                <c:pt idx="10">
                  <c:v>14.85399950916667</c:v>
                </c:pt>
                <c:pt idx="11">
                  <c:v>15.420666175833336</c:v>
                </c:pt>
                <c:pt idx="12">
                  <c:v>15.987332842500003</c:v>
                </c:pt>
                <c:pt idx="13">
                  <c:v>16.553999509166669</c:v>
                </c:pt>
                <c:pt idx="14">
                  <c:v>17.120666175833335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8.1111675725000012</c:v>
                </c:pt>
                <c:pt idx="1">
                  <c:v>8.5028342391666687</c:v>
                </c:pt>
                <c:pt idx="2">
                  <c:v>8.8945009058333344</c:v>
                </c:pt>
                <c:pt idx="3">
                  <c:v>9.2861675725000019</c:v>
                </c:pt>
                <c:pt idx="4">
                  <c:v>9.6778342391666676</c:v>
                </c:pt>
                <c:pt idx="5">
                  <c:v>10.069500905833335</c:v>
                </c:pt>
                <c:pt idx="6">
                  <c:v>10.461167572500001</c:v>
                </c:pt>
                <c:pt idx="7">
                  <c:v>10.852834239166668</c:v>
                </c:pt>
                <c:pt idx="8">
                  <c:v>11.244500905833336</c:v>
                </c:pt>
                <c:pt idx="9">
                  <c:v>11.636167572500002</c:v>
                </c:pt>
                <c:pt idx="10">
                  <c:v>12.027834239166669</c:v>
                </c:pt>
                <c:pt idx="11">
                  <c:v>12.419500905833335</c:v>
                </c:pt>
                <c:pt idx="12">
                  <c:v>12.811167572500002</c:v>
                </c:pt>
                <c:pt idx="13">
                  <c:v>13.202834239166668</c:v>
                </c:pt>
                <c:pt idx="14">
                  <c:v>13.594500905833335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0.61774201818181762</c:v>
                </c:pt>
                <c:pt idx="1">
                  <c:v>0.64274201818181764</c:v>
                </c:pt>
                <c:pt idx="2">
                  <c:v>0.66774201818181766</c:v>
                </c:pt>
                <c:pt idx="3">
                  <c:v>0.6927420181818178</c:v>
                </c:pt>
                <c:pt idx="4">
                  <c:v>0.71774201818181782</c:v>
                </c:pt>
                <c:pt idx="5">
                  <c:v>0.74274201818181784</c:v>
                </c:pt>
                <c:pt idx="6">
                  <c:v>0.76774201818181798</c:v>
                </c:pt>
                <c:pt idx="7">
                  <c:v>0.792742018181818</c:v>
                </c:pt>
                <c:pt idx="8">
                  <c:v>0.81774201818181802</c:v>
                </c:pt>
                <c:pt idx="9">
                  <c:v>0.84274201818181815</c:v>
                </c:pt>
                <c:pt idx="10">
                  <c:v>0.86774201818181818</c:v>
                </c:pt>
                <c:pt idx="11">
                  <c:v>0.8927420181818182</c:v>
                </c:pt>
                <c:pt idx="12">
                  <c:v>0.91774201818181833</c:v>
                </c:pt>
                <c:pt idx="13">
                  <c:v>0.94274201818181835</c:v>
                </c:pt>
                <c:pt idx="14">
                  <c:v>0.96774201818181838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0.71722688663181788</c:v>
                </c:pt>
                <c:pt idx="1">
                  <c:v>0.73422688663181801</c:v>
                </c:pt>
                <c:pt idx="2">
                  <c:v>0.75122688663181802</c:v>
                </c:pt>
                <c:pt idx="3">
                  <c:v>0.76822688663181815</c:v>
                </c:pt>
                <c:pt idx="4">
                  <c:v>0.78522688663181817</c:v>
                </c:pt>
                <c:pt idx="5">
                  <c:v>0.80222688663181818</c:v>
                </c:pt>
                <c:pt idx="6">
                  <c:v>0.8192268866318182</c:v>
                </c:pt>
                <c:pt idx="7">
                  <c:v>0.83622688663181821</c:v>
                </c:pt>
                <c:pt idx="8">
                  <c:v>0.85322688663181834</c:v>
                </c:pt>
                <c:pt idx="9">
                  <c:v>0.87022688663181835</c:v>
                </c:pt>
                <c:pt idx="10">
                  <c:v>0.88722688663181848</c:v>
                </c:pt>
                <c:pt idx="11">
                  <c:v>0.90422688663181849</c:v>
                </c:pt>
                <c:pt idx="12">
                  <c:v>0.92122688663181851</c:v>
                </c:pt>
                <c:pt idx="13">
                  <c:v>0.93822688663181841</c:v>
                </c:pt>
                <c:pt idx="14">
                  <c:v>0.95522688663181843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326.89820340425501</c:v>
                </c:pt>
                <c:pt idx="1">
                  <c:v>339.66416085106357</c:v>
                </c:pt>
                <c:pt idx="2">
                  <c:v>352.43011829787207</c:v>
                </c:pt>
                <c:pt idx="3">
                  <c:v>365.19607574468068</c:v>
                </c:pt>
                <c:pt idx="4">
                  <c:v>377.96203319148918</c:v>
                </c:pt>
                <c:pt idx="5">
                  <c:v>390.72799063829768</c:v>
                </c:pt>
                <c:pt idx="6">
                  <c:v>403.4939480851063</c:v>
                </c:pt>
                <c:pt idx="7">
                  <c:v>416.2599055319148</c:v>
                </c:pt>
                <c:pt idx="8">
                  <c:v>429.0258629787233</c:v>
                </c:pt>
                <c:pt idx="9">
                  <c:v>441.79182042553197</c:v>
                </c:pt>
                <c:pt idx="10">
                  <c:v>454.55777787234047</c:v>
                </c:pt>
                <c:pt idx="11">
                  <c:v>467.32373531914902</c:v>
                </c:pt>
                <c:pt idx="12">
                  <c:v>480.08969276595747</c:v>
                </c:pt>
                <c:pt idx="13">
                  <c:v>492.85565021276602</c:v>
                </c:pt>
                <c:pt idx="14">
                  <c:v>505.62160765957452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353.7581018897057</c:v>
                </c:pt>
                <c:pt idx="1">
                  <c:v>361.25810188970576</c:v>
                </c:pt>
                <c:pt idx="2">
                  <c:v>368.75810188970576</c:v>
                </c:pt>
                <c:pt idx="3">
                  <c:v>376.25810188970581</c:v>
                </c:pt>
                <c:pt idx="4">
                  <c:v>383.75810188970581</c:v>
                </c:pt>
                <c:pt idx="5">
                  <c:v>391.25810188970581</c:v>
                </c:pt>
                <c:pt idx="6">
                  <c:v>398.75810188970581</c:v>
                </c:pt>
                <c:pt idx="7">
                  <c:v>406.25810188970587</c:v>
                </c:pt>
                <c:pt idx="8">
                  <c:v>413.75810188970593</c:v>
                </c:pt>
                <c:pt idx="9">
                  <c:v>421.25810188970593</c:v>
                </c:pt>
                <c:pt idx="10">
                  <c:v>428.75810188970598</c:v>
                </c:pt>
                <c:pt idx="11">
                  <c:v>436.25810188970598</c:v>
                </c:pt>
                <c:pt idx="12">
                  <c:v>443.75810188970598</c:v>
                </c:pt>
                <c:pt idx="13">
                  <c:v>451.25810188970598</c:v>
                </c:pt>
                <c:pt idx="14">
                  <c:v>458.75810188970593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6.4230138724999906</c:v>
                </c:pt>
                <c:pt idx="1">
                  <c:v>6.9230138724999906</c:v>
                </c:pt>
                <c:pt idx="2">
                  <c:v>7.4230138724999923</c:v>
                </c:pt>
                <c:pt idx="3">
                  <c:v>7.9230138724999941</c:v>
                </c:pt>
                <c:pt idx="4">
                  <c:v>8.423013872499995</c:v>
                </c:pt>
                <c:pt idx="5">
                  <c:v>8.923013872499995</c:v>
                </c:pt>
                <c:pt idx="6">
                  <c:v>9.4230138724999986</c:v>
                </c:pt>
                <c:pt idx="7">
                  <c:v>9.9230138724999986</c:v>
                </c:pt>
                <c:pt idx="8">
                  <c:v>10.423013872499999</c:v>
                </c:pt>
                <c:pt idx="9">
                  <c:v>10.923013872500002</c:v>
                </c:pt>
                <c:pt idx="10">
                  <c:v>11.423013872500002</c:v>
                </c:pt>
                <c:pt idx="11">
                  <c:v>11.923013872500002</c:v>
                </c:pt>
                <c:pt idx="12">
                  <c:v>12.423013872500006</c:v>
                </c:pt>
                <c:pt idx="13">
                  <c:v>12.923013872500006</c:v>
                </c:pt>
                <c:pt idx="14">
                  <c:v>13.423013872500006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4.4499999999999975</c:v>
                </c:pt>
                <c:pt idx="1">
                  <c:v>4.5999999999999979</c:v>
                </c:pt>
                <c:pt idx="2">
                  <c:v>4.7499999999999982</c:v>
                </c:pt>
                <c:pt idx="3">
                  <c:v>4.8999999999999986</c:v>
                </c:pt>
                <c:pt idx="4">
                  <c:v>5.0499999999999989</c:v>
                </c:pt>
                <c:pt idx="5">
                  <c:v>5.1999999999999993</c:v>
                </c:pt>
                <c:pt idx="6">
                  <c:v>5.35</c:v>
                </c:pt>
                <c:pt idx="7">
                  <c:v>5.5</c:v>
                </c:pt>
                <c:pt idx="8">
                  <c:v>5.65</c:v>
                </c:pt>
                <c:pt idx="9">
                  <c:v>5.8000000000000007</c:v>
                </c:pt>
                <c:pt idx="10">
                  <c:v>5.9500000000000011</c:v>
                </c:pt>
                <c:pt idx="11">
                  <c:v>6.1000000000000014</c:v>
                </c:pt>
                <c:pt idx="12">
                  <c:v>6.2500000000000018</c:v>
                </c:pt>
                <c:pt idx="13">
                  <c:v>6.4000000000000021</c:v>
                </c:pt>
                <c:pt idx="14">
                  <c:v>6.5500000000000025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8.2669586162499957</c:v>
                </c:pt>
                <c:pt idx="1">
                  <c:v>8.6919586162499964</c:v>
                </c:pt>
                <c:pt idx="2">
                  <c:v>9.1169586162499971</c:v>
                </c:pt>
                <c:pt idx="3">
                  <c:v>9.5419586162499979</c:v>
                </c:pt>
                <c:pt idx="4">
                  <c:v>9.9669586162499986</c:v>
                </c:pt>
                <c:pt idx="5">
                  <c:v>10.391958616250001</c:v>
                </c:pt>
                <c:pt idx="6">
                  <c:v>10.81695861625</c:v>
                </c:pt>
                <c:pt idx="7">
                  <c:v>11.241958616250002</c:v>
                </c:pt>
                <c:pt idx="8">
                  <c:v>11.666958616250005</c:v>
                </c:pt>
                <c:pt idx="9">
                  <c:v>12.091958616250004</c:v>
                </c:pt>
                <c:pt idx="10">
                  <c:v>12.516958616250006</c:v>
                </c:pt>
                <c:pt idx="11">
                  <c:v>12.941958616250007</c:v>
                </c:pt>
                <c:pt idx="12">
                  <c:v>13.366958616250006</c:v>
                </c:pt>
                <c:pt idx="13">
                  <c:v>13.79195861625001</c:v>
                </c:pt>
                <c:pt idx="14">
                  <c:v>14.216958616250009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 x14ac:dyDescent="0.15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 x14ac:dyDescent="0.1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1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15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185</v>
      </c>
    </row>
    <row r="4" spans="1:6" x14ac:dyDescent="0.15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187</v>
      </c>
    </row>
    <row r="5" spans="1:6" x14ac:dyDescent="0.15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188</v>
      </c>
    </row>
    <row r="8" spans="1:6" x14ac:dyDescent="0.1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1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15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185</v>
      </c>
    </row>
    <row r="11" spans="1:6" x14ac:dyDescent="0.15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187</v>
      </c>
    </row>
    <row r="12" spans="1:6" x14ac:dyDescent="0.15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16384" width="9.33203125" style="75"/>
  </cols>
  <sheetData>
    <row r="1" spans="1:13" s="62" customFormat="1" ht="12" hidden="1" x14ac:dyDescent="0.15">
      <c r="B1" s="463" t="s">
        <v>46</v>
      </c>
      <c r="C1" s="463"/>
      <c r="D1" s="463"/>
      <c r="E1" s="463"/>
      <c r="F1" s="463"/>
      <c r="G1" s="463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15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15">
      <c r="A4" s="62" t="s">
        <v>42</v>
      </c>
      <c r="B4" s="67">
        <f>Conventional!L8</f>
        <v>0.85</v>
      </c>
      <c r="C4" s="68">
        <f>Conventional!N8</f>
        <v>440</v>
      </c>
      <c r="D4" s="69">
        <f>Conventional!P8</f>
        <v>5.5</v>
      </c>
      <c r="E4" s="69">
        <f>Conventional!R8</f>
        <v>11</v>
      </c>
      <c r="F4" s="69">
        <f>Conventional!T8</f>
        <v>5</v>
      </c>
      <c r="G4" s="69">
        <f>Conventional!X8</f>
        <v>7</v>
      </c>
    </row>
    <row r="5" spans="1:13" s="62" customFormat="1" ht="12" hidden="1" x14ac:dyDescent="0.15">
      <c r="A5" s="70" t="s">
        <v>44</v>
      </c>
      <c r="B5" s="71">
        <f t="shared" ref="B5:G5" si="0">B3*B4</f>
        <v>637.5</v>
      </c>
      <c r="C5" s="71">
        <f>C3*C4/2000</f>
        <v>748</v>
      </c>
      <c r="D5" s="71">
        <f t="shared" si="0"/>
        <v>467.5</v>
      </c>
      <c r="E5" s="71">
        <f t="shared" si="0"/>
        <v>330</v>
      </c>
      <c r="F5" s="71">
        <f t="shared" si="0"/>
        <v>325</v>
      </c>
      <c r="G5" s="71">
        <f t="shared" si="0"/>
        <v>385</v>
      </c>
    </row>
    <row r="6" spans="1:13" s="62" customFormat="1" ht="12" hidden="1" x14ac:dyDescent="0.15">
      <c r="A6" s="70" t="s">
        <v>43</v>
      </c>
      <c r="B6" s="73">
        <f>Conventional!L30</f>
        <v>582.32764176136368</v>
      </c>
      <c r="C6" s="73">
        <f>Conventional!N30</f>
        <v>645.79624999999999</v>
      </c>
      <c r="D6" s="73">
        <f>Conventional!P30</f>
        <v>422.6574767875</v>
      </c>
      <c r="E6" s="73">
        <f>Conventional!R30</f>
        <v>292.41623527500008</v>
      </c>
      <c r="F6" s="73">
        <f>Conventional!T30</f>
        <v>310.17501372499999</v>
      </c>
      <c r="G6" s="73">
        <f>Conventional!X30</f>
        <v>316.07684037499996</v>
      </c>
    </row>
    <row r="7" spans="1:13" s="62" customFormat="1" ht="16" x14ac:dyDescent="0.2">
      <c r="A7" s="466" t="s">
        <v>128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5" t="s">
        <v>153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13" x14ac:dyDescent="0.15">
      <c r="A10" s="459" t="s">
        <v>51</v>
      </c>
      <c r="B10" s="459"/>
      <c r="C10" s="459"/>
      <c r="D10" s="459"/>
      <c r="E10" s="459"/>
      <c r="F10" s="459"/>
      <c r="H10" s="459" t="s">
        <v>52</v>
      </c>
      <c r="I10" s="459"/>
      <c r="J10" s="459"/>
      <c r="K10" s="459"/>
      <c r="L10" s="459"/>
      <c r="M10" s="459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62" t="s">
        <v>36</v>
      </c>
      <c r="I11" s="462"/>
      <c r="J11" s="462"/>
      <c r="K11" s="462"/>
      <c r="L11" s="462"/>
      <c r="M11" s="462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3.8499999999999996</v>
      </c>
      <c r="B14" s="85">
        <f>$A$14*B$13-$D$6</f>
        <v>-177.21997678750003</v>
      </c>
      <c r="C14" s="85">
        <f>$A$14*C$13-$D$6</f>
        <v>-128.13247678750002</v>
      </c>
      <c r="D14" s="85">
        <f>$A$14*D$13-$D$6</f>
        <v>-95.407476787500059</v>
      </c>
      <c r="E14" s="85">
        <f>$A$14*E$13-$D$6</f>
        <v>-62.682476787499979</v>
      </c>
      <c r="F14" s="85">
        <f>$A$14*F$13-$D$6</f>
        <v>-13.594976787500059</v>
      </c>
      <c r="H14" s="84">
        <f>Irrigated!H14</f>
        <v>0.59499999999999997</v>
      </c>
      <c r="I14" s="85">
        <f>$H$14*I$13-$B$6</f>
        <v>-247.64014176136368</v>
      </c>
      <c r="J14" s="85">
        <f>$H$14*J$13-$B$6</f>
        <v>-180.70264176136368</v>
      </c>
      <c r="K14" s="85">
        <f>$H$14*K$13-$B$6</f>
        <v>-136.07764176136368</v>
      </c>
      <c r="L14" s="85">
        <f>$H$14*L$13-$B$6</f>
        <v>-91.452641761363623</v>
      </c>
      <c r="M14" s="85">
        <f>$H$14*M$13-$B$6</f>
        <v>-24.51514176136368</v>
      </c>
    </row>
    <row r="15" spans="1:13" x14ac:dyDescent="0.15">
      <c r="A15" s="86">
        <f>Irrigated!A15</f>
        <v>4.6749999999999998</v>
      </c>
      <c r="B15" s="87">
        <f>$A$15*B$13-$D$6</f>
        <v>-124.6262267875</v>
      </c>
      <c r="C15" s="87">
        <f>$A$15*C$13-$D$6</f>
        <v>-65.019976787500013</v>
      </c>
      <c r="D15" s="87">
        <f>$A$15*D$13-$D$6</f>
        <v>-25.282476787500002</v>
      </c>
      <c r="E15" s="87">
        <f>$A$15*E$13-$D$6</f>
        <v>14.455023212500066</v>
      </c>
      <c r="F15" s="87">
        <f>$A$15*F$13-$D$6</f>
        <v>74.061273212499998</v>
      </c>
      <c r="H15" s="86">
        <f>Irrigated!H15</f>
        <v>0.72249999999999992</v>
      </c>
      <c r="I15" s="87">
        <f>$H$15*I$13-$B$6</f>
        <v>-175.92139176136374</v>
      </c>
      <c r="J15" s="87">
        <f>$H$15*J$13-$B$6</f>
        <v>-94.640141761363736</v>
      </c>
      <c r="K15" s="87">
        <f>$H$15*K$13-$B$6</f>
        <v>-40.452641761363793</v>
      </c>
      <c r="L15" s="87">
        <f>$H$15*L$13-$B$6</f>
        <v>13.73485823863632</v>
      </c>
      <c r="M15" s="87">
        <f>$H$15*M$13-$B$6</f>
        <v>95.016108238636207</v>
      </c>
    </row>
    <row r="16" spans="1:13" x14ac:dyDescent="0.15">
      <c r="A16" s="86">
        <f>Irrigated!A16</f>
        <v>5.5</v>
      </c>
      <c r="B16" s="87">
        <f>$A$16*B$13-$D$6</f>
        <v>-72.032476787500002</v>
      </c>
      <c r="C16" s="87">
        <f>$A$16*C$13-$D$6</f>
        <v>-1.907476787500002</v>
      </c>
      <c r="D16" s="87">
        <f>$A$16*D$13-$D$6</f>
        <v>44.842523212499998</v>
      </c>
      <c r="E16" s="87">
        <f>$A$16*E$13-$D$6</f>
        <v>91.592523212500112</v>
      </c>
      <c r="F16" s="87">
        <f>$A$16*F$13-$D$6</f>
        <v>161.7175232125</v>
      </c>
      <c r="H16" s="86">
        <f>Irrigated!H16</f>
        <v>0.85</v>
      </c>
      <c r="I16" s="87">
        <f>$H$16*I$13-$B$6</f>
        <v>-104.20264176136368</v>
      </c>
      <c r="J16" s="87">
        <f>$H$16*J$13-$B$6</f>
        <v>-8.5776417613636795</v>
      </c>
      <c r="K16" s="87">
        <f>$H$16*K$13-$B$6</f>
        <v>55.17235823863632</v>
      </c>
      <c r="L16" s="87">
        <f>$H$16*L$13-$B$6</f>
        <v>118.92235823863643</v>
      </c>
      <c r="M16" s="87">
        <f>$H$16*M$13-$B$6</f>
        <v>214.54735823863632</v>
      </c>
    </row>
    <row r="17" spans="1:13" x14ac:dyDescent="0.15">
      <c r="A17" s="86">
        <f>Irrigated!A17</f>
        <v>6.3249999999999993</v>
      </c>
      <c r="B17" s="87">
        <f>$A$17*B$13-$D$6</f>
        <v>-19.438726787500059</v>
      </c>
      <c r="C17" s="87">
        <f>$A$17*C$13-$D$6</f>
        <v>61.205023212499952</v>
      </c>
      <c r="D17" s="87">
        <f>$A$17*D$13-$D$6</f>
        <v>114.96752321249988</v>
      </c>
      <c r="E17" s="87">
        <f>$A$17*E$13-$D$6</f>
        <v>168.73002321250004</v>
      </c>
      <c r="F17" s="87">
        <f>$A$17*F$13-$D$6</f>
        <v>249.37377321249988</v>
      </c>
      <c r="H17" s="86">
        <f>Irrigated!H17</f>
        <v>0.97749999999999992</v>
      </c>
      <c r="I17" s="87">
        <f>$H$17*I$13-$B$6</f>
        <v>-32.48389176136368</v>
      </c>
      <c r="J17" s="87">
        <f>$H$17*J$13-$B$6</f>
        <v>77.48485823863632</v>
      </c>
      <c r="K17" s="87">
        <f>$H$17*K$13-$B$6</f>
        <v>150.79735823863632</v>
      </c>
      <c r="L17" s="87">
        <f>$H$17*L$13-$B$6</f>
        <v>224.10985823863632</v>
      </c>
      <c r="M17" s="87">
        <f>$H$17*M$13-$B$6</f>
        <v>334.07860823863621</v>
      </c>
    </row>
    <row r="18" spans="1:13" x14ac:dyDescent="0.15">
      <c r="A18" s="88">
        <f>Irrigated!A18</f>
        <v>7.15</v>
      </c>
      <c r="B18" s="89">
        <f>$A$18*B$13-$D$6</f>
        <v>33.155023212499998</v>
      </c>
      <c r="C18" s="89">
        <f>$A$18*C$13-$D$6</f>
        <v>124.31752321250002</v>
      </c>
      <c r="D18" s="89">
        <f>$A$18*D$13-$D$6</f>
        <v>185.0925232125</v>
      </c>
      <c r="E18" s="89">
        <f>$A$18*E$13-$D$6</f>
        <v>245.86752321250009</v>
      </c>
      <c r="F18" s="89">
        <f>$A$18*F$13-$D$6</f>
        <v>337.0300232125</v>
      </c>
      <c r="H18" s="88">
        <f>Irrigated!H18</f>
        <v>1.105</v>
      </c>
      <c r="I18" s="89">
        <f>$H$18*I$13-$B$6</f>
        <v>39.23485823863632</v>
      </c>
      <c r="J18" s="89">
        <f>$H$18*J$13-$B$6</f>
        <v>163.54735823863632</v>
      </c>
      <c r="K18" s="89">
        <f>$H$18*K$13-$B$6</f>
        <v>246.42235823863632</v>
      </c>
      <c r="L18" s="89">
        <f>$H$18*L$13-$B$6</f>
        <v>329.29735823863643</v>
      </c>
      <c r="M18" s="89">
        <f>$H$18*M$13-$B$6</f>
        <v>453.60985823863632</v>
      </c>
    </row>
    <row r="20" spans="1:13" x14ac:dyDescent="0.15">
      <c r="A20" s="459" t="s">
        <v>54</v>
      </c>
      <c r="B20" s="459"/>
      <c r="C20" s="459"/>
      <c r="D20" s="459"/>
      <c r="E20" s="459"/>
      <c r="F20" s="459"/>
      <c r="H20" s="460" t="s">
        <v>121</v>
      </c>
      <c r="I20" s="460"/>
      <c r="J20" s="460"/>
      <c r="K20" s="460"/>
      <c r="L20" s="460"/>
      <c r="M20" s="460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1" t="s">
        <v>36</v>
      </c>
      <c r="I21" s="461"/>
      <c r="J21" s="461"/>
      <c r="K21" s="461"/>
      <c r="L21" s="461"/>
      <c r="M21" s="461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3.5</v>
      </c>
      <c r="B24" s="85">
        <f>$A$24*B$23-$F$6</f>
        <v>-139.55001372499999</v>
      </c>
      <c r="C24" s="85">
        <f>$A$24*C$23-$F$6</f>
        <v>-105.42501372499999</v>
      </c>
      <c r="D24" s="85">
        <f>$A$24*D$23-$F$6</f>
        <v>-82.675013724999985</v>
      </c>
      <c r="E24" s="85">
        <f>$A$24*E$23-$F$6</f>
        <v>-59.925013724999985</v>
      </c>
      <c r="F24" s="85">
        <f>$A$24*F$23-$F$6</f>
        <v>-25.800013724999985</v>
      </c>
      <c r="H24" s="90">
        <f>Irrigated!H24</f>
        <v>308</v>
      </c>
      <c r="I24" s="85">
        <f>$H$24*I$23/2000-$C$6</f>
        <v>-253.09625</v>
      </c>
      <c r="J24" s="85">
        <f>$H$24*J$23/2000-$C$6</f>
        <v>-174.55624999999998</v>
      </c>
      <c r="K24" s="85">
        <f>$H$24*K$23/2000-$C$6</f>
        <v>-122.19624999999996</v>
      </c>
      <c r="L24" s="85">
        <f>$H$24*L$23/2000-$C$6</f>
        <v>-69.836249999999836</v>
      </c>
      <c r="M24" s="85">
        <f>$H$24*M$23/2000-$C$6</f>
        <v>8.7037500000000136</v>
      </c>
    </row>
    <row r="25" spans="1:13" x14ac:dyDescent="0.15">
      <c r="A25" s="86">
        <f>Irrigated!A25</f>
        <v>4.25</v>
      </c>
      <c r="B25" s="87">
        <f>$A$25*B$23-$F$6</f>
        <v>-102.98751372499999</v>
      </c>
      <c r="C25" s="87">
        <f>$A$25*C$23-$F$6</f>
        <v>-61.550013724999985</v>
      </c>
      <c r="D25" s="87">
        <f>$A$25*D$23-$F$6</f>
        <v>-33.925013724999985</v>
      </c>
      <c r="E25" s="87">
        <f>$A$25*E$23-$F$6</f>
        <v>-6.3000137249999852</v>
      </c>
      <c r="F25" s="87">
        <f>$A$25*F$23-$F$6</f>
        <v>35.137486275000015</v>
      </c>
      <c r="H25" s="91">
        <f>Irrigated!H25</f>
        <v>374</v>
      </c>
      <c r="I25" s="87">
        <f>$H$25*I$23/2000-$C$6</f>
        <v>-168.94624999999996</v>
      </c>
      <c r="J25" s="87">
        <f>$H$25*J$23/2000-$C$6</f>
        <v>-73.576249999999959</v>
      </c>
      <c r="K25" s="87">
        <f>$H$25*K$23/2000-$C$6</f>
        <v>-9.9962500000000318</v>
      </c>
      <c r="L25" s="87">
        <f>$H$25*L$23/2000-$C$6</f>
        <v>53.583750000000123</v>
      </c>
      <c r="M25" s="87">
        <f>$H$25*M$23/2000-$C$6</f>
        <v>148.95375000000001</v>
      </c>
    </row>
    <row r="26" spans="1:13" x14ac:dyDescent="0.15">
      <c r="A26" s="86">
        <f>Irrigated!A26</f>
        <v>5</v>
      </c>
      <c r="B26" s="87">
        <f>$A$26*B$23-$F$6</f>
        <v>-66.425013724999985</v>
      </c>
      <c r="C26" s="87">
        <f>$A$26*C$23-$F$6</f>
        <v>-17.675013724999985</v>
      </c>
      <c r="D26" s="87">
        <f>$A$26*D$23-$F$6</f>
        <v>14.824986275000015</v>
      </c>
      <c r="E26" s="87">
        <f>$A$26*E$23-$F$6</f>
        <v>47.324986275000015</v>
      </c>
      <c r="F26" s="87">
        <f>$A$26*F$23-$F$6</f>
        <v>96.074986275000015</v>
      </c>
      <c r="H26" s="91">
        <f>Irrigated!H26</f>
        <v>440</v>
      </c>
      <c r="I26" s="87">
        <f>$H$26*I$23/2000-$C$6</f>
        <v>-84.796249999999986</v>
      </c>
      <c r="J26" s="87">
        <f>$H$26*J$23/2000-$C$6</f>
        <v>27.403750000000059</v>
      </c>
      <c r="K26" s="87">
        <f>$H$26*K$23/2000-$C$6</f>
        <v>102.20375000000001</v>
      </c>
      <c r="L26" s="87">
        <f>$H$26*L$23/2000-$C$6</f>
        <v>177.00375000000008</v>
      </c>
      <c r="M26" s="87">
        <f>$H$26*M$23/2000-$C$6</f>
        <v>289.20375000000001</v>
      </c>
    </row>
    <row r="27" spans="1:13" x14ac:dyDescent="0.15">
      <c r="A27" s="86">
        <f>Irrigated!A27</f>
        <v>5.75</v>
      </c>
      <c r="B27" s="87">
        <f>$A$27*B$23-$F$6</f>
        <v>-29.862513724999985</v>
      </c>
      <c r="C27" s="87">
        <f>$A$27*C$23-$F$6</f>
        <v>26.199986275000015</v>
      </c>
      <c r="D27" s="87">
        <f>$A$27*D$23-$F$6</f>
        <v>63.574986275000015</v>
      </c>
      <c r="E27" s="87">
        <f>$A$27*E$23-$F$6</f>
        <v>100.94998627500001</v>
      </c>
      <c r="F27" s="87">
        <f>$A$27*F$23-$F$6</f>
        <v>157.01248627500001</v>
      </c>
      <c r="H27" s="91">
        <f>Irrigated!H27</f>
        <v>505.99999999999994</v>
      </c>
      <c r="I27" s="87">
        <f>$H$27*I$23/2000-$C$6</f>
        <v>-0.64625000000012278</v>
      </c>
      <c r="J27" s="87">
        <f>$H$27*J$23/2000-$C$6</f>
        <v>128.38374999999985</v>
      </c>
      <c r="K27" s="87">
        <f>$H$27*K$23/2000-$C$6</f>
        <v>214.40374999999995</v>
      </c>
      <c r="L27" s="87">
        <f>$H$27*L$23/2000-$C$6</f>
        <v>300.42375000000004</v>
      </c>
      <c r="M27" s="87">
        <f>$H$27*M$23/2000-$C$6</f>
        <v>429.45374999999979</v>
      </c>
    </row>
    <row r="28" spans="1:13" x14ac:dyDescent="0.15">
      <c r="A28" s="88">
        <f>Irrigated!A28</f>
        <v>6.5</v>
      </c>
      <c r="B28" s="89">
        <f>$A$28*B$23-$F$6</f>
        <v>6.6999862750000148</v>
      </c>
      <c r="C28" s="89">
        <f>$A$28*C$23-$F$6</f>
        <v>70.074986275000015</v>
      </c>
      <c r="D28" s="89">
        <f>$A$28*D$23-$F$6</f>
        <v>112.32498627500001</v>
      </c>
      <c r="E28" s="89">
        <f>$A$28*E$23-$F$6</f>
        <v>154.57498627500001</v>
      </c>
      <c r="F28" s="89">
        <f>$A$28*F$23-$F$6</f>
        <v>217.94998627500001</v>
      </c>
      <c r="H28" s="92">
        <f>Irrigated!H28</f>
        <v>572</v>
      </c>
      <c r="I28" s="89">
        <f>$H$28*I$23/2000-$C$6</f>
        <v>83.503749999999968</v>
      </c>
      <c r="J28" s="89">
        <f>$H$28*J$23/2000-$C$6</f>
        <v>229.36374999999998</v>
      </c>
      <c r="K28" s="89">
        <f>$H$28*K$23/2000-$C$6</f>
        <v>326.60374999999999</v>
      </c>
      <c r="L28" s="89">
        <f>$H$28*L$23/2000-$C$6</f>
        <v>423.84375000000034</v>
      </c>
      <c r="M28" s="89">
        <f>$H$28*M$23/2000-$C$6</f>
        <v>569.70375000000001</v>
      </c>
    </row>
    <row r="30" spans="1:13" x14ac:dyDescent="0.15">
      <c r="A30" s="459" t="s">
        <v>53</v>
      </c>
      <c r="B30" s="459"/>
      <c r="C30" s="459"/>
      <c r="D30" s="459"/>
      <c r="E30" s="459"/>
      <c r="F30" s="459"/>
      <c r="H30" s="459" t="s">
        <v>63</v>
      </c>
      <c r="I30" s="459"/>
      <c r="J30" s="459"/>
      <c r="K30" s="459"/>
      <c r="L30" s="459"/>
      <c r="M30" s="459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15">
      <c r="A34" s="84">
        <f>Irrigated!A34</f>
        <v>7.6999999999999993</v>
      </c>
      <c r="B34" s="85">
        <f>$A$34*B$33-$E$6</f>
        <v>-119.1662352750001</v>
      </c>
      <c r="C34" s="85">
        <f>$A$34*C$33-$E$6</f>
        <v>-84.516235275000099</v>
      </c>
      <c r="D34" s="85">
        <f>$A$34*D$33-$E$6</f>
        <v>-61.416235275000105</v>
      </c>
      <c r="E34" s="85">
        <f>$A$34*E$33-$E$6</f>
        <v>-38.316235275000111</v>
      </c>
      <c r="F34" s="85">
        <f>$A$34*F$33-$E$6</f>
        <v>-3.6662352750000764</v>
      </c>
      <c r="H34" s="84">
        <f>Irrigated!H34</f>
        <v>4.8999999999999995</v>
      </c>
      <c r="I34" s="85">
        <f>$H$34*I$33-$G$6</f>
        <v>-113.95184037499999</v>
      </c>
      <c r="J34" s="85">
        <f>$H$34*J$33-$G$6</f>
        <v>-73.526840374999978</v>
      </c>
      <c r="K34" s="85">
        <f>$H$34*K$33-$G$6</f>
        <v>-46.576840375000018</v>
      </c>
      <c r="L34" s="85">
        <f>$H$34*L$33-$G$6</f>
        <v>-19.626840374999972</v>
      </c>
      <c r="M34" s="85">
        <f>$H$34*M$33-$G$6</f>
        <v>20.798159624999982</v>
      </c>
    </row>
    <row r="35" spans="1:13" x14ac:dyDescent="0.15">
      <c r="A35" s="86">
        <f>Irrigated!A35</f>
        <v>9.35</v>
      </c>
      <c r="B35" s="87">
        <f>$A$35*B$33-$E$6</f>
        <v>-82.041235275000076</v>
      </c>
      <c r="C35" s="87">
        <f>$A$35*C$33-$E$6</f>
        <v>-39.966235275000088</v>
      </c>
      <c r="D35" s="87">
        <f>$A$35*D$33-$E$6</f>
        <v>-11.916235275000076</v>
      </c>
      <c r="E35" s="87">
        <f>$A$35*E$33-$E$6</f>
        <v>16.133764724999935</v>
      </c>
      <c r="F35" s="87">
        <f>$A$35*F$33-$E$6</f>
        <v>58.208764724999924</v>
      </c>
      <c r="H35" s="86">
        <f>Irrigated!H35</f>
        <v>5.95</v>
      </c>
      <c r="I35" s="87">
        <f>$H$35*I$33-$G$6</f>
        <v>-70.639340374999961</v>
      </c>
      <c r="J35" s="87">
        <f>$H$35*J$33-$G$6</f>
        <v>-21.551840374999927</v>
      </c>
      <c r="K35" s="87">
        <f>$H$35*K$33-$G$6</f>
        <v>11.173159625000039</v>
      </c>
      <c r="L35" s="87">
        <f>$H$35*L$33-$G$6</f>
        <v>43.898159625000119</v>
      </c>
      <c r="M35" s="87">
        <f>$H$35*M$33-$G$6</f>
        <v>92.985659625000039</v>
      </c>
    </row>
    <row r="36" spans="1:13" x14ac:dyDescent="0.15">
      <c r="A36" s="86">
        <f>Irrigated!A36</f>
        <v>11</v>
      </c>
      <c r="B36" s="87">
        <f>$A$36*B$33-$E$6</f>
        <v>-44.916235275000076</v>
      </c>
      <c r="C36" s="87">
        <f>$A$36*C$33-$E$6</f>
        <v>4.5837647249999236</v>
      </c>
      <c r="D36" s="87">
        <f>$A$36*D$33-$E$6</f>
        <v>37.583764724999924</v>
      </c>
      <c r="E36" s="87">
        <f>$A$36*E$33-$E$6</f>
        <v>70.583764724999924</v>
      </c>
      <c r="F36" s="87">
        <f>$A$36*F$33-$E$6</f>
        <v>120.08376472499992</v>
      </c>
      <c r="H36" s="86">
        <f>Irrigated!H36</f>
        <v>7</v>
      </c>
      <c r="I36" s="87">
        <f>$H$36*I$33-$G$6</f>
        <v>-27.326840374999961</v>
      </c>
      <c r="J36" s="87">
        <f>$H$36*J$33-$G$6</f>
        <v>30.423159625000039</v>
      </c>
      <c r="K36" s="87">
        <f>$H$36*K$33-$G$6</f>
        <v>68.923159625000039</v>
      </c>
      <c r="L36" s="87">
        <f>$H$36*L$33-$G$6</f>
        <v>107.4231596250001</v>
      </c>
      <c r="M36" s="87">
        <f>$H$36*M$33-$G$6</f>
        <v>165.17315962500004</v>
      </c>
    </row>
    <row r="37" spans="1:13" x14ac:dyDescent="0.15">
      <c r="A37" s="86">
        <f>Irrigated!A37</f>
        <v>12.649999999999999</v>
      </c>
      <c r="B37" s="87">
        <f>$A$37*B$33-$E$6</f>
        <v>-7.7912352750001332</v>
      </c>
      <c r="C37" s="87">
        <f>$A$37*C$33-$E$6</f>
        <v>49.133764724999878</v>
      </c>
      <c r="D37" s="87">
        <f>$A$37*D$33-$E$6</f>
        <v>87.083764724999867</v>
      </c>
      <c r="E37" s="87">
        <f>$A$37*E$33-$E$6</f>
        <v>125.03376472499986</v>
      </c>
      <c r="F37" s="87">
        <f>$A$37*F$33-$E$6</f>
        <v>181.95876472499987</v>
      </c>
      <c r="H37" s="86">
        <f>Irrigated!H37</f>
        <v>8.0499999999999989</v>
      </c>
      <c r="I37" s="87">
        <f>$H$37*I$33-$G$6</f>
        <v>15.985659624999982</v>
      </c>
      <c r="J37" s="87">
        <f>$H$37*J$33-$G$6</f>
        <v>82.398159625000005</v>
      </c>
      <c r="K37" s="87">
        <f>$H$37*K$33-$G$6</f>
        <v>126.67315962499998</v>
      </c>
      <c r="L37" s="87">
        <f>$H$37*L$33-$G$6</f>
        <v>170.94815962500002</v>
      </c>
      <c r="M37" s="87">
        <f>$H$37*M$33-$G$6</f>
        <v>237.36065962499993</v>
      </c>
    </row>
    <row r="38" spans="1:13" x14ac:dyDescent="0.15">
      <c r="A38" s="88">
        <f>Irrigated!A38</f>
        <v>14.3</v>
      </c>
      <c r="B38" s="89">
        <f>$A$38*B$33-$E$6</f>
        <v>29.333764724999924</v>
      </c>
      <c r="C38" s="89">
        <f>$A$38*C$33-$E$6</f>
        <v>93.683764724999946</v>
      </c>
      <c r="D38" s="89">
        <f>$A$38*D$33-$E$6</f>
        <v>136.58376472499992</v>
      </c>
      <c r="E38" s="89">
        <f>$A$38*E$33-$E$6</f>
        <v>179.48376472499996</v>
      </c>
      <c r="F38" s="89">
        <f>$A$38*F$33-$E$6</f>
        <v>243.83376472499992</v>
      </c>
      <c r="H38" s="88">
        <f>Irrigated!H38</f>
        <v>9.1</v>
      </c>
      <c r="I38" s="89">
        <f>$H$38*I$33-$G$6</f>
        <v>59.298159625000039</v>
      </c>
      <c r="J38" s="89">
        <f>$H$38*J$33-$G$6</f>
        <v>134.37315962500003</v>
      </c>
      <c r="K38" s="89">
        <f>$H$38*K$33-$G$6</f>
        <v>184.42315962500004</v>
      </c>
      <c r="L38" s="89">
        <f>$H$38*L$33-$G$6</f>
        <v>234.47315962500011</v>
      </c>
      <c r="M38" s="89">
        <f>$H$38*M$33-$G$6</f>
        <v>309.54815962500004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4" width="6.5" style="75" bestFit="1" customWidth="1"/>
    <col min="15" max="16384" width="9.6640625" style="75"/>
  </cols>
  <sheetData>
    <row r="1" spans="1:13" s="62" customFormat="1" ht="12" hidden="1" x14ac:dyDescent="0.15">
      <c r="A1" s="61"/>
      <c r="B1" s="467" t="s">
        <v>45</v>
      </c>
      <c r="C1" s="467"/>
      <c r="D1" s="467"/>
      <c r="E1" s="467"/>
      <c r="F1" s="467"/>
      <c r="G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15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15">
      <c r="A4" s="62" t="s">
        <v>42</v>
      </c>
      <c r="B4" s="67">
        <f>'Strip-Till'!B8</f>
        <v>0.85</v>
      </c>
      <c r="C4" s="68">
        <f>'Strip-Till'!D8</f>
        <v>440</v>
      </c>
      <c r="D4" s="69">
        <f>'Strip-Till'!F8</f>
        <v>5.5</v>
      </c>
      <c r="E4" s="69">
        <f>'Strip-Till'!H8</f>
        <v>11</v>
      </c>
      <c r="F4" s="69">
        <f>'Strip-Till'!J8</f>
        <v>5</v>
      </c>
      <c r="G4" s="69"/>
    </row>
    <row r="5" spans="1:13" s="62" customFormat="1" ht="12" hidden="1" x14ac:dyDescent="0.15">
      <c r="A5" s="70" t="s">
        <v>44</v>
      </c>
      <c r="B5" s="71">
        <f>B3*B4</f>
        <v>1020</v>
      </c>
      <c r="C5" s="71">
        <f>C3*C4/2000</f>
        <v>1034</v>
      </c>
      <c r="D5" s="71">
        <f>D3*D4</f>
        <v>1100</v>
      </c>
      <c r="E5" s="71">
        <f>E3*E4</f>
        <v>660</v>
      </c>
      <c r="F5" s="71">
        <f>F3*F4</f>
        <v>500</v>
      </c>
      <c r="G5" s="72"/>
    </row>
    <row r="6" spans="1:13" s="62" customFormat="1" ht="12" hidden="1" x14ac:dyDescent="0.15">
      <c r="A6" s="70" t="s">
        <v>43</v>
      </c>
      <c r="B6" s="73">
        <f>'Strip-Till'!B31</f>
        <v>723.50731131818179</v>
      </c>
      <c r="C6" s="73">
        <f>'Strip-Till'!D31</f>
        <v>715.91908000000001</v>
      </c>
      <c r="D6" s="73">
        <f>'Strip-Till'!F31</f>
        <v>867.05370200000016</v>
      </c>
      <c r="E6" s="73">
        <f>'Strip-Till'!H31</f>
        <v>334.26819060000008</v>
      </c>
      <c r="F6" s="73">
        <f>'Strip-Till'!J31</f>
        <v>443.30330799999996</v>
      </c>
      <c r="G6" s="68"/>
    </row>
    <row r="7" spans="1:13" s="62" customFormat="1" ht="16" x14ac:dyDescent="0.2">
      <c r="A7" s="466" t="s">
        <v>129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5" t="s">
        <v>153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13" x14ac:dyDescent="0.15">
      <c r="A10" s="459" t="s">
        <v>55</v>
      </c>
      <c r="B10" s="459"/>
      <c r="C10" s="459"/>
      <c r="D10" s="459"/>
      <c r="E10" s="459"/>
      <c r="F10" s="459"/>
      <c r="H10" s="459" t="s">
        <v>56</v>
      </c>
      <c r="I10" s="459"/>
      <c r="J10" s="459"/>
      <c r="K10" s="459"/>
      <c r="L10" s="459"/>
      <c r="M10" s="459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62" t="s">
        <v>36</v>
      </c>
      <c r="I11" s="462"/>
      <c r="J11" s="462"/>
      <c r="K11" s="462"/>
      <c r="L11" s="462"/>
      <c r="M11" s="462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Irrigated!A14</f>
        <v>3.8499999999999996</v>
      </c>
      <c r="B14" s="85">
        <f>$A$14*B$13-$D$6</f>
        <v>-289.55370200000016</v>
      </c>
      <c r="C14" s="85">
        <f>$A$14*C$13-$D$6</f>
        <v>-174.05370200000027</v>
      </c>
      <c r="D14" s="85">
        <f>$A$14*D$13-$D$6</f>
        <v>-97.053702000000271</v>
      </c>
      <c r="E14" s="85">
        <f>$A$14*E$13-$D$6</f>
        <v>-20.053702000000158</v>
      </c>
      <c r="F14" s="85">
        <f>$A$14*F$13-$D$6</f>
        <v>95.446297999999729</v>
      </c>
      <c r="H14" s="84">
        <f>Irrigated!H14</f>
        <v>0.59499999999999997</v>
      </c>
      <c r="I14" s="87">
        <f>$H$14*$I$13-$B$6</f>
        <v>-188.00731131818179</v>
      </c>
      <c r="J14" s="87">
        <f>$H$14*J13-$B$6</f>
        <v>-80.907311318181769</v>
      </c>
      <c r="K14" s="87">
        <f>$H$14*K13-$B$6</f>
        <v>-9.5073113181817916</v>
      </c>
      <c r="L14" s="87">
        <f>$H$14*L13-$B$6</f>
        <v>61.892688681818186</v>
      </c>
      <c r="M14" s="87">
        <f>$H$14*M13-$B$6</f>
        <v>168.99268868181821</v>
      </c>
    </row>
    <row r="15" spans="1:13" x14ac:dyDescent="0.15">
      <c r="A15" s="86">
        <f>Irrigated!A15</f>
        <v>4.6749999999999998</v>
      </c>
      <c r="B15" s="87">
        <f>$A$15*B$13-$D$6</f>
        <v>-165.80370200000016</v>
      </c>
      <c r="C15" s="87">
        <f>$A$15*C$13-$D$6</f>
        <v>-25.553702000000158</v>
      </c>
      <c r="D15" s="87">
        <f>$A$15*D$13-$D$6</f>
        <v>67.946297999999842</v>
      </c>
      <c r="E15" s="87">
        <f>$A$15*E$13-$D$6</f>
        <v>161.44629799999984</v>
      </c>
      <c r="F15" s="87">
        <f>$A$15*F$13-$D$6</f>
        <v>301.69629799999984</v>
      </c>
      <c r="H15" s="86">
        <f>Irrigated!H15</f>
        <v>0.72249999999999992</v>
      </c>
      <c r="I15" s="87">
        <f>$H$15*$I$13-$B$6</f>
        <v>-73.257311318181905</v>
      </c>
      <c r="J15" s="87">
        <f>$H$15*J13-$B$6</f>
        <v>56.792688681818163</v>
      </c>
      <c r="K15" s="87">
        <f>$H$15*K13-$B$6</f>
        <v>143.49268868181809</v>
      </c>
      <c r="L15" s="87">
        <f>$H$15*L13-$B$6</f>
        <v>230.19268868181814</v>
      </c>
      <c r="M15" s="87">
        <f>$H$15*M13-$B$6</f>
        <v>360.24268868181798</v>
      </c>
    </row>
    <row r="16" spans="1:13" x14ac:dyDescent="0.15">
      <c r="A16" s="86">
        <f>Irrigated!A16</f>
        <v>5.5</v>
      </c>
      <c r="B16" s="87">
        <f>$A$16*B$13-$D$6</f>
        <v>-42.053702000000158</v>
      </c>
      <c r="C16" s="87">
        <f>$A$16*C$13-$D$6</f>
        <v>122.94629799999984</v>
      </c>
      <c r="D16" s="87">
        <f>$A$16*D$13-$D$6</f>
        <v>232.94629799999984</v>
      </c>
      <c r="E16" s="87">
        <f>$A$16*E$13-$D$6</f>
        <v>342.94629800000007</v>
      </c>
      <c r="F16" s="87">
        <f>$A$16*F$13-$D$6</f>
        <v>507.94629799999984</v>
      </c>
      <c r="H16" s="86">
        <f>Irrigated!H16</f>
        <v>0.85</v>
      </c>
      <c r="I16" s="87">
        <f>$H$16*$I$13-$B$6</f>
        <v>41.492688681818208</v>
      </c>
      <c r="J16" s="87">
        <f>$H$16*J13-$B$6</f>
        <v>194.49268868181821</v>
      </c>
      <c r="K16" s="87">
        <f>$H$16*K13-$B$6</f>
        <v>296.49268868181821</v>
      </c>
      <c r="L16" s="87">
        <f>$H$16*L13-$B$6</f>
        <v>398.49268868181821</v>
      </c>
      <c r="M16" s="87">
        <f>$H$16*M13-$B$6</f>
        <v>551.49268868181821</v>
      </c>
    </row>
    <row r="17" spans="1:13" x14ac:dyDescent="0.15">
      <c r="A17" s="86">
        <f>Irrigated!A17</f>
        <v>6.3249999999999993</v>
      </c>
      <c r="B17" s="87">
        <f>$A$17*B$13-$D$6</f>
        <v>81.696297999999729</v>
      </c>
      <c r="C17" s="87">
        <f>$A$17*C$13-$D$6</f>
        <v>271.44629799999962</v>
      </c>
      <c r="D17" s="87">
        <f>$A$17*D$13-$D$6</f>
        <v>397.94629799999962</v>
      </c>
      <c r="E17" s="87">
        <f>$A$17*E$13-$D$6</f>
        <v>524.44629799999984</v>
      </c>
      <c r="F17" s="87">
        <f>$A$17*F$13-$D$6</f>
        <v>714.19629799999962</v>
      </c>
      <c r="H17" s="86">
        <f>Irrigated!H17</f>
        <v>0.97749999999999992</v>
      </c>
      <c r="I17" s="87">
        <f>$H$17*$I$13-$B$6</f>
        <v>156.24268868181809</v>
      </c>
      <c r="J17" s="87">
        <f>$H$17*J13-$B$6</f>
        <v>332.19268868181803</v>
      </c>
      <c r="K17" s="87">
        <f>$H$17*K13-$B$6</f>
        <v>449.49268868181821</v>
      </c>
      <c r="L17" s="87">
        <f>$H$17*L13-$B$6</f>
        <v>566.79268868181816</v>
      </c>
      <c r="M17" s="87">
        <f>$H$17*M13-$B$6</f>
        <v>742.74268868181821</v>
      </c>
    </row>
    <row r="18" spans="1:13" x14ac:dyDescent="0.15">
      <c r="A18" s="88">
        <f>Irrigated!A18</f>
        <v>7.15</v>
      </c>
      <c r="B18" s="89">
        <f>$A$18*B$13-$D$6</f>
        <v>205.44629799999984</v>
      </c>
      <c r="C18" s="89">
        <f>$A$18*C$13-$D$6</f>
        <v>419.94629799999984</v>
      </c>
      <c r="D18" s="89">
        <f>$A$18*D$13-$D$6</f>
        <v>562.94629799999984</v>
      </c>
      <c r="E18" s="89">
        <f>$A$18*E$13-$D$6</f>
        <v>705.94629800000007</v>
      </c>
      <c r="F18" s="89">
        <f>$A$18*F$13-$D$6</f>
        <v>920.44629799999984</v>
      </c>
      <c r="H18" s="88">
        <f>Irrigated!H18</f>
        <v>1.105</v>
      </c>
      <c r="I18" s="89">
        <f>$H$18*$I$13-$B$6</f>
        <v>270.99268868181821</v>
      </c>
      <c r="J18" s="89">
        <f>$H$18*J13-$B$6</f>
        <v>469.8926886818183</v>
      </c>
      <c r="K18" s="89">
        <f>$H$18*K13-$B$6</f>
        <v>602.49268868181821</v>
      </c>
      <c r="L18" s="89">
        <f>$H$18*L13-$B$6</f>
        <v>735.09268868181812</v>
      </c>
      <c r="M18" s="89">
        <f>$H$18*M13-$B$6</f>
        <v>933.99268868181821</v>
      </c>
    </row>
    <row r="20" spans="1:13" x14ac:dyDescent="0.15">
      <c r="A20" s="459" t="s">
        <v>57</v>
      </c>
      <c r="B20" s="459"/>
      <c r="C20" s="459"/>
      <c r="D20" s="459"/>
      <c r="E20" s="459"/>
      <c r="F20" s="459"/>
      <c r="H20" s="460" t="s">
        <v>122</v>
      </c>
      <c r="I20" s="460"/>
      <c r="J20" s="460"/>
      <c r="K20" s="460"/>
      <c r="L20" s="460"/>
      <c r="M20" s="460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1" t="s">
        <v>36</v>
      </c>
      <c r="I21" s="461"/>
      <c r="J21" s="461"/>
      <c r="K21" s="461"/>
      <c r="L21" s="461"/>
      <c r="M21" s="461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Irrigated!A24</f>
        <v>3.5</v>
      </c>
      <c r="B24" s="85">
        <f>$A$24*B$23-$F$6</f>
        <v>-180.80330799999996</v>
      </c>
      <c r="C24" s="85">
        <f>$A$24*C$23-$F$6</f>
        <v>-128.30330799999996</v>
      </c>
      <c r="D24" s="85">
        <f>$A$24*D$23-$F$6</f>
        <v>-93.303307999999959</v>
      </c>
      <c r="E24" s="85">
        <f>$A$24*E$23-$F$6</f>
        <v>-58.303307999999902</v>
      </c>
      <c r="F24" s="85">
        <f>$A$24*F$23-$F$6</f>
        <v>-5.8033079999999586</v>
      </c>
      <c r="H24" s="90">
        <f>Irrigated!H24</f>
        <v>308</v>
      </c>
      <c r="I24" s="85">
        <f>$H$24*I$23/2000-$C$6</f>
        <v>-173.06907999999999</v>
      </c>
      <c r="J24" s="85">
        <f>$H$24*J$23/2000-$C$6</f>
        <v>-64.499080000000049</v>
      </c>
      <c r="K24" s="85">
        <f>$H$24*K$23/2000-$C$6</f>
        <v>7.8809199999999464</v>
      </c>
      <c r="L24" s="85">
        <f>$H$24*L$23/2000-$C$6</f>
        <v>80.260919999999942</v>
      </c>
      <c r="M24" s="85">
        <f>$H$24*M$23/2000-$C$6</f>
        <v>188.83091999999999</v>
      </c>
    </row>
    <row r="25" spans="1:13" x14ac:dyDescent="0.15">
      <c r="A25" s="86">
        <f>Irrigated!A25</f>
        <v>4.25</v>
      </c>
      <c r="B25" s="87">
        <f>$A$25*B$23-$F$6</f>
        <v>-124.55330799999996</v>
      </c>
      <c r="C25" s="87">
        <f>$A$25*C$23-$F$6</f>
        <v>-60.803307999999959</v>
      </c>
      <c r="D25" s="87">
        <f>$A$25*D$23-$F$6</f>
        <v>-18.303307999999959</v>
      </c>
      <c r="E25" s="87">
        <f>$A$25*E$23-$F$6</f>
        <v>24.196692000000098</v>
      </c>
      <c r="F25" s="87">
        <f>$A$25*F$23-$F$6</f>
        <v>87.946692000000041</v>
      </c>
      <c r="H25" s="91">
        <f>Irrigated!H25</f>
        <v>374</v>
      </c>
      <c r="I25" s="87">
        <f>$H$25*I$23/2000-$C$6</f>
        <v>-56.744080000000054</v>
      </c>
      <c r="J25" s="87">
        <f>$H$25*J$23/2000-$C$6</f>
        <v>75.090919999999983</v>
      </c>
      <c r="K25" s="87">
        <f>$H$25*K$23/2000-$C$6</f>
        <v>162.98091999999997</v>
      </c>
      <c r="L25" s="87">
        <f>$H$25*L$23/2000-$C$6</f>
        <v>250.87091999999996</v>
      </c>
      <c r="M25" s="87">
        <f>$H$25*M$23/2000-$C$6</f>
        <v>382.70591999999999</v>
      </c>
    </row>
    <row r="26" spans="1:13" x14ac:dyDescent="0.15">
      <c r="A26" s="86">
        <f>Irrigated!A26</f>
        <v>5</v>
      </c>
      <c r="B26" s="87">
        <f>$A$26*B$23-$F$6</f>
        <v>-68.303307999999959</v>
      </c>
      <c r="C26" s="87">
        <f>$A$26*C$23-$F$6</f>
        <v>6.6966920000000414</v>
      </c>
      <c r="D26" s="87">
        <f>$A$26*D$23-$F$6</f>
        <v>56.696692000000041</v>
      </c>
      <c r="E26" s="87">
        <f>$A$26*E$23-$F$6</f>
        <v>106.69669200000016</v>
      </c>
      <c r="F26" s="87">
        <f>$A$26*F$23-$F$6</f>
        <v>181.69669200000004</v>
      </c>
      <c r="H26" s="91">
        <f>Irrigated!H26</f>
        <v>440</v>
      </c>
      <c r="I26" s="87">
        <f>$H$26*I$23/2000-$C$6</f>
        <v>59.580919999999992</v>
      </c>
      <c r="J26" s="87">
        <f>$H$26*J$23/2000-$C$6</f>
        <v>214.68092000000001</v>
      </c>
      <c r="K26" s="87">
        <f>$H$26*K$23/2000-$C$6</f>
        <v>318.08091999999999</v>
      </c>
      <c r="L26" s="87">
        <f>$H$26*L$23/2000-$C$6</f>
        <v>421.48092000000008</v>
      </c>
      <c r="M26" s="87">
        <f>$H$26*M$23/2000-$C$6</f>
        <v>576.58091999999999</v>
      </c>
    </row>
    <row r="27" spans="1:13" x14ac:dyDescent="0.15">
      <c r="A27" s="86">
        <f>Irrigated!A27</f>
        <v>5.75</v>
      </c>
      <c r="B27" s="87">
        <f>$A$27*B$23-$F$6</f>
        <v>-12.053307999999959</v>
      </c>
      <c r="C27" s="87">
        <f>$A$27*C$23-$F$6</f>
        <v>74.196692000000041</v>
      </c>
      <c r="D27" s="87">
        <f>$A$27*D$23-$F$6</f>
        <v>131.69669200000004</v>
      </c>
      <c r="E27" s="87">
        <f>$A$27*E$23-$F$6</f>
        <v>189.19669200000016</v>
      </c>
      <c r="F27" s="87">
        <f>$A$27*F$23-$F$6</f>
        <v>275.44669200000004</v>
      </c>
      <c r="H27" s="91">
        <f>Irrigated!H27</f>
        <v>505.99999999999994</v>
      </c>
      <c r="I27" s="87">
        <f>$H$27*I$23/2000-$C$6</f>
        <v>175.90591999999992</v>
      </c>
      <c r="J27" s="87">
        <f>$H$27*J$23/2000-$C$6</f>
        <v>354.27091999999982</v>
      </c>
      <c r="K27" s="87">
        <f>$H$27*K$23/2000-$C$6</f>
        <v>473.18091999999967</v>
      </c>
      <c r="L27" s="87">
        <f>$H$27*L$23/2000-$C$6</f>
        <v>592.09091999999976</v>
      </c>
      <c r="M27" s="87">
        <f>$H$27*M$23/2000-$C$6</f>
        <v>770.45591999999976</v>
      </c>
    </row>
    <row r="28" spans="1:13" x14ac:dyDescent="0.15">
      <c r="A28" s="88">
        <f>Irrigated!A28</f>
        <v>6.5</v>
      </c>
      <c r="B28" s="89">
        <f>$A$28*B$23-$F$6</f>
        <v>44.196692000000041</v>
      </c>
      <c r="C28" s="89">
        <f>$A$28*C$23-$F$6</f>
        <v>141.69669200000004</v>
      </c>
      <c r="D28" s="89">
        <f>$A$28*D$23-$F$6</f>
        <v>206.69669200000004</v>
      </c>
      <c r="E28" s="89">
        <f>$A$28*E$23-$F$6</f>
        <v>271.69669200000016</v>
      </c>
      <c r="F28" s="89">
        <f>$A$28*F$23-$F$6</f>
        <v>369.19669200000004</v>
      </c>
      <c r="H28" s="92">
        <f>Irrigated!H28</f>
        <v>572</v>
      </c>
      <c r="I28" s="89">
        <f>$H$28*I$23/2000-$C$6</f>
        <v>292.23091999999997</v>
      </c>
      <c r="J28" s="89">
        <f>$H$28*J$23/2000-$C$6</f>
        <v>493.86091999999996</v>
      </c>
      <c r="K28" s="89">
        <f>$H$28*K$23/2000-$C$6</f>
        <v>628.28092000000004</v>
      </c>
      <c r="L28" s="89">
        <f>$H$28*L$23/2000-$C$6</f>
        <v>762.70091999999988</v>
      </c>
      <c r="M28" s="89">
        <f>$H$28*M$23/2000-$C$6</f>
        <v>964.33091999999999</v>
      </c>
    </row>
    <row r="30" spans="1:13" x14ac:dyDescent="0.15">
      <c r="A30" s="459" t="s">
        <v>58</v>
      </c>
      <c r="B30" s="459"/>
      <c r="C30" s="459"/>
      <c r="D30" s="459"/>
      <c r="E30" s="459"/>
      <c r="F30" s="459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15">
      <c r="A34" s="84">
        <f>Irrigated!A34</f>
        <v>7.6999999999999993</v>
      </c>
      <c r="B34" s="85">
        <f>$A$34*B$33-$E$6</f>
        <v>12.231809399999861</v>
      </c>
      <c r="C34" s="85">
        <f>$A$34*C$33-$E$6</f>
        <v>81.531809399999872</v>
      </c>
      <c r="D34" s="85">
        <f>$A$34*D$33-$E$6</f>
        <v>127.73180939999986</v>
      </c>
      <c r="E34" s="85">
        <f>$A$34*E$33-$E$6</f>
        <v>173.93180939999985</v>
      </c>
      <c r="F34" s="85">
        <f>$A$34*F$33-$E$6</f>
        <v>243.23180939999992</v>
      </c>
    </row>
    <row r="35" spans="1:6" x14ac:dyDescent="0.15">
      <c r="A35" s="86">
        <f>Irrigated!A35</f>
        <v>9.35</v>
      </c>
      <c r="B35" s="87">
        <f>$A$35*B$33-$E$6</f>
        <v>86.481809399999918</v>
      </c>
      <c r="C35" s="87">
        <f>$A$35*C$33-$E$6</f>
        <v>170.6318093999999</v>
      </c>
      <c r="D35" s="87">
        <f>$A$35*D$33-$E$6</f>
        <v>226.73180939999992</v>
      </c>
      <c r="E35" s="87">
        <f>$A$35*E$33-$E$6</f>
        <v>282.83180939999994</v>
      </c>
      <c r="F35" s="87">
        <f>$A$35*F$33-$E$6</f>
        <v>366.98180939999992</v>
      </c>
    </row>
    <row r="36" spans="1:6" x14ac:dyDescent="0.15">
      <c r="A36" s="86">
        <f>Irrigated!A36</f>
        <v>11</v>
      </c>
      <c r="B36" s="87">
        <f>$A$36*B$33-$E$6</f>
        <v>160.73180939999992</v>
      </c>
      <c r="C36" s="87">
        <f>$A$36*C$33-$E$6</f>
        <v>259.73180939999992</v>
      </c>
      <c r="D36" s="87">
        <f>$A$36*D$33-$E$6</f>
        <v>325.73180939999992</v>
      </c>
      <c r="E36" s="87">
        <f>$A$36*E$33-$E$6</f>
        <v>391.73180939999992</v>
      </c>
      <c r="F36" s="87">
        <f>$A$36*F$33-$E$6</f>
        <v>490.73180939999992</v>
      </c>
    </row>
    <row r="37" spans="1:6" x14ac:dyDescent="0.15">
      <c r="A37" s="86">
        <f>Irrigated!A37</f>
        <v>12.649999999999999</v>
      </c>
      <c r="B37" s="87">
        <f>$A$37*B$33-$E$6</f>
        <v>234.9818093999998</v>
      </c>
      <c r="C37" s="87">
        <f>$A$37*C$33-$E$6</f>
        <v>348.83180939999983</v>
      </c>
      <c r="D37" s="87">
        <f>$A$37*D$33-$E$6</f>
        <v>424.7318093999998</v>
      </c>
      <c r="E37" s="87">
        <f>$A$37*E$33-$E$6</f>
        <v>500.63180939999978</v>
      </c>
      <c r="F37" s="87">
        <f>$A$37*F$33-$E$6</f>
        <v>614.48180939999975</v>
      </c>
    </row>
    <row r="38" spans="1:6" x14ac:dyDescent="0.15">
      <c r="A38" s="88">
        <f>Irrigated!A38</f>
        <v>14.3</v>
      </c>
      <c r="B38" s="89">
        <f>$A$38*B$33-$E$6</f>
        <v>309.23180939999992</v>
      </c>
      <c r="C38" s="89">
        <f>$A$38*C$33-$E$6</f>
        <v>437.93180939999996</v>
      </c>
      <c r="D38" s="89">
        <f>$A$38*D$33-$E$6</f>
        <v>523.73180939999997</v>
      </c>
      <c r="E38" s="89">
        <f>$A$38*E$33-$E$6</f>
        <v>609.53180939999993</v>
      </c>
      <c r="F38" s="89">
        <f>$A$38*F$33-$E$6</f>
        <v>738.23180939999997</v>
      </c>
    </row>
    <row r="39" spans="1:6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6384" width="9.6640625" style="75"/>
  </cols>
  <sheetData>
    <row r="1" spans="1:13" s="62" customFormat="1" ht="12" hidden="1" x14ac:dyDescent="0.15">
      <c r="B1" s="467" t="s">
        <v>46</v>
      </c>
      <c r="C1" s="467"/>
      <c r="D1" s="467"/>
      <c r="E1" s="467"/>
      <c r="F1" s="467"/>
      <c r="G1" s="93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15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15">
      <c r="A4" s="62" t="s">
        <v>42</v>
      </c>
      <c r="B4" s="67">
        <f>'Strip-Till'!L8</f>
        <v>0.85</v>
      </c>
      <c r="C4" s="68">
        <f>'Strip-Till'!N8</f>
        <v>440</v>
      </c>
      <c r="D4" s="69">
        <f>'Strip-Till'!P8</f>
        <v>5.5</v>
      </c>
      <c r="E4" s="69">
        <f>'Strip-Till'!R8</f>
        <v>11</v>
      </c>
      <c r="F4" s="69">
        <f>'Strip-Till'!T8</f>
        <v>5</v>
      </c>
    </row>
    <row r="5" spans="1:13" s="62" customFormat="1" ht="12" hidden="1" x14ac:dyDescent="0.15">
      <c r="A5" s="70" t="s">
        <v>44</v>
      </c>
      <c r="B5" s="71">
        <f>B3*B4</f>
        <v>637.5</v>
      </c>
      <c r="C5" s="71">
        <f>C3*C4/2000</f>
        <v>748</v>
      </c>
      <c r="D5" s="71">
        <f>D3*D4</f>
        <v>467.5</v>
      </c>
      <c r="E5" s="71">
        <f>E3*E4</f>
        <v>330</v>
      </c>
      <c r="F5" s="71">
        <f>F3*F4</f>
        <v>325</v>
      </c>
    </row>
    <row r="6" spans="1:13" s="62" customFormat="1" ht="12" hidden="1" x14ac:dyDescent="0.15">
      <c r="A6" s="70" t="s">
        <v>43</v>
      </c>
      <c r="B6" s="73">
        <f>'Strip-Till'!L31</f>
        <v>620.27321676136376</v>
      </c>
      <c r="C6" s="73">
        <f>'Strip-Till'!N31</f>
        <v>629.27404999999999</v>
      </c>
      <c r="D6" s="73">
        <f>'Strip-Till'!P31</f>
        <v>430.27125178749998</v>
      </c>
      <c r="E6" s="73">
        <f>'Strip-Till'!R31</f>
        <v>283.64909152500002</v>
      </c>
      <c r="F6" s="73">
        <f>'Strip-Till'!T31</f>
        <v>298.10188872499998</v>
      </c>
    </row>
    <row r="7" spans="1:13" s="62" customFormat="1" ht="16" x14ac:dyDescent="0.2">
      <c r="A7" s="466" t="s">
        <v>130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5" t="s">
        <v>153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13" x14ac:dyDescent="0.15">
      <c r="A10" s="459" t="s">
        <v>59</v>
      </c>
      <c r="B10" s="459"/>
      <c r="C10" s="459"/>
      <c r="D10" s="459"/>
      <c r="E10" s="459"/>
      <c r="F10" s="459"/>
      <c r="H10" s="459" t="s">
        <v>62</v>
      </c>
      <c r="I10" s="459"/>
      <c r="J10" s="459"/>
      <c r="K10" s="459"/>
      <c r="L10" s="459"/>
      <c r="M10" s="459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62" t="s">
        <v>36</v>
      </c>
      <c r="I11" s="462"/>
      <c r="J11" s="462"/>
      <c r="K11" s="462"/>
      <c r="L11" s="462"/>
      <c r="M11" s="462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3.8499999999999996</v>
      </c>
      <c r="B14" s="85">
        <f>$A$14*B$13-$D$6</f>
        <v>-184.83375178750001</v>
      </c>
      <c r="C14" s="85">
        <f>$A$14*C$13-$D$6</f>
        <v>-135.7462517875</v>
      </c>
      <c r="D14" s="85">
        <f>$A$14*D$13-$D$6</f>
        <v>-103.02125178750003</v>
      </c>
      <c r="E14" s="85">
        <f>$A$14*E$13-$D$6</f>
        <v>-70.296251787499955</v>
      </c>
      <c r="F14" s="85">
        <f>$A$14*F$13-$D$6</f>
        <v>-21.208751787500034</v>
      </c>
      <c r="H14" s="84">
        <f>Irrigated!H14</f>
        <v>0.59499999999999997</v>
      </c>
      <c r="I14" s="85">
        <f>$H$14*I$13-$B$6</f>
        <v>-285.58571676136376</v>
      </c>
      <c r="J14" s="85">
        <f>$H$14*J$13-$B$6</f>
        <v>-218.64821676136376</v>
      </c>
      <c r="K14" s="85">
        <f>$H$14*K$13-$B$6</f>
        <v>-174.02321676136376</v>
      </c>
      <c r="L14" s="85">
        <f>$H$14*L$13-$B$6</f>
        <v>-129.3982167613637</v>
      </c>
      <c r="M14" s="85">
        <f>$H$14*M$13-$B$6</f>
        <v>-62.460716761363756</v>
      </c>
    </row>
    <row r="15" spans="1:13" x14ac:dyDescent="0.15">
      <c r="A15" s="86">
        <f>Irrigated!A15</f>
        <v>4.6749999999999998</v>
      </c>
      <c r="B15" s="87">
        <f>$A$15*B$13-$D$6</f>
        <v>-132.24000178749998</v>
      </c>
      <c r="C15" s="87">
        <f>$A$15*C$13-$D$6</f>
        <v>-72.633751787499989</v>
      </c>
      <c r="D15" s="87">
        <f>$A$15*D$13-$D$6</f>
        <v>-32.896251787499978</v>
      </c>
      <c r="E15" s="87">
        <f>$A$15*E$13-$D$6</f>
        <v>6.8412482125000906</v>
      </c>
      <c r="F15" s="87">
        <f>$A$15*F$13-$D$6</f>
        <v>66.447498212500022</v>
      </c>
      <c r="H15" s="86">
        <f>Irrigated!H15</f>
        <v>0.72249999999999992</v>
      </c>
      <c r="I15" s="87">
        <f>$H$15*I$13-$B$6</f>
        <v>-213.86696676136381</v>
      </c>
      <c r="J15" s="87">
        <f>$H$15*J$13-$B$6</f>
        <v>-132.58571676136381</v>
      </c>
      <c r="K15" s="87">
        <f>$H$15*K$13-$B$6</f>
        <v>-78.398216761363869</v>
      </c>
      <c r="L15" s="87">
        <f>$H$15*L$13-$B$6</f>
        <v>-24.210716761363756</v>
      </c>
      <c r="M15" s="87">
        <f>$H$15*M$13-$B$6</f>
        <v>57.070533238636131</v>
      </c>
    </row>
    <row r="16" spans="1:13" x14ac:dyDescent="0.15">
      <c r="A16" s="86">
        <f>Irrigated!A16</f>
        <v>5.5</v>
      </c>
      <c r="B16" s="87">
        <f>$A$16*B$13-$D$6</f>
        <v>-79.646251787499978</v>
      </c>
      <c r="C16" s="87">
        <f>$A$16*C$13-$D$6</f>
        <v>-9.5212517874999776</v>
      </c>
      <c r="D16" s="87">
        <f>$A$16*D$13-$D$6</f>
        <v>37.228748212500022</v>
      </c>
      <c r="E16" s="87">
        <f>$A$16*E$13-$D$6</f>
        <v>83.978748212500136</v>
      </c>
      <c r="F16" s="87">
        <f>$A$16*F$13-$D$6</f>
        <v>154.10374821250002</v>
      </c>
      <c r="H16" s="86">
        <f>Irrigated!H16</f>
        <v>0.85</v>
      </c>
      <c r="I16" s="87">
        <f>$H$16*I$13-$B$6</f>
        <v>-142.14821676136376</v>
      </c>
      <c r="J16" s="87">
        <f>$H$16*J$13-$B$6</f>
        <v>-46.523216761363756</v>
      </c>
      <c r="K16" s="87">
        <f>$H$16*K$13-$B$6</f>
        <v>17.226783238636244</v>
      </c>
      <c r="L16" s="87">
        <f>$H$16*L$13-$B$6</f>
        <v>80.976783238636358</v>
      </c>
      <c r="M16" s="87">
        <f>$H$16*M$13-$B$6</f>
        <v>176.60178323863624</v>
      </c>
    </row>
    <row r="17" spans="1:13" x14ac:dyDescent="0.15">
      <c r="A17" s="86">
        <f>Irrigated!A17</f>
        <v>6.3249999999999993</v>
      </c>
      <c r="B17" s="87">
        <f>$A$17*B$13-$D$6</f>
        <v>-27.052501787500034</v>
      </c>
      <c r="C17" s="87">
        <f>$A$17*C$13-$D$6</f>
        <v>53.591248212499977</v>
      </c>
      <c r="D17" s="87">
        <f>$A$17*D$13-$D$6</f>
        <v>107.35374821249991</v>
      </c>
      <c r="E17" s="87">
        <f>$A$17*E$13-$D$6</f>
        <v>161.11624821250007</v>
      </c>
      <c r="F17" s="87">
        <f>$A$17*F$13-$D$6</f>
        <v>241.75999821249991</v>
      </c>
      <c r="H17" s="86">
        <f>Irrigated!H17</f>
        <v>0.97749999999999992</v>
      </c>
      <c r="I17" s="87">
        <f>$H$17*I$13-$B$6</f>
        <v>-70.429466761363756</v>
      </c>
      <c r="J17" s="87">
        <f>$H$17*J$13-$B$6</f>
        <v>39.539283238636244</v>
      </c>
      <c r="K17" s="87">
        <f>$H$17*K$13-$B$6</f>
        <v>112.85178323863624</v>
      </c>
      <c r="L17" s="87">
        <f>$H$17*L$13-$B$6</f>
        <v>186.16428323863624</v>
      </c>
      <c r="M17" s="87">
        <f>$H$17*M$13-$B$6</f>
        <v>296.13303323863613</v>
      </c>
    </row>
    <row r="18" spans="1:13" x14ac:dyDescent="0.15">
      <c r="A18" s="88">
        <f>Irrigated!A18</f>
        <v>7.15</v>
      </c>
      <c r="B18" s="89">
        <f>$A$18*B$13-$D$6</f>
        <v>25.541248212500022</v>
      </c>
      <c r="C18" s="89">
        <f>$A$18*C$13-$D$6</f>
        <v>116.70374821250005</v>
      </c>
      <c r="D18" s="89">
        <f>$A$18*D$13-$D$6</f>
        <v>177.47874821250002</v>
      </c>
      <c r="E18" s="89">
        <f>$A$18*E$13-$D$6</f>
        <v>238.25374821250011</v>
      </c>
      <c r="F18" s="89">
        <f>$A$18*F$13-$D$6</f>
        <v>329.41624821250002</v>
      </c>
      <c r="H18" s="88">
        <f>Irrigated!H18</f>
        <v>1.105</v>
      </c>
      <c r="I18" s="89">
        <f>$H$18*I$13-$B$6</f>
        <v>1.2892832386362443</v>
      </c>
      <c r="J18" s="89">
        <f>$H$18*J$13-$B$6</f>
        <v>125.60178323863624</v>
      </c>
      <c r="K18" s="89">
        <f>$H$18*K$13-$B$6</f>
        <v>208.47678323863624</v>
      </c>
      <c r="L18" s="89">
        <f>$H$18*L$13-$B$6</f>
        <v>291.35178323863636</v>
      </c>
      <c r="M18" s="89">
        <f>$H$18*M$13-$B$6</f>
        <v>415.66428323863624</v>
      </c>
    </row>
    <row r="20" spans="1:13" x14ac:dyDescent="0.15">
      <c r="A20" s="459" t="s">
        <v>60</v>
      </c>
      <c r="B20" s="459"/>
      <c r="C20" s="459"/>
      <c r="D20" s="459"/>
      <c r="E20" s="459"/>
      <c r="F20" s="459"/>
      <c r="H20" s="460" t="s">
        <v>123</v>
      </c>
      <c r="I20" s="460"/>
      <c r="J20" s="460"/>
      <c r="K20" s="460"/>
      <c r="L20" s="460"/>
      <c r="M20" s="460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1" t="s">
        <v>36</v>
      </c>
      <c r="I21" s="461"/>
      <c r="J21" s="461"/>
      <c r="K21" s="461"/>
      <c r="L21" s="461"/>
      <c r="M21" s="461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3.5</v>
      </c>
      <c r="B24" s="85">
        <f>$A$24*B$23-$F$6</f>
        <v>-127.47688872499998</v>
      </c>
      <c r="C24" s="85">
        <f>$A$24*C$23-$F$6</f>
        <v>-93.351888724999981</v>
      </c>
      <c r="D24" s="85">
        <f>$A$24*D$23-$F$6</f>
        <v>-70.601888724999981</v>
      </c>
      <c r="E24" s="85">
        <f>$A$24*E$23-$F$6</f>
        <v>-47.851888724999981</v>
      </c>
      <c r="F24" s="85">
        <f>$A$24*F$23-$F$6</f>
        <v>-13.726888724999981</v>
      </c>
      <c r="H24" s="90">
        <f>Irrigated!H24</f>
        <v>308</v>
      </c>
      <c r="I24" s="85">
        <f>$H$24*I$23/2000-$C$6</f>
        <v>-236.57405</v>
      </c>
      <c r="J24" s="85">
        <f>$H$24*J$23/2000-$C$6</f>
        <v>-158.03404999999998</v>
      </c>
      <c r="K24" s="85">
        <f>$H$24*K$23/2000-$C$6</f>
        <v>-105.67404999999997</v>
      </c>
      <c r="L24" s="85">
        <f>$H$24*L$23/2000-$C$6</f>
        <v>-53.314049999999838</v>
      </c>
      <c r="M24" s="85">
        <f>$H$24*M$23/2000-$C$6</f>
        <v>25.225950000000012</v>
      </c>
    </row>
    <row r="25" spans="1:13" x14ac:dyDescent="0.15">
      <c r="A25" s="86">
        <f>Irrigated!A25</f>
        <v>4.25</v>
      </c>
      <c r="B25" s="87">
        <f>$A$25*B$23-$F$6</f>
        <v>-90.914388724999981</v>
      </c>
      <c r="C25" s="87">
        <f>$A$25*C$23-$F$6</f>
        <v>-49.476888724999981</v>
      </c>
      <c r="D25" s="87">
        <f>$A$25*D$23-$F$6</f>
        <v>-21.851888724999981</v>
      </c>
      <c r="E25" s="87">
        <f>$A$25*E$23-$F$6</f>
        <v>5.7731112750000193</v>
      </c>
      <c r="F25" s="87">
        <f>$A$25*F$23-$F$6</f>
        <v>47.210611275000019</v>
      </c>
      <c r="H25" s="91">
        <f>Irrigated!H25</f>
        <v>374</v>
      </c>
      <c r="I25" s="87">
        <f>$H$25*I$23/2000-$C$6</f>
        <v>-152.42404999999997</v>
      </c>
      <c r="J25" s="87">
        <f>$H$25*J$23/2000-$C$6</f>
        <v>-57.054049999999961</v>
      </c>
      <c r="K25" s="87">
        <f>$H$25*K$23/2000-$C$6</f>
        <v>6.5259499999999662</v>
      </c>
      <c r="L25" s="87">
        <f>$H$25*L$23/2000-$C$6</f>
        <v>70.105950000000121</v>
      </c>
      <c r="M25" s="87">
        <f>$H$25*M$23/2000-$C$6</f>
        <v>165.47595000000001</v>
      </c>
    </row>
    <row r="26" spans="1:13" x14ac:dyDescent="0.15">
      <c r="A26" s="86">
        <f>Irrigated!A26</f>
        <v>5</v>
      </c>
      <c r="B26" s="87">
        <f>$A$26*B$23-$F$6</f>
        <v>-54.351888724999981</v>
      </c>
      <c r="C26" s="87">
        <f>$A$26*C$23-$F$6</f>
        <v>-5.6018887249999807</v>
      </c>
      <c r="D26" s="87">
        <f>$A$26*D$23-$F$6</f>
        <v>26.898111275000019</v>
      </c>
      <c r="E26" s="87">
        <f>$A$26*E$23-$F$6</f>
        <v>59.398111275000019</v>
      </c>
      <c r="F26" s="87">
        <f>$A$26*F$23-$F$6</f>
        <v>108.14811127500002</v>
      </c>
      <c r="H26" s="91">
        <f>Irrigated!H26</f>
        <v>440</v>
      </c>
      <c r="I26" s="87">
        <f>$H$26*I$23/2000-$C$6</f>
        <v>-68.274049999999988</v>
      </c>
      <c r="J26" s="87">
        <f>$H$26*J$23/2000-$C$6</f>
        <v>43.925950000000057</v>
      </c>
      <c r="K26" s="87">
        <f>$H$26*K$23/2000-$C$6</f>
        <v>118.72595000000001</v>
      </c>
      <c r="L26" s="87">
        <f>$H$26*L$23/2000-$C$6</f>
        <v>193.52595000000008</v>
      </c>
      <c r="M26" s="87">
        <f>$H$26*M$23/2000-$C$6</f>
        <v>305.72595000000001</v>
      </c>
    </row>
    <row r="27" spans="1:13" x14ac:dyDescent="0.15">
      <c r="A27" s="86">
        <f>Irrigated!A27</f>
        <v>5.75</v>
      </c>
      <c r="B27" s="87">
        <f>$A$27*B$23-$F$6</f>
        <v>-17.789388724999981</v>
      </c>
      <c r="C27" s="87">
        <f>$A$27*C$23-$F$6</f>
        <v>38.273111275000019</v>
      </c>
      <c r="D27" s="87">
        <f>$A$27*D$23-$F$6</f>
        <v>75.648111275000019</v>
      </c>
      <c r="E27" s="87">
        <f>$A$27*E$23-$F$6</f>
        <v>113.02311127500002</v>
      </c>
      <c r="F27" s="87">
        <f>$A$27*F$23-$F$6</f>
        <v>169.08561127500002</v>
      </c>
      <c r="H27" s="91">
        <f>Irrigated!H27</f>
        <v>505.99999999999994</v>
      </c>
      <c r="I27" s="87">
        <f>$H$27*I$23/2000-$C$6</f>
        <v>15.875949999999875</v>
      </c>
      <c r="J27" s="87">
        <f>$H$27*J$23/2000-$C$6</f>
        <v>144.90594999999985</v>
      </c>
      <c r="K27" s="87">
        <f>$H$27*K$23/2000-$C$6</f>
        <v>230.92594999999994</v>
      </c>
      <c r="L27" s="87">
        <f>$H$27*L$23/2000-$C$6</f>
        <v>316.94595000000004</v>
      </c>
      <c r="M27" s="87">
        <f>$H$27*M$23/2000-$C$6</f>
        <v>445.97594999999978</v>
      </c>
    </row>
    <row r="28" spans="1:13" x14ac:dyDescent="0.15">
      <c r="A28" s="88">
        <f>Irrigated!A28</f>
        <v>6.5</v>
      </c>
      <c r="B28" s="89">
        <f>$A$28*B$23-$F$6</f>
        <v>18.773111275000019</v>
      </c>
      <c r="C28" s="89">
        <f>$A$28*C$23-$F$6</f>
        <v>82.148111275000019</v>
      </c>
      <c r="D28" s="89">
        <f>$A$28*D$23-$F$6</f>
        <v>124.39811127500002</v>
      </c>
      <c r="E28" s="89">
        <f>$A$28*E$23-$F$6</f>
        <v>166.64811127500002</v>
      </c>
      <c r="F28" s="89">
        <f>$A$28*F$23-$F$6</f>
        <v>230.02311127500002</v>
      </c>
      <c r="H28" s="92">
        <f>Irrigated!H28</f>
        <v>572</v>
      </c>
      <c r="I28" s="89">
        <f>$H$28*I$23/2000-$C$6</f>
        <v>100.02594999999997</v>
      </c>
      <c r="J28" s="89">
        <f>$H$28*J$23/2000-$C$6</f>
        <v>245.88594999999998</v>
      </c>
      <c r="K28" s="89">
        <f>$H$28*K$23/2000-$C$6</f>
        <v>343.12594999999999</v>
      </c>
      <c r="L28" s="89">
        <f>$H$28*L$23/2000-$C$6</f>
        <v>440.36595000000034</v>
      </c>
      <c r="M28" s="89">
        <f>$H$28*M$23/2000-$C$6</f>
        <v>586.22595000000001</v>
      </c>
    </row>
    <row r="30" spans="1:13" x14ac:dyDescent="0.15">
      <c r="A30" s="459" t="s">
        <v>61</v>
      </c>
      <c r="B30" s="459"/>
      <c r="C30" s="459"/>
      <c r="D30" s="459"/>
      <c r="E30" s="459"/>
      <c r="F30" s="459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15">
      <c r="A34" s="84">
        <f>Irrigated!A34</f>
        <v>7.6999999999999993</v>
      </c>
      <c r="B34" s="85">
        <f>$A$34*B$33-$E$6</f>
        <v>-110.39909152500005</v>
      </c>
      <c r="C34" s="85">
        <f>$A$34*C$33-$E$6</f>
        <v>-75.74909152500004</v>
      </c>
      <c r="D34" s="85">
        <f>$A$34*D$33-$E$6</f>
        <v>-52.649091525000046</v>
      </c>
      <c r="E34" s="85">
        <f>$A$34*E$33-$E$6</f>
        <v>-29.549091525000051</v>
      </c>
      <c r="F34" s="85">
        <f>$A$34*F$33-$E$6</f>
        <v>5.1009084749999829</v>
      </c>
      <c r="I34" s="62"/>
    </row>
    <row r="35" spans="1:9" x14ac:dyDescent="0.15">
      <c r="A35" s="86">
        <f>Irrigated!A35</f>
        <v>9.35</v>
      </c>
      <c r="B35" s="87">
        <f>$A$35*B$33-$E$6</f>
        <v>-73.274091525000017</v>
      </c>
      <c r="C35" s="87">
        <f>$A$35*C$33-$E$6</f>
        <v>-31.199091525000028</v>
      </c>
      <c r="D35" s="87">
        <f>$A$35*D$33-$E$6</f>
        <v>-3.1490915250000171</v>
      </c>
      <c r="E35" s="87">
        <f>$A$35*E$33-$E$6</f>
        <v>24.900908474999994</v>
      </c>
      <c r="F35" s="87">
        <f>$A$35*F$33-$E$6</f>
        <v>66.975908474999983</v>
      </c>
      <c r="I35" s="62"/>
    </row>
    <row r="36" spans="1:9" x14ac:dyDescent="0.15">
      <c r="A36" s="86">
        <f>Irrigated!A36</f>
        <v>11</v>
      </c>
      <c r="B36" s="87">
        <f>$A$36*B$33-$E$6</f>
        <v>-36.149091525000017</v>
      </c>
      <c r="C36" s="87">
        <f>$A$36*C$33-$E$6</f>
        <v>13.350908474999983</v>
      </c>
      <c r="D36" s="87">
        <f>$A$36*D$33-$E$6</f>
        <v>46.350908474999983</v>
      </c>
      <c r="E36" s="87">
        <f>$A$36*E$33-$E$6</f>
        <v>79.350908474999983</v>
      </c>
      <c r="F36" s="87">
        <f>$A$36*F$33-$E$6</f>
        <v>128.85090847499998</v>
      </c>
      <c r="I36" s="62"/>
    </row>
    <row r="37" spans="1:9" x14ac:dyDescent="0.15">
      <c r="A37" s="86">
        <f>Irrigated!A37</f>
        <v>12.649999999999999</v>
      </c>
      <c r="B37" s="87">
        <f>$A$37*B$33-$E$6</f>
        <v>0.97590847499992606</v>
      </c>
      <c r="C37" s="87">
        <f>$A$37*C$33-$E$6</f>
        <v>57.900908474999937</v>
      </c>
      <c r="D37" s="87">
        <f>$A$37*D$33-$E$6</f>
        <v>95.850908474999926</v>
      </c>
      <c r="E37" s="87">
        <f>$A$37*E$33-$E$6</f>
        <v>133.80090847499991</v>
      </c>
      <c r="F37" s="87">
        <f>$A$37*F$33-$E$6</f>
        <v>190.72590847499993</v>
      </c>
      <c r="I37" s="62"/>
    </row>
    <row r="38" spans="1:9" x14ac:dyDescent="0.15">
      <c r="A38" s="88">
        <f>Irrigated!A38</f>
        <v>14.3</v>
      </c>
      <c r="B38" s="89">
        <f>$A$38*B$33-$E$6</f>
        <v>38.100908474999983</v>
      </c>
      <c r="C38" s="89">
        <f>$A$38*C$33-$E$6</f>
        <v>102.45090847500001</v>
      </c>
      <c r="D38" s="89">
        <f>$A$38*D$33-$E$6</f>
        <v>145.35090847499998</v>
      </c>
      <c r="E38" s="89">
        <f>$A$38*E$33-$E$6</f>
        <v>188.25090847500002</v>
      </c>
      <c r="F38" s="89">
        <f>$A$38*F$33-$E$6</f>
        <v>252.60090847499998</v>
      </c>
      <c r="I38" s="62"/>
    </row>
    <row r="39" spans="1:9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80" zoomScaleNormal="180" zoomScaleSheetLayoutView="87" zoomScalePageLayoutView="170" workbookViewId="0">
      <pane xSplit="1" ySplit="9" topLeftCell="B27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8.83203125" defaultRowHeight="14" x14ac:dyDescent="0.2"/>
  <cols>
    <col min="1" max="1" width="29.16406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8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6640625" style="101" bestFit="1" customWidth="1"/>
    <col min="13" max="13" width="3.5" style="101" customWidth="1"/>
    <col min="14" max="14" width="5.5" style="101" bestFit="1" customWidth="1"/>
    <col min="15" max="15" width="3" style="101" bestFit="1" customWidth="1"/>
    <col min="16" max="16" width="5.5" style="101" bestFit="1" customWidth="1"/>
    <col min="17" max="17" width="4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5.5" style="101" bestFit="1" customWidth="1"/>
    <col min="23" max="23" width="3.5" style="101" bestFit="1" customWidth="1"/>
    <col min="24" max="24" width="5.5" style="101" bestFit="1" customWidth="1"/>
    <col min="25" max="25" width="3.5" style="101" customWidth="1"/>
    <col min="26" max="26" width="5.5" style="101" bestFit="1" customWidth="1"/>
    <col min="27" max="27" width="3.5" style="101" customWidth="1"/>
    <col min="28" max="28" width="5.5" style="101" bestFit="1" customWidth="1"/>
    <col min="29" max="29" width="6.5" style="101" bestFit="1" customWidth="1"/>
    <col min="30" max="30" width="8.83203125" style="101"/>
    <col min="31" max="57" width="8.83203125" style="100"/>
    <col min="58" max="16384" width="8.83203125" style="101"/>
  </cols>
  <sheetData>
    <row r="1" spans="1:57" ht="14" customHeight="1" x14ac:dyDescent="0.2">
      <c r="A1" s="94" t="s">
        <v>192</v>
      </c>
      <c r="B1" s="160"/>
      <c r="C1" s="160"/>
      <c r="D1" s="160"/>
      <c r="E1" s="160"/>
      <c r="F1" s="160"/>
      <c r="G1" s="160"/>
      <c r="H1" s="470"/>
      <c r="I1" s="470"/>
      <c r="J1" s="470"/>
      <c r="K1" s="470"/>
      <c r="L1" s="468" t="s">
        <v>194</v>
      </c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160"/>
      <c r="AA1" s="160"/>
      <c r="AB1" s="160"/>
      <c r="AC1" s="100"/>
      <c r="AD1" s="100"/>
      <c r="BE1" s="101"/>
    </row>
    <row r="2" spans="1:57" s="319" customFormat="1" ht="11" customHeight="1" x14ac:dyDescent="0.2">
      <c r="A2" s="316" t="s">
        <v>190</v>
      </c>
      <c r="B2" s="316"/>
      <c r="C2" s="316"/>
      <c r="D2" s="316"/>
      <c r="E2" s="316"/>
      <c r="F2" s="316"/>
      <c r="G2" s="316"/>
      <c r="H2" s="471"/>
      <c r="I2" s="471"/>
      <c r="J2" s="471"/>
      <c r="K2" s="471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x14ac:dyDescent="0.2">
      <c r="A3" s="231" t="s">
        <v>193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404" t="s">
        <v>0</v>
      </c>
      <c r="C4" s="405"/>
      <c r="D4" s="405"/>
      <c r="E4" s="405"/>
      <c r="F4" s="405"/>
      <c r="G4" s="405"/>
      <c r="H4" s="405"/>
      <c r="I4" s="405"/>
      <c r="J4" s="405"/>
      <c r="K4" s="405"/>
      <c r="L4" s="404" t="s">
        <v>1</v>
      </c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6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93"/>
      <c r="C5" s="394"/>
      <c r="D5" s="392"/>
      <c r="E5" s="392"/>
      <c r="F5" s="395"/>
      <c r="G5" s="395"/>
      <c r="H5" s="395"/>
      <c r="I5" s="395"/>
      <c r="J5" s="402" t="s">
        <v>23</v>
      </c>
      <c r="K5" s="394"/>
      <c r="L5" s="393"/>
      <c r="M5" s="394"/>
      <c r="N5" s="392"/>
      <c r="O5" s="392"/>
      <c r="P5" s="395"/>
      <c r="Q5" s="395"/>
      <c r="R5" s="395"/>
      <c r="S5" s="395"/>
      <c r="T5" s="395" t="s">
        <v>23</v>
      </c>
      <c r="U5" s="395"/>
      <c r="V5" s="395" t="s">
        <v>22</v>
      </c>
      <c r="W5" s="395"/>
      <c r="X5" s="394"/>
      <c r="Y5" s="396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400" t="s">
        <v>2</v>
      </c>
      <c r="C6" s="398"/>
      <c r="D6" s="401" t="s">
        <v>3</v>
      </c>
      <c r="E6" s="401"/>
      <c r="F6" s="397" t="s">
        <v>4</v>
      </c>
      <c r="G6" s="397"/>
      <c r="H6" s="397" t="s">
        <v>5</v>
      </c>
      <c r="I6" s="397"/>
      <c r="J6" s="403" t="s">
        <v>6</v>
      </c>
      <c r="K6" s="398"/>
      <c r="L6" s="400" t="s">
        <v>2</v>
      </c>
      <c r="M6" s="398"/>
      <c r="N6" s="401" t="s">
        <v>3</v>
      </c>
      <c r="O6" s="401"/>
      <c r="P6" s="397" t="s">
        <v>4</v>
      </c>
      <c r="Q6" s="397"/>
      <c r="R6" s="397" t="s">
        <v>5</v>
      </c>
      <c r="S6" s="397"/>
      <c r="T6" s="397" t="s">
        <v>6</v>
      </c>
      <c r="U6" s="397"/>
      <c r="V6" s="397" t="s">
        <v>7</v>
      </c>
      <c r="W6" s="397"/>
      <c r="X6" s="398" t="s">
        <v>7</v>
      </c>
      <c r="Y6" s="399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5" thickBot="1" x14ac:dyDescent="0.25">
      <c r="A8" s="109" t="s">
        <v>124</v>
      </c>
      <c r="B8" s="277">
        <v>0.85</v>
      </c>
      <c r="C8" s="276" t="s">
        <v>159</v>
      </c>
      <c r="D8" s="280">
        <f>'Peanut Price Calculator'!B17</f>
        <v>440</v>
      </c>
      <c r="E8" s="281" t="s">
        <v>160</v>
      </c>
      <c r="F8" s="273">
        <v>5.5</v>
      </c>
      <c r="G8" s="270" t="s">
        <v>162</v>
      </c>
      <c r="H8" s="273">
        <v>11</v>
      </c>
      <c r="I8" s="270" t="s">
        <v>162</v>
      </c>
      <c r="J8" s="273">
        <v>5</v>
      </c>
      <c r="K8" s="276" t="s">
        <v>162</v>
      </c>
      <c r="L8" s="308">
        <f>B8</f>
        <v>0.85</v>
      </c>
      <c r="M8" s="276" t="s">
        <v>159</v>
      </c>
      <c r="N8" s="280">
        <f>'Peanut Price Calculator'!B28</f>
        <v>440</v>
      </c>
      <c r="O8" s="281" t="s">
        <v>160</v>
      </c>
      <c r="P8" s="269">
        <f>F8</f>
        <v>5.5</v>
      </c>
      <c r="Q8" s="270" t="s">
        <v>162</v>
      </c>
      <c r="R8" s="269">
        <f>H8</f>
        <v>11</v>
      </c>
      <c r="S8" s="270" t="s">
        <v>162</v>
      </c>
      <c r="T8" s="269">
        <f>J8</f>
        <v>5</v>
      </c>
      <c r="U8" s="270" t="s">
        <v>162</v>
      </c>
      <c r="V8" s="273">
        <v>7</v>
      </c>
      <c r="W8" s="270" t="s">
        <v>162</v>
      </c>
      <c r="X8" s="271">
        <f>V8</f>
        <v>7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87">
        <f>B7*B8</f>
        <v>1020</v>
      </c>
      <c r="C9" s="380"/>
      <c r="D9" s="382">
        <f>D8*(D7/2000)</f>
        <v>1034</v>
      </c>
      <c r="E9" s="382"/>
      <c r="F9" s="382">
        <f>F7*F8</f>
        <v>1100</v>
      </c>
      <c r="G9" s="382"/>
      <c r="H9" s="382">
        <f>H7*H8</f>
        <v>660</v>
      </c>
      <c r="I9" s="382"/>
      <c r="J9" s="389">
        <f>J7*J8</f>
        <v>500</v>
      </c>
      <c r="K9" s="380"/>
      <c r="L9" s="387">
        <f>L7*L8</f>
        <v>637.5</v>
      </c>
      <c r="M9" s="380"/>
      <c r="N9" s="382">
        <f>N8*(N7/2000)</f>
        <v>748</v>
      </c>
      <c r="O9" s="382"/>
      <c r="P9" s="382">
        <f>P7*P8</f>
        <v>467.5</v>
      </c>
      <c r="Q9" s="382"/>
      <c r="R9" s="382">
        <f>R7*R8</f>
        <v>330</v>
      </c>
      <c r="S9" s="382"/>
      <c r="T9" s="382">
        <f>T7*T8</f>
        <v>325</v>
      </c>
      <c r="U9" s="382"/>
      <c r="V9" s="382">
        <f>V7*V8</f>
        <v>525</v>
      </c>
      <c r="W9" s="382"/>
      <c r="X9" s="380">
        <f>X7*X8</f>
        <v>385</v>
      </c>
      <c r="Y9" s="381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156</v>
      </c>
      <c r="B10" s="377"/>
      <c r="C10" s="374"/>
      <c r="D10" s="376"/>
      <c r="E10" s="376"/>
      <c r="F10" s="376"/>
      <c r="G10" s="376"/>
      <c r="H10" s="376"/>
      <c r="I10" s="376"/>
      <c r="J10" s="386"/>
      <c r="K10" s="374"/>
      <c r="L10" s="377"/>
      <c r="M10" s="374"/>
      <c r="N10" s="376"/>
      <c r="O10" s="376"/>
      <c r="P10" s="376"/>
      <c r="Q10" s="376"/>
      <c r="R10" s="376"/>
      <c r="S10" s="376"/>
      <c r="T10" s="376"/>
      <c r="U10" s="376"/>
      <c r="V10" s="302"/>
      <c r="W10" s="301"/>
      <c r="X10" s="374"/>
      <c r="Y10" s="375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88">
        <v>95</v>
      </c>
      <c r="C11" s="378"/>
      <c r="D11" s="385">
        <v>123.2</v>
      </c>
      <c r="E11" s="385"/>
      <c r="F11" s="385">
        <v>121.6</v>
      </c>
      <c r="G11" s="385"/>
      <c r="H11" s="383">
        <f>247/4</f>
        <v>61.75</v>
      </c>
      <c r="I11" s="384"/>
      <c r="J11" s="383">
        <v>25</v>
      </c>
      <c r="K11" s="378"/>
      <c r="L11" s="388">
        <v>95</v>
      </c>
      <c r="M11" s="378"/>
      <c r="N11" s="385">
        <v>130</v>
      </c>
      <c r="O11" s="385"/>
      <c r="P11" s="385">
        <v>76</v>
      </c>
      <c r="Q11" s="385"/>
      <c r="R11" s="383">
        <f>247/4</f>
        <v>61.75</v>
      </c>
      <c r="S11" s="384"/>
      <c r="T11" s="385">
        <v>15</v>
      </c>
      <c r="U11" s="385"/>
      <c r="V11" s="385">
        <v>65</v>
      </c>
      <c r="W11" s="385"/>
      <c r="X11" s="378">
        <f>43.2</f>
        <v>43.2</v>
      </c>
      <c r="Y11" s="379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49">
        <f>B7/495*0.75</f>
        <v>1.8181818181818183</v>
      </c>
      <c r="C12" s="350"/>
      <c r="D12" s="340"/>
      <c r="E12" s="340"/>
      <c r="F12" s="340"/>
      <c r="G12" s="340"/>
      <c r="H12" s="340"/>
      <c r="I12" s="340"/>
      <c r="J12" s="350"/>
      <c r="K12" s="350"/>
      <c r="L12" s="349">
        <f>L7/495*0.75</f>
        <v>1.1363636363636362</v>
      </c>
      <c r="M12" s="35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50"/>
      <c r="Y12" s="357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49">
        <f>16.5+6.7+B7*0.075*$D$46+0.0583*B7*$F$46+0.0583*B7*$H$46</f>
        <v>203.14599999999999</v>
      </c>
      <c r="C13" s="350"/>
      <c r="D13" s="340">
        <f>9.25+57.5+3.37</f>
        <v>70.12</v>
      </c>
      <c r="E13" s="340"/>
      <c r="F13" s="340">
        <f>25+F7*1.2*$D$46+F7*0.5*$F$46+F7*$H$46</f>
        <v>456</v>
      </c>
      <c r="G13" s="340"/>
      <c r="H13" s="340">
        <f>6.5+16.5+0.6667*H7*$F$46+1.333*H7*$H$46+3.37</f>
        <v>107.55774000000001</v>
      </c>
      <c r="I13" s="340"/>
      <c r="J13" s="350">
        <f>25+1.25*J7*$D$46+0.6*J7*$F$46+0.9*J7*$H$46</f>
        <v>245.14999999999998</v>
      </c>
      <c r="K13" s="350"/>
      <c r="L13" s="349">
        <f>16.5+6.7+0.08*L7*$D$46+0.0667*L7*$F$46+0.0667*L7*$H$46</f>
        <v>147.73375000000001</v>
      </c>
      <c r="M13" s="350"/>
      <c r="N13" s="340">
        <f>9.25+57.5+3.37</f>
        <v>70.12</v>
      </c>
      <c r="O13" s="340"/>
      <c r="P13" s="340">
        <f>12.5+P7*1.1765*$D$46+0.4706*P7*$F$46+0.7059*P7*$H$46</f>
        <v>175.10406499999999</v>
      </c>
      <c r="Q13" s="340"/>
      <c r="R13" s="337">
        <f>6.5+16.5+1.3333*R7*$F$46+2.6667*R7*$H$46+3.37</f>
        <v>107.57001000000001</v>
      </c>
      <c r="S13" s="338"/>
      <c r="T13" s="340">
        <f>12.5+1.2308*T7*$D$46+0.6154*T7*$F$46+0.9231*T7*$H$46</f>
        <v>156.10359</v>
      </c>
      <c r="U13" s="340"/>
      <c r="V13" s="340">
        <f>12.5+1.6*V7*$D$46+0.6667*V7*$F$46+0.8*V7*$H$46</f>
        <v>200.80167500000002</v>
      </c>
      <c r="W13" s="340"/>
      <c r="X13" s="350">
        <f>12.5+1.4545*X7*$D$46+0.7273*X7*$F$46+0.7273*X7*$H$46</f>
        <v>142.49965</v>
      </c>
      <c r="Y13" s="357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49"/>
      <c r="C14" s="350"/>
      <c r="D14" s="340"/>
      <c r="E14" s="340"/>
      <c r="F14" s="340"/>
      <c r="G14" s="340"/>
      <c r="H14" s="340"/>
      <c r="I14" s="340"/>
      <c r="J14" s="350"/>
      <c r="K14" s="350"/>
      <c r="L14" s="349"/>
      <c r="M14" s="35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50"/>
      <c r="Y14" s="357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49">
        <f>((71.45+88.37)/2+23.75+7.2+14.53)</f>
        <v>125.39</v>
      </c>
      <c r="C15" s="350"/>
      <c r="D15" s="340">
        <f>35.55+52.44+93.06</f>
        <v>181.05</v>
      </c>
      <c r="E15" s="340"/>
      <c r="F15" s="340">
        <f>14+8.32+15.75</f>
        <v>38.07</v>
      </c>
      <c r="G15" s="340"/>
      <c r="H15" s="340">
        <f>(35.28+34.03+44.9+44.01)/4+2.78+18</f>
        <v>60.335000000000001</v>
      </c>
      <c r="I15" s="340"/>
      <c r="J15" s="350">
        <f>17.85+11.15</f>
        <v>29</v>
      </c>
      <c r="K15" s="350"/>
      <c r="L15" s="349">
        <f>((97.65+88.37)/2+23.75+5.2+14.53)</f>
        <v>136.49</v>
      </c>
      <c r="M15" s="350"/>
      <c r="N15" s="340">
        <f>46.9+52.44+54.02</f>
        <v>153.36000000000001</v>
      </c>
      <c r="O15" s="340"/>
      <c r="P15" s="340">
        <f>14+8.32+15.75</f>
        <v>38.07</v>
      </c>
      <c r="Q15" s="340"/>
      <c r="R15" s="340">
        <f>(31.78+34.03+44.9+44.01)/4+2.78</f>
        <v>41.46</v>
      </c>
      <c r="S15" s="340"/>
      <c r="T15" s="340">
        <f>17.85+11.15</f>
        <v>29</v>
      </c>
      <c r="U15" s="340"/>
      <c r="V15" s="340">
        <f>35.82+1.43+20.1</f>
        <v>57.35</v>
      </c>
      <c r="W15" s="340"/>
      <c r="X15" s="350">
        <f>27.82+1.43+16.5</f>
        <v>45.75</v>
      </c>
      <c r="Y15" s="357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37"/>
      <c r="E16" s="338"/>
      <c r="F16" s="337"/>
      <c r="G16" s="338"/>
      <c r="H16" s="337"/>
      <c r="I16" s="338"/>
      <c r="J16" s="233"/>
      <c r="K16" s="233"/>
      <c r="L16" s="299"/>
      <c r="M16" s="298"/>
      <c r="N16" s="337"/>
      <c r="O16" s="338"/>
      <c r="P16" s="337"/>
      <c r="Q16" s="338"/>
      <c r="R16" s="337"/>
      <c r="S16" s="338"/>
      <c r="T16" s="337"/>
      <c r="U16" s="338"/>
      <c r="V16" s="337">
        <v>8</v>
      </c>
      <c r="W16" s="338"/>
      <c r="X16" s="298">
        <v>8</v>
      </c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49">
        <v>18</v>
      </c>
      <c r="C17" s="350"/>
      <c r="D17" s="340">
        <v>18</v>
      </c>
      <c r="E17" s="340"/>
      <c r="F17" s="340"/>
      <c r="G17" s="340"/>
      <c r="H17" s="340"/>
      <c r="I17" s="340"/>
      <c r="J17" s="350"/>
      <c r="K17" s="350"/>
      <c r="L17" s="349">
        <v>18</v>
      </c>
      <c r="M17" s="350"/>
      <c r="N17" s="340">
        <v>18</v>
      </c>
      <c r="O17" s="340"/>
      <c r="P17" s="340"/>
      <c r="Q17" s="340"/>
      <c r="R17" s="340"/>
      <c r="S17" s="340"/>
      <c r="T17" s="340"/>
      <c r="U17" s="340"/>
      <c r="V17" s="340"/>
      <c r="W17" s="340"/>
      <c r="X17" s="350"/>
      <c r="Y17" s="357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49">
        <v>12.5</v>
      </c>
      <c r="C18" s="350"/>
      <c r="D18" s="340">
        <v>12.5</v>
      </c>
      <c r="E18" s="340"/>
      <c r="F18" s="340"/>
      <c r="G18" s="340"/>
      <c r="H18" s="340"/>
      <c r="I18" s="340"/>
      <c r="J18" s="350"/>
      <c r="K18" s="350"/>
      <c r="L18" s="349">
        <v>12.5</v>
      </c>
      <c r="M18" s="350"/>
      <c r="N18" s="340">
        <v>12.5</v>
      </c>
      <c r="O18" s="340"/>
      <c r="P18" s="340"/>
      <c r="Q18" s="340"/>
      <c r="R18" s="340"/>
      <c r="S18" s="340"/>
      <c r="T18" s="340"/>
      <c r="U18" s="340"/>
      <c r="V18" s="340"/>
      <c r="W18" s="340"/>
      <c r="X18" s="350"/>
      <c r="Y18" s="357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49">
        <f>(4.6+6.4)*$B$47</f>
        <v>34.1</v>
      </c>
      <c r="C19" s="350"/>
      <c r="D19" s="340">
        <f>(9.7+7.9)*$B$47</f>
        <v>54.560000000000009</v>
      </c>
      <c r="E19" s="340"/>
      <c r="F19" s="340">
        <f>7.4*$B$47</f>
        <v>22.94</v>
      </c>
      <c r="G19" s="340"/>
      <c r="H19" s="340">
        <f>6.8*$B$47</f>
        <v>21.08</v>
      </c>
      <c r="I19" s="340"/>
      <c r="J19" s="350">
        <f>7.6*$B$47</f>
        <v>23.56</v>
      </c>
      <c r="K19" s="350"/>
      <c r="L19" s="349">
        <f>(4.6+6.4)*$B$47</f>
        <v>34.1</v>
      </c>
      <c r="M19" s="350"/>
      <c r="N19" s="340">
        <f>(9.7+7.9)*$B$47</f>
        <v>54.560000000000009</v>
      </c>
      <c r="O19" s="340"/>
      <c r="P19" s="340">
        <f>7.4*B47</f>
        <v>22.94</v>
      </c>
      <c r="Q19" s="340"/>
      <c r="R19" s="340">
        <f>6.8*$B$47</f>
        <v>21.08</v>
      </c>
      <c r="S19" s="340"/>
      <c r="T19" s="340">
        <f>7.6*$B$47</f>
        <v>23.56</v>
      </c>
      <c r="U19" s="340"/>
      <c r="V19" s="340">
        <f>11*$B$47</f>
        <v>34.1</v>
      </c>
      <c r="W19" s="340"/>
      <c r="X19" s="350">
        <f>6.7*$B$47</f>
        <v>20.77</v>
      </c>
      <c r="Y19" s="357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49">
        <f>14.36+29.15</f>
        <v>43.51</v>
      </c>
      <c r="C20" s="350"/>
      <c r="D20" s="340">
        <f>23.6+33.7</f>
        <v>57.300000000000004</v>
      </c>
      <c r="E20" s="340"/>
      <c r="F20" s="340">
        <f>14.35+9.64</f>
        <v>23.990000000000002</v>
      </c>
      <c r="G20" s="340"/>
      <c r="H20" s="340">
        <f>12.43+7.88</f>
        <v>20.309999999999999</v>
      </c>
      <c r="I20" s="340"/>
      <c r="J20" s="337">
        <f>15.11+5.66</f>
        <v>20.77</v>
      </c>
      <c r="K20" s="357"/>
      <c r="L20" s="349">
        <f>14.36+29.15</f>
        <v>43.51</v>
      </c>
      <c r="M20" s="350"/>
      <c r="N20" s="340">
        <f>23.6+33.7</f>
        <v>57.300000000000004</v>
      </c>
      <c r="O20" s="340"/>
      <c r="P20" s="340">
        <f>14.35+9.64</f>
        <v>23.990000000000002</v>
      </c>
      <c r="Q20" s="340"/>
      <c r="R20" s="340">
        <f>12.43+7.88</f>
        <v>20.309999999999999</v>
      </c>
      <c r="S20" s="340"/>
      <c r="T20" s="337">
        <f>15.11+5.66</f>
        <v>20.77</v>
      </c>
      <c r="U20" s="357"/>
      <c r="V20" s="340">
        <f>16.21+6.37</f>
        <v>22.580000000000002</v>
      </c>
      <c r="W20" s="340"/>
      <c r="X20" s="350">
        <f>8.72+6.37</f>
        <v>15.09</v>
      </c>
      <c r="Y20" s="357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49">
        <f>((7*8)*0.67+(4.8*$B$47*8)*0.33)</f>
        <v>76.803200000000004</v>
      </c>
      <c r="C21" s="350"/>
      <c r="D21" s="340">
        <f>((7*6)*0.67+(4.8*$B$47*6)*0.33)</f>
        <v>57.602400000000003</v>
      </c>
      <c r="E21" s="340"/>
      <c r="F21" s="337">
        <f>((7*8)*0.67+(4.8*$B$47*8)*0.33)</f>
        <v>76.803200000000004</v>
      </c>
      <c r="G21" s="338"/>
      <c r="H21" s="340">
        <f>((7*5)*0.67+(4.8*$B$47*5)*0.33)</f>
        <v>48.002000000000002</v>
      </c>
      <c r="I21" s="340"/>
      <c r="J21" s="337">
        <f>((7*4)*0.67+(4.8*$B$47*4)*0.33)</f>
        <v>38.401600000000002</v>
      </c>
      <c r="K21" s="350"/>
      <c r="L21" s="349"/>
      <c r="M21" s="350"/>
      <c r="N21" s="340"/>
      <c r="O21" s="340"/>
      <c r="P21" s="340"/>
      <c r="Q21" s="340"/>
      <c r="R21" s="340"/>
      <c r="S21" s="340"/>
      <c r="T21" s="340"/>
      <c r="U21" s="340"/>
      <c r="V21" s="337"/>
      <c r="W21" s="338"/>
      <c r="X21" s="350"/>
      <c r="Y21" s="357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49">
        <v>14.44</v>
      </c>
      <c r="C22" s="350"/>
      <c r="D22" s="340">
        <v>34.659999999999997</v>
      </c>
      <c r="E22" s="340"/>
      <c r="F22" s="340">
        <v>14.35</v>
      </c>
      <c r="G22" s="340"/>
      <c r="H22" s="340">
        <v>12.42</v>
      </c>
      <c r="I22" s="340"/>
      <c r="J22" s="340">
        <v>14</v>
      </c>
      <c r="K22" s="340"/>
      <c r="L22" s="349">
        <v>14.44</v>
      </c>
      <c r="M22" s="350"/>
      <c r="N22" s="340">
        <v>34.659999999999997</v>
      </c>
      <c r="O22" s="340"/>
      <c r="P22" s="340">
        <f>14.82</f>
        <v>14.82</v>
      </c>
      <c r="Q22" s="340"/>
      <c r="R22" s="340">
        <v>12.42</v>
      </c>
      <c r="S22" s="340"/>
      <c r="T22" s="340">
        <v>14</v>
      </c>
      <c r="U22" s="340"/>
      <c r="V22" s="340">
        <v>16.5</v>
      </c>
      <c r="W22" s="340"/>
      <c r="X22" s="350">
        <v>10.07</v>
      </c>
      <c r="Y22" s="357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49">
        <v>19</v>
      </c>
      <c r="C23" s="350"/>
      <c r="D23" s="340">
        <v>31</v>
      </c>
      <c r="E23" s="340"/>
      <c r="F23" s="340">
        <v>21</v>
      </c>
      <c r="G23" s="340"/>
      <c r="H23" s="340">
        <v>12</v>
      </c>
      <c r="I23" s="340"/>
      <c r="J23" s="350">
        <v>27</v>
      </c>
      <c r="K23" s="350"/>
      <c r="L23" s="349">
        <v>35</v>
      </c>
      <c r="M23" s="350"/>
      <c r="N23" s="340">
        <v>43</v>
      </c>
      <c r="O23" s="340"/>
      <c r="P23" s="340">
        <v>35</v>
      </c>
      <c r="Q23" s="340"/>
      <c r="R23" s="340">
        <v>20</v>
      </c>
      <c r="S23" s="340"/>
      <c r="T23" s="340">
        <v>24</v>
      </c>
      <c r="U23" s="340"/>
      <c r="V23" s="340">
        <v>13</v>
      </c>
      <c r="W23" s="340"/>
      <c r="X23" s="350">
        <v>17</v>
      </c>
      <c r="Y23" s="357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49"/>
      <c r="C24" s="350"/>
      <c r="D24" s="340"/>
      <c r="E24" s="340"/>
      <c r="F24" s="340"/>
      <c r="G24" s="340"/>
      <c r="H24" s="340"/>
      <c r="I24" s="340"/>
      <c r="J24" s="350"/>
      <c r="K24" s="350"/>
      <c r="L24" s="349"/>
      <c r="M24" s="35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50"/>
      <c r="Y24" s="357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49"/>
      <c r="C25" s="350"/>
      <c r="D25" s="340"/>
      <c r="E25" s="340"/>
      <c r="F25" s="340"/>
      <c r="G25" s="340"/>
      <c r="H25" s="340"/>
      <c r="I25" s="340"/>
      <c r="J25" s="350"/>
      <c r="K25" s="350"/>
      <c r="L25" s="349"/>
      <c r="M25" s="35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50"/>
      <c r="Y25" s="357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90">
        <f>(SUM(B11:B25))*0.5*0.055</f>
        <v>17.701953</v>
      </c>
      <c r="C26" s="368"/>
      <c r="D26" s="370">
        <f>(SUM(D11:D25))*0.5*0.055</f>
        <v>17.599791</v>
      </c>
      <c r="E26" s="370"/>
      <c r="F26" s="370">
        <f>(SUM(F11:F25))*0.5*0.055</f>
        <v>21.305713000000008</v>
      </c>
      <c r="G26" s="370"/>
      <c r="H26" s="370">
        <f>(SUM(H11:H25))*0.5*0.055</f>
        <v>9.4450053500000024</v>
      </c>
      <c r="I26" s="370"/>
      <c r="J26" s="368">
        <f>(SUM(J11:J25))*0.5*0.055</f>
        <v>11.629243999999998</v>
      </c>
      <c r="K26" s="368"/>
      <c r="L26" s="390">
        <f>(SUM(L11:L25))*0.5*0.055</f>
        <v>14.792528125000002</v>
      </c>
      <c r="M26" s="368"/>
      <c r="N26" s="370">
        <f>(SUM(N11:N25))*0.5*0.055</f>
        <v>15.77125</v>
      </c>
      <c r="O26" s="370"/>
      <c r="P26" s="370">
        <f>(SUM(P11:P25))*0.5*0.055</f>
        <v>10.6129117875</v>
      </c>
      <c r="Q26" s="370"/>
      <c r="R26" s="370">
        <f>(SUM(R11:R25))*0.5*0.055</f>
        <v>7.8262252750000014</v>
      </c>
      <c r="S26" s="370"/>
      <c r="T26" s="370">
        <f>(SUM(T11:T25))*0.5*0.055</f>
        <v>7.7669237249999998</v>
      </c>
      <c r="U26" s="370"/>
      <c r="V26" s="370">
        <f>(SUM(V11:V25))*0.5*0.055</f>
        <v>11.476621062500001</v>
      </c>
      <c r="W26" s="370"/>
      <c r="X26" s="368">
        <f>(SUM(X11:X25))*0.5*0.055</f>
        <v>8.3154403749999997</v>
      </c>
      <c r="Y26" s="369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90">
        <f>B7*0.0395</f>
        <v>47.4</v>
      </c>
      <c r="C27" s="368"/>
      <c r="D27" s="370"/>
      <c r="E27" s="370"/>
      <c r="F27" s="370"/>
      <c r="G27" s="370"/>
      <c r="H27" s="370"/>
      <c r="I27" s="370"/>
      <c r="J27" s="368"/>
      <c r="K27" s="368"/>
      <c r="L27" s="390">
        <f>0.0395*L7</f>
        <v>29.625</v>
      </c>
      <c r="M27" s="368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68"/>
      <c r="Y27" s="369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90"/>
      <c r="C28" s="368"/>
      <c r="D28" s="370">
        <f>D7/2000*0.33*20+D7/2000*0.67*30</f>
        <v>62.745000000000005</v>
      </c>
      <c r="E28" s="370"/>
      <c r="F28" s="370">
        <f>F7*1.0975*0.28</f>
        <v>61.46</v>
      </c>
      <c r="G28" s="370"/>
      <c r="H28" s="370"/>
      <c r="I28" s="370"/>
      <c r="J28" s="368">
        <f>J7*1.0975*0.28</f>
        <v>30.73</v>
      </c>
      <c r="K28" s="368"/>
      <c r="L28" s="390"/>
      <c r="M28" s="368"/>
      <c r="N28" s="370">
        <f>N7/2000*0.33*20+N7/2000*0.67*30</f>
        <v>45.39</v>
      </c>
      <c r="O28" s="370"/>
      <c r="P28" s="370">
        <f>P7*1.0975*0.28</f>
        <v>26.1205</v>
      </c>
      <c r="Q28" s="370"/>
      <c r="R28" s="370"/>
      <c r="S28" s="370"/>
      <c r="T28" s="370">
        <f>T7*1.0975*0.28</f>
        <v>19.974499999999999</v>
      </c>
      <c r="U28" s="370"/>
      <c r="V28" s="370">
        <f>V7*1.03*0.095</f>
        <v>7.3387500000000001</v>
      </c>
      <c r="W28" s="370"/>
      <c r="X28" s="368">
        <f>X7*1.03*0.095</f>
        <v>5.3817500000000003</v>
      </c>
      <c r="Y28" s="369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51"/>
      <c r="C29" s="352"/>
      <c r="D29" s="341">
        <f>D7/2000*3+D7/2000*355*0.01</f>
        <v>15.3925</v>
      </c>
      <c r="E29" s="341"/>
      <c r="F29" s="341"/>
      <c r="G29" s="341"/>
      <c r="H29" s="341"/>
      <c r="I29" s="341"/>
      <c r="J29" s="352"/>
      <c r="K29" s="352"/>
      <c r="L29" s="351"/>
      <c r="M29" s="352"/>
      <c r="N29" s="341">
        <f>N7/2000*3+N7/2000*355*0.01</f>
        <v>11.135</v>
      </c>
      <c r="O29" s="341"/>
      <c r="P29" s="341"/>
      <c r="Q29" s="341"/>
      <c r="R29" s="341"/>
      <c r="S29" s="341"/>
      <c r="T29" s="341"/>
      <c r="U29" s="341"/>
      <c r="V29" s="341"/>
      <c r="W29" s="341"/>
      <c r="X29" s="352"/>
      <c r="Y29" s="361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5" thickBot="1" x14ac:dyDescent="0.25">
      <c r="A30" s="125" t="s">
        <v>157</v>
      </c>
      <c r="B30" s="364">
        <f t="shared" ref="B30:X30" si="0">SUM(B11:B29)</f>
        <v>708.80933481818181</v>
      </c>
      <c r="C30" s="363"/>
      <c r="D30" s="344">
        <f t="shared" si="0"/>
        <v>735.729691</v>
      </c>
      <c r="E30" s="344"/>
      <c r="F30" s="344">
        <f t="shared" si="0"/>
        <v>857.51891300000023</v>
      </c>
      <c r="G30" s="344"/>
      <c r="H30" s="344">
        <f t="shared" si="0"/>
        <v>352.8997453500001</v>
      </c>
      <c r="I30" s="344"/>
      <c r="J30" s="363">
        <f t="shared" si="0"/>
        <v>465.24084399999992</v>
      </c>
      <c r="K30" s="363"/>
      <c r="L30" s="364">
        <f>SUM(L11:L29)</f>
        <v>582.32764176136368</v>
      </c>
      <c r="M30" s="363"/>
      <c r="N30" s="344">
        <f t="shared" si="0"/>
        <v>645.79624999999999</v>
      </c>
      <c r="O30" s="344"/>
      <c r="P30" s="344">
        <f t="shared" si="0"/>
        <v>422.6574767875</v>
      </c>
      <c r="Q30" s="344"/>
      <c r="R30" s="344">
        <f t="shared" si="0"/>
        <v>292.41623527500008</v>
      </c>
      <c r="S30" s="344"/>
      <c r="T30" s="344">
        <f t="shared" si="0"/>
        <v>310.17501372499999</v>
      </c>
      <c r="U30" s="344"/>
      <c r="V30" s="344">
        <f>SUM(V11:V29)</f>
        <v>436.14704606250007</v>
      </c>
      <c r="W30" s="344"/>
      <c r="X30" s="363">
        <f t="shared" si="0"/>
        <v>316.07684037499996</v>
      </c>
      <c r="Y30" s="366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91">
        <f t="shared" ref="B31:X31" si="1">B9-B30</f>
        <v>311.19066518181819</v>
      </c>
      <c r="C31" s="372"/>
      <c r="D31" s="371">
        <f t="shared" si="1"/>
        <v>298.270309</v>
      </c>
      <c r="E31" s="371"/>
      <c r="F31" s="371">
        <f t="shared" si="1"/>
        <v>242.48108699999977</v>
      </c>
      <c r="G31" s="371"/>
      <c r="H31" s="371">
        <f t="shared" si="1"/>
        <v>307.1002546499999</v>
      </c>
      <c r="I31" s="371"/>
      <c r="J31" s="372">
        <f t="shared" si="1"/>
        <v>34.759156000000075</v>
      </c>
      <c r="K31" s="372"/>
      <c r="L31" s="391">
        <f t="shared" si="1"/>
        <v>55.17235823863632</v>
      </c>
      <c r="M31" s="372"/>
      <c r="N31" s="371">
        <f t="shared" si="1"/>
        <v>102.20375000000001</v>
      </c>
      <c r="O31" s="371"/>
      <c r="P31" s="371">
        <f t="shared" si="1"/>
        <v>44.842523212499998</v>
      </c>
      <c r="Q31" s="371"/>
      <c r="R31" s="371">
        <f t="shared" si="1"/>
        <v>37.583764724999924</v>
      </c>
      <c r="S31" s="371"/>
      <c r="T31" s="371">
        <f t="shared" si="1"/>
        <v>14.824986275000015</v>
      </c>
      <c r="U31" s="371"/>
      <c r="V31" s="371">
        <f>V9-V30</f>
        <v>88.852953937499933</v>
      </c>
      <c r="W31" s="371"/>
      <c r="X31" s="372">
        <f t="shared" si="1"/>
        <v>68.923159625000039</v>
      </c>
      <c r="Y31" s="373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0.59067444568181815</v>
      </c>
      <c r="C32" s="263" t="s">
        <v>159</v>
      </c>
      <c r="D32" s="264">
        <f>D30/D7*2000</f>
        <v>313.07646425531914</v>
      </c>
      <c r="E32" s="265" t="s">
        <v>160</v>
      </c>
      <c r="F32" s="266">
        <f>F30/F7</f>
        <v>4.2875945650000009</v>
      </c>
      <c r="G32" s="265" t="s">
        <v>162</v>
      </c>
      <c r="H32" s="266">
        <f>H30/H7</f>
        <v>5.8816624225000016</v>
      </c>
      <c r="I32" s="265" t="s">
        <v>162</v>
      </c>
      <c r="J32" s="267">
        <f>J30/J7</f>
        <v>4.6524084399999994</v>
      </c>
      <c r="K32" s="263" t="s">
        <v>162</v>
      </c>
      <c r="L32" s="262">
        <f>L30/L7</f>
        <v>0.77643685568181819</v>
      </c>
      <c r="M32" s="263" t="s">
        <v>159</v>
      </c>
      <c r="N32" s="264">
        <f>N30/N7*2000</f>
        <v>379.88014705882352</v>
      </c>
      <c r="O32" s="265" t="s">
        <v>160</v>
      </c>
      <c r="P32" s="266">
        <f>P30/P7</f>
        <v>4.9724409033823527</v>
      </c>
      <c r="Q32" s="265" t="s">
        <v>162</v>
      </c>
      <c r="R32" s="266">
        <f>R30/R7</f>
        <v>9.7472078425000017</v>
      </c>
      <c r="S32" s="265" t="s">
        <v>162</v>
      </c>
      <c r="T32" s="266">
        <f>T30/T7</f>
        <v>4.7719232880769225</v>
      </c>
      <c r="U32" s="265" t="s">
        <v>162</v>
      </c>
      <c r="V32" s="266">
        <f>V30/V7</f>
        <v>5.8152939475000007</v>
      </c>
      <c r="W32" s="265" t="s">
        <v>162</v>
      </c>
      <c r="X32" s="267">
        <f>X30/X7</f>
        <v>5.7468516431818175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27" t="s">
        <v>189</v>
      </c>
      <c r="B33" s="323">
        <f>B30/B8</f>
        <v>833.89333508021389</v>
      </c>
      <c r="C33" s="324" t="s">
        <v>158</v>
      </c>
      <c r="D33" s="325">
        <f>D30/D8*2000</f>
        <v>3344.2258681818184</v>
      </c>
      <c r="E33" s="326" t="s">
        <v>158</v>
      </c>
      <c r="F33" s="325">
        <f>F30/F8</f>
        <v>155.91252963636367</v>
      </c>
      <c r="G33" s="326" t="s">
        <v>161</v>
      </c>
      <c r="H33" s="325">
        <f>H30/H8</f>
        <v>32.081795031818189</v>
      </c>
      <c r="I33" s="326" t="s">
        <v>161</v>
      </c>
      <c r="J33" s="327">
        <f>J30/J8</f>
        <v>93.048168799999985</v>
      </c>
      <c r="K33" s="324" t="s">
        <v>161</v>
      </c>
      <c r="L33" s="323">
        <f>L30/L8</f>
        <v>685.09134324866318</v>
      </c>
      <c r="M33" s="324" t="s">
        <v>158</v>
      </c>
      <c r="N33" s="325">
        <f>N30/N8*2000</f>
        <v>2935.4375</v>
      </c>
      <c r="O33" s="326" t="s">
        <v>158</v>
      </c>
      <c r="P33" s="325">
        <f>P30/P8</f>
        <v>76.846813961363637</v>
      </c>
      <c r="Q33" s="326" t="s">
        <v>161</v>
      </c>
      <c r="R33" s="325">
        <f>R30/R8</f>
        <v>26.583294115909098</v>
      </c>
      <c r="S33" s="326" t="s">
        <v>161</v>
      </c>
      <c r="T33" s="325">
        <f>T30/T8</f>
        <v>62.035002745</v>
      </c>
      <c r="U33" s="326" t="s">
        <v>161</v>
      </c>
      <c r="V33" s="325">
        <f>V30/V8</f>
        <v>62.306720866071437</v>
      </c>
      <c r="W33" s="326" t="s">
        <v>161</v>
      </c>
      <c r="X33" s="325">
        <f>X30/X8</f>
        <v>45.153834339285709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90"/>
      <c r="C34" s="368"/>
      <c r="D34" s="370"/>
      <c r="E34" s="370"/>
      <c r="F34" s="370"/>
      <c r="G34" s="370"/>
      <c r="H34" s="370"/>
      <c r="I34" s="370"/>
      <c r="J34" s="368"/>
      <c r="K34" s="368"/>
      <c r="L34" s="390"/>
      <c r="M34" s="368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68"/>
      <c r="Y34" s="369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49">
        <f>47.1+138.49</f>
        <v>185.59</v>
      </c>
      <c r="C35" s="350"/>
      <c r="D35" s="340">
        <f>67.87+102.04</f>
        <v>169.91000000000003</v>
      </c>
      <c r="E35" s="340"/>
      <c r="F35" s="340">
        <f>39.4+47.88</f>
        <v>87.28</v>
      </c>
      <c r="G35" s="340"/>
      <c r="H35" s="340">
        <f>35.5+32.78</f>
        <v>68.28</v>
      </c>
      <c r="I35" s="340"/>
      <c r="J35" s="337">
        <f>40.71+25.6</f>
        <v>66.31</v>
      </c>
      <c r="K35" s="338"/>
      <c r="L35" s="349">
        <f>47.1+138.49</f>
        <v>185.59</v>
      </c>
      <c r="M35" s="350"/>
      <c r="N35" s="340">
        <f>67.87+102.04</f>
        <v>169.91000000000003</v>
      </c>
      <c r="O35" s="340"/>
      <c r="P35" s="340">
        <f>39.4+47.88</f>
        <v>87.28</v>
      </c>
      <c r="Q35" s="340"/>
      <c r="R35" s="340">
        <f>35.5+32.78</f>
        <v>68.28</v>
      </c>
      <c r="S35" s="340"/>
      <c r="T35" s="337">
        <f>40.71+25.6</f>
        <v>66.31</v>
      </c>
      <c r="U35" s="338"/>
      <c r="V35" s="340">
        <f>46.5+30.17</f>
        <v>76.67</v>
      </c>
      <c r="W35" s="340"/>
      <c r="X35" s="350">
        <f>23.9+30.17</f>
        <v>54.07</v>
      </c>
      <c r="Y35" s="357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49">
        <v>135</v>
      </c>
      <c r="C36" s="350"/>
      <c r="D36" s="340">
        <v>135</v>
      </c>
      <c r="E36" s="340"/>
      <c r="F36" s="340">
        <v>135</v>
      </c>
      <c r="G36" s="340"/>
      <c r="H36" s="340">
        <v>135</v>
      </c>
      <c r="I36" s="340"/>
      <c r="J36" s="350">
        <v>135</v>
      </c>
      <c r="K36" s="350"/>
      <c r="L36" s="349"/>
      <c r="M36" s="35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50"/>
      <c r="Y36" s="357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49"/>
      <c r="C37" s="350"/>
      <c r="D37" s="340"/>
      <c r="E37" s="340"/>
      <c r="F37" s="340"/>
      <c r="G37" s="340"/>
      <c r="H37" s="340"/>
      <c r="I37" s="340"/>
      <c r="J37" s="350"/>
      <c r="K37" s="350"/>
      <c r="L37" s="349"/>
      <c r="M37" s="35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50"/>
      <c r="Y37" s="357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51">
        <f>0.05*B30</f>
        <v>35.440466740909095</v>
      </c>
      <c r="C38" s="352"/>
      <c r="D38" s="341">
        <f>0.05*D30</f>
        <v>36.786484550000004</v>
      </c>
      <c r="E38" s="341"/>
      <c r="F38" s="341">
        <f>0.05*F30</f>
        <v>42.875945650000013</v>
      </c>
      <c r="G38" s="341"/>
      <c r="H38" s="341">
        <f>0.05*H30</f>
        <v>17.644987267500007</v>
      </c>
      <c r="I38" s="341"/>
      <c r="J38" s="352">
        <f>0.05*J30</f>
        <v>23.262042199999996</v>
      </c>
      <c r="K38" s="352"/>
      <c r="L38" s="351">
        <f>0.05*L30</f>
        <v>29.116382088068185</v>
      </c>
      <c r="M38" s="352"/>
      <c r="N38" s="341">
        <f>0.05*N30</f>
        <v>32.289812500000004</v>
      </c>
      <c r="O38" s="341"/>
      <c r="P38" s="341">
        <f>0.05*P30</f>
        <v>21.132873839375002</v>
      </c>
      <c r="Q38" s="341"/>
      <c r="R38" s="341">
        <f>0.05*R30</f>
        <v>14.620811763750005</v>
      </c>
      <c r="S38" s="341"/>
      <c r="T38" s="341">
        <f>0.05*T30</f>
        <v>15.50875068625</v>
      </c>
      <c r="U38" s="341"/>
      <c r="V38" s="341">
        <f>0.05*V30</f>
        <v>21.807352303125004</v>
      </c>
      <c r="W38" s="341"/>
      <c r="X38" s="352">
        <f>0.05*X30</f>
        <v>15.803842018749998</v>
      </c>
      <c r="Y38" s="361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353">
        <f>SUM(B35:B38)</f>
        <v>356.03046674090911</v>
      </c>
      <c r="C39" s="354"/>
      <c r="D39" s="342">
        <f>SUM(D35:D38)</f>
        <v>341.69648455000004</v>
      </c>
      <c r="E39" s="342"/>
      <c r="F39" s="342">
        <f>SUM(F35:F38)</f>
        <v>265.15594565000004</v>
      </c>
      <c r="G39" s="342"/>
      <c r="H39" s="342">
        <f>SUM(H35:H38)</f>
        <v>220.9249872675</v>
      </c>
      <c r="I39" s="342"/>
      <c r="J39" s="354">
        <f>SUM(J35:J38)</f>
        <v>224.5720422</v>
      </c>
      <c r="K39" s="354"/>
      <c r="L39" s="353">
        <f>SUM(L35:L38)</f>
        <v>214.70638208806818</v>
      </c>
      <c r="M39" s="354"/>
      <c r="N39" s="342">
        <f>SUM(N35:N38)</f>
        <v>202.19981250000004</v>
      </c>
      <c r="O39" s="342"/>
      <c r="P39" s="342">
        <f>SUM(P35:P38)</f>
        <v>108.41287383937501</v>
      </c>
      <c r="Q39" s="342"/>
      <c r="R39" s="342">
        <f>SUM(R35:R38)</f>
        <v>82.900811763749999</v>
      </c>
      <c r="S39" s="342"/>
      <c r="T39" s="342">
        <f>SUM(T35:T38)</f>
        <v>81.818750686249999</v>
      </c>
      <c r="U39" s="342"/>
      <c r="V39" s="342">
        <f>SUM(V35:V38)</f>
        <v>98.477352303125002</v>
      </c>
      <c r="W39" s="342"/>
      <c r="X39" s="354">
        <f>SUM(X35:X38)</f>
        <v>69.873842018749997</v>
      </c>
      <c r="Y39" s="360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43"/>
      <c r="E40" s="343"/>
      <c r="F40" s="343"/>
      <c r="G40" s="343"/>
      <c r="H40" s="343"/>
      <c r="I40" s="343"/>
      <c r="J40" s="358"/>
      <c r="K40" s="358"/>
      <c r="L40" s="362"/>
      <c r="M40" s="358"/>
      <c r="N40" s="343"/>
      <c r="O40" s="343"/>
      <c r="P40" s="343"/>
      <c r="Q40" s="343"/>
      <c r="R40" s="343"/>
      <c r="S40" s="343"/>
      <c r="T40" s="343"/>
      <c r="U40" s="343"/>
      <c r="V40" s="303"/>
      <c r="W40" s="304"/>
      <c r="X40" s="358"/>
      <c r="Y40" s="359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5" thickBot="1" x14ac:dyDescent="0.25">
      <c r="A41" s="125" t="s">
        <v>166</v>
      </c>
      <c r="B41" s="364">
        <f>B39+B30</f>
        <v>1064.839801559091</v>
      </c>
      <c r="C41" s="363"/>
      <c r="D41" s="344">
        <f>D39+D30</f>
        <v>1077.4261755500002</v>
      </c>
      <c r="E41" s="344"/>
      <c r="F41" s="344">
        <f>F39+F30</f>
        <v>1122.6748586500003</v>
      </c>
      <c r="G41" s="344"/>
      <c r="H41" s="344">
        <f>H39+H30</f>
        <v>573.8247326175001</v>
      </c>
      <c r="I41" s="344"/>
      <c r="J41" s="363">
        <f>J39+J30</f>
        <v>689.81288619999987</v>
      </c>
      <c r="K41" s="363"/>
      <c r="L41" s="364">
        <f>L39+L30</f>
        <v>797.03402384943183</v>
      </c>
      <c r="M41" s="363"/>
      <c r="N41" s="344">
        <f>N39+N30</f>
        <v>847.99606249999999</v>
      </c>
      <c r="O41" s="344"/>
      <c r="P41" s="344">
        <f>P39+P30</f>
        <v>531.07035062687498</v>
      </c>
      <c r="Q41" s="344"/>
      <c r="R41" s="344">
        <f>R39+R30</f>
        <v>375.31704703875005</v>
      </c>
      <c r="S41" s="344"/>
      <c r="T41" s="344">
        <f>T39+T30</f>
        <v>391.99376441124997</v>
      </c>
      <c r="U41" s="344"/>
      <c r="V41" s="344">
        <f>V39+V30</f>
        <v>534.6243983656251</v>
      </c>
      <c r="W41" s="344"/>
      <c r="X41" s="363">
        <f>X39+X30</f>
        <v>385.95068239374996</v>
      </c>
      <c r="Y41" s="366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5" thickBot="1" x14ac:dyDescent="0.25">
      <c r="A42" s="140" t="s">
        <v>167</v>
      </c>
      <c r="B42" s="355">
        <f>B9-B41</f>
        <v>-44.839801559091029</v>
      </c>
      <c r="C42" s="356"/>
      <c r="D42" s="348">
        <f>D9-D41</f>
        <v>-43.426175550000153</v>
      </c>
      <c r="E42" s="348"/>
      <c r="F42" s="348">
        <f>F9-F41</f>
        <v>-22.67485865000026</v>
      </c>
      <c r="G42" s="348"/>
      <c r="H42" s="348">
        <f>H9-H41</f>
        <v>86.175267382499896</v>
      </c>
      <c r="I42" s="348"/>
      <c r="J42" s="356">
        <f>J9-J41</f>
        <v>-189.81288619999987</v>
      </c>
      <c r="K42" s="356"/>
      <c r="L42" s="355">
        <f>L9-L41</f>
        <v>-159.53402384943183</v>
      </c>
      <c r="M42" s="356"/>
      <c r="N42" s="348">
        <f>N9-N41</f>
        <v>-99.996062499999994</v>
      </c>
      <c r="O42" s="348"/>
      <c r="P42" s="348">
        <f>P9-P41</f>
        <v>-63.570350626874983</v>
      </c>
      <c r="Q42" s="348"/>
      <c r="R42" s="348">
        <f>R9-R41</f>
        <v>-45.317047038750047</v>
      </c>
      <c r="S42" s="348"/>
      <c r="T42" s="348">
        <f>T9-T41</f>
        <v>-66.99376441124997</v>
      </c>
      <c r="U42" s="348"/>
      <c r="V42" s="348">
        <f>V9-V41</f>
        <v>-9.6243983656250975</v>
      </c>
      <c r="W42" s="348"/>
      <c r="X42" s="356">
        <f>X9-X41</f>
        <v>-0.95068239374995755</v>
      </c>
      <c r="Y42" s="367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5" thickTop="1" x14ac:dyDescent="0.2">
      <c r="A43" s="105"/>
      <c r="B43" s="141"/>
      <c r="C43" s="142"/>
      <c r="D43" s="345"/>
      <c r="E43" s="345"/>
      <c r="F43" s="335"/>
      <c r="G43" s="336"/>
      <c r="H43" s="335"/>
      <c r="I43" s="336"/>
      <c r="J43" s="142"/>
      <c r="K43" s="142"/>
      <c r="L43" s="346"/>
      <c r="M43" s="347"/>
      <c r="N43" s="345"/>
      <c r="O43" s="345"/>
      <c r="P43" s="345"/>
      <c r="Q43" s="345"/>
      <c r="R43" s="345"/>
      <c r="S43" s="345"/>
      <c r="T43" s="345"/>
      <c r="U43" s="345"/>
      <c r="V43" s="335"/>
      <c r="W43" s="336"/>
      <c r="X43" s="347"/>
      <c r="Y43" s="365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0.88736650129924255</v>
      </c>
      <c r="C44" s="146" t="s">
        <v>159</v>
      </c>
      <c r="D44" s="242">
        <f>D41/D7*2000</f>
        <v>458.47922363829798</v>
      </c>
      <c r="E44" s="244" t="s">
        <v>160</v>
      </c>
      <c r="F44" s="243">
        <f>F41/F7</f>
        <v>5.6133742932500015</v>
      </c>
      <c r="G44" s="244" t="s">
        <v>162</v>
      </c>
      <c r="H44" s="243">
        <f>H41/H7</f>
        <v>9.5637455436250018</v>
      </c>
      <c r="I44" s="244" t="s">
        <v>162</v>
      </c>
      <c r="J44" s="243">
        <f>J41/J7</f>
        <v>6.8981288619999983</v>
      </c>
      <c r="K44" s="129" t="s">
        <v>162</v>
      </c>
      <c r="L44" s="145">
        <f>L41/L7</f>
        <v>1.0627120317992425</v>
      </c>
      <c r="M44" s="146" t="s">
        <v>159</v>
      </c>
      <c r="N44" s="239">
        <f>N41/N7*2000</f>
        <v>498.82121323529412</v>
      </c>
      <c r="O44" s="238" t="s">
        <v>160</v>
      </c>
      <c r="P44" s="240">
        <f>P41/P7</f>
        <v>6.2478864779632355</v>
      </c>
      <c r="Q44" s="238" t="s">
        <v>162</v>
      </c>
      <c r="R44" s="240">
        <f>R41/R7</f>
        <v>12.510568234625001</v>
      </c>
      <c r="S44" s="238" t="s">
        <v>162</v>
      </c>
      <c r="T44" s="240">
        <f>T41/T7</f>
        <v>6.030673298634615</v>
      </c>
      <c r="U44" s="238" t="s">
        <v>162</v>
      </c>
      <c r="V44" s="240">
        <f>V41/V7</f>
        <v>7.1283253115416683</v>
      </c>
      <c r="W44" s="238" t="s">
        <v>162</v>
      </c>
      <c r="X44" s="147">
        <f>X41/X7</f>
        <v>7.017285134431817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1252.7527077165778</v>
      </c>
      <c r="C45" s="150" t="s">
        <v>158</v>
      </c>
      <c r="D45" s="245">
        <f>D41/D8*2000</f>
        <v>4897.3917070454545</v>
      </c>
      <c r="E45" s="241" t="s">
        <v>158</v>
      </c>
      <c r="F45" s="246">
        <f>F41/F8</f>
        <v>204.12270157272732</v>
      </c>
      <c r="G45" s="238" t="s">
        <v>161</v>
      </c>
      <c r="H45" s="246">
        <f>H41/H8</f>
        <v>52.165884783409098</v>
      </c>
      <c r="I45" s="238" t="s">
        <v>161</v>
      </c>
      <c r="J45" s="246">
        <f>J41/J8</f>
        <v>137.96257723999997</v>
      </c>
      <c r="K45" s="305" t="s">
        <v>161</v>
      </c>
      <c r="L45" s="312">
        <f>L41/L8</f>
        <v>937.68708688168454</v>
      </c>
      <c r="M45" s="150" t="s">
        <v>158</v>
      </c>
      <c r="N45" s="245">
        <f>N41/N8*2000</f>
        <v>3854.5275568181819</v>
      </c>
      <c r="O45" s="241" t="s">
        <v>158</v>
      </c>
      <c r="P45" s="246">
        <f>P41/P8</f>
        <v>96.558245568522722</v>
      </c>
      <c r="Q45" s="238" t="s">
        <v>161</v>
      </c>
      <c r="R45" s="246">
        <f>R41/R8</f>
        <v>34.119731548977278</v>
      </c>
      <c r="S45" s="238" t="s">
        <v>161</v>
      </c>
      <c r="T45" s="246">
        <f>T41/T8</f>
        <v>78.398752882249994</v>
      </c>
      <c r="U45" s="238" t="s">
        <v>161</v>
      </c>
      <c r="V45" s="246">
        <f>V41/V8</f>
        <v>76.374914052232157</v>
      </c>
      <c r="W45" s="238" t="s">
        <v>161</v>
      </c>
      <c r="X45" s="151">
        <f>X41/X8</f>
        <v>55.13581177053571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v>0.95</v>
      </c>
      <c r="E46" s="170" t="s">
        <v>65</v>
      </c>
      <c r="F46" s="169">
        <v>0.67</v>
      </c>
      <c r="G46" s="170" t="s">
        <v>66</v>
      </c>
      <c r="H46" s="234">
        <v>0.68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3.1</v>
      </c>
      <c r="C47" s="339" t="s">
        <v>67</v>
      </c>
      <c r="D47" s="339"/>
      <c r="E47" s="339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39" t="s">
        <v>191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174"/>
      <c r="AD48" s="100"/>
    </row>
    <row r="49" spans="1:1" s="100" customFormat="1" x14ac:dyDescent="0.2">
      <c r="A49" s="95"/>
    </row>
    <row r="50" spans="1:1" s="100" customFormat="1" x14ac:dyDescent="0.2">
      <c r="A50" s="105"/>
    </row>
    <row r="51" spans="1:1" s="100" customFormat="1" x14ac:dyDescent="0.2">
      <c r="A51" s="105"/>
    </row>
    <row r="52" spans="1:1" s="100" customFormat="1" x14ac:dyDescent="0.2">
      <c r="A52" s="105"/>
    </row>
    <row r="53" spans="1:1" s="100" customFormat="1" x14ac:dyDescent="0.2">
      <c r="A53" s="10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</sheetData>
  <sheetProtection sheet="1" objects="1" scenarios="1"/>
  <mergeCells count="416">
    <mergeCell ref="L1:Y2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F29:G29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11.6640625" bestFit="1" customWidth="1"/>
    <col min="2" max="4" width="7.6640625" style="3" bestFit="1" customWidth="1"/>
    <col min="5" max="5" width="8.6640625" style="3" bestFit="1" customWidth="1"/>
    <col min="6" max="6" width="2.5" style="2" customWidth="1"/>
    <col min="7" max="9" width="7.6640625" bestFit="1" customWidth="1"/>
    <col min="10" max="10" width="8.33203125" bestFit="1" customWidth="1"/>
    <col min="11" max="11" width="1.6640625" style="2" customWidth="1"/>
    <col min="12" max="14" width="7.6640625" bestFit="1" customWidth="1"/>
    <col min="15" max="15" width="8.33203125" bestFit="1" customWidth="1"/>
    <col min="16" max="16" width="1.83203125" style="2" customWidth="1"/>
    <col min="17" max="19" width="7.6640625" bestFit="1" customWidth="1"/>
    <col min="20" max="20" width="8.33203125" bestFit="1" customWidth="1"/>
  </cols>
  <sheetData>
    <row r="1" spans="1:20" x14ac:dyDescent="0.15">
      <c r="A1" s="407" t="s">
        <v>85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</row>
    <row r="2" spans="1:20" x14ac:dyDescent="0.15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15">
      <c r="A3" s="1" t="s">
        <v>70</v>
      </c>
      <c r="B3" s="4">
        <f>Conventional!$B$30</f>
        <v>708.80933481818181</v>
      </c>
      <c r="C3" s="4">
        <f>Conventional!$D$30</f>
        <v>735.729691</v>
      </c>
      <c r="D3" s="4">
        <f>Conventional!$F$30</f>
        <v>857.51891300000023</v>
      </c>
      <c r="E3" s="4">
        <f>Conventional!$H$30</f>
        <v>352.8997453500001</v>
      </c>
    </row>
    <row r="4" spans="1:20" x14ac:dyDescent="0.15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15">
      <c r="B5" s="408" t="s">
        <v>74</v>
      </c>
      <c r="C5" s="408"/>
      <c r="D5" s="408"/>
      <c r="E5" s="408"/>
      <c r="F5" s="29"/>
      <c r="G5" s="409" t="s">
        <v>75</v>
      </c>
      <c r="H5" s="409"/>
      <c r="I5" s="409"/>
      <c r="J5" s="409"/>
      <c r="K5" s="29"/>
      <c r="L5" s="410" t="s">
        <v>76</v>
      </c>
      <c r="M5" s="410"/>
      <c r="N5" s="410"/>
      <c r="O5" s="410"/>
      <c r="P5" s="29"/>
      <c r="Q5" s="411" t="s">
        <v>77</v>
      </c>
      <c r="R5" s="411"/>
      <c r="S5" s="411"/>
      <c r="T5" s="411"/>
    </row>
    <row r="6" spans="1:20" s="8" customFormat="1" ht="28" x14ac:dyDescent="0.15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15">
      <c r="B7" s="18">
        <f t="shared" ref="B7:B12" si="0">B8-0.025</f>
        <v>0.67499999999999982</v>
      </c>
      <c r="C7" s="19">
        <f t="shared" ref="C7:C21" si="1">(((B7*$B$4)-$B$3+$C$3)/$C$4)*2000</f>
        <v>356.136321779497</v>
      </c>
      <c r="D7" s="18">
        <f t="shared" ref="D7:D21" si="2">(((B7*$B$4)-$B$3+$D$3)/$D$4)</f>
        <v>4.7935478909090907</v>
      </c>
      <c r="E7" s="18">
        <f>(((B7*$B$4)-$B$3+$E$3)/$E$4)</f>
        <v>7.5681735088636346</v>
      </c>
      <c r="G7" s="20">
        <f>(((H7*$C$4/2000)-$C$3+$B$3)/$B$4)</f>
        <v>0.70214970318181813</v>
      </c>
      <c r="H7" s="21">
        <f t="shared" ref="H7:H12" si="3">H8-10</f>
        <v>370</v>
      </c>
      <c r="I7" s="20">
        <f>(((H7*$C$4/2000)-$C$3+$D$3)/$D$4)</f>
        <v>4.9564461100000008</v>
      </c>
      <c r="J7" s="20">
        <f>(((H7*$C$4/2000)-$C$3+$E$3)/$E$4)</f>
        <v>8.1111675725000012</v>
      </c>
      <c r="L7" s="13">
        <f>(((N7*$D$4)-$D$3+$B$3)/$B$4)</f>
        <v>0.61774201818181762</v>
      </c>
      <c r="M7" s="14">
        <f>(((N7*$D$4)-$D$3+$C$3)/$C$4)*2000</f>
        <v>326.89820340425501</v>
      </c>
      <c r="N7" s="13">
        <f t="shared" ref="N7:N12" si="4">N8-0.15</f>
        <v>4.4499999999999975</v>
      </c>
      <c r="O7" s="13">
        <f>(((N7*$D$4)-$D$3+$E$3)/$E$4)</f>
        <v>6.4230138724999906</v>
      </c>
      <c r="Q7" s="9">
        <f>(((T7*$E$4)-$E$3+$B$3)/$B$4)</f>
        <v>0.72409132455681824</v>
      </c>
      <c r="R7" s="10">
        <f>(((T7*$E$4)-$E$3+$C$3)/$C$4)*2000</f>
        <v>381.20423219148938</v>
      </c>
      <c r="S7" s="9">
        <f>(((T7*$E$4)-$E$3+$D$3)/$D$4)</f>
        <v>5.088095838250001</v>
      </c>
      <c r="T7" s="9">
        <f t="shared" ref="T7:T12" si="5">T8-0.35</f>
        <v>8.5500000000000025</v>
      </c>
    </row>
    <row r="8" spans="1:20" x14ac:dyDescent="0.15">
      <c r="B8" s="18">
        <f t="shared" si="0"/>
        <v>0.69999999999999984</v>
      </c>
      <c r="C8" s="19">
        <f t="shared" si="1"/>
        <v>368.90227922630555</v>
      </c>
      <c r="D8" s="18">
        <f t="shared" si="2"/>
        <v>4.9435478909090911</v>
      </c>
      <c r="E8" s="18">
        <f>(((B8*$B$4)-$B$3+$E$3)/$E$4)</f>
        <v>8.0681735088636337</v>
      </c>
      <c r="G8" s="20">
        <f t="shared" ref="G8:G21" si="6">(((H8*$C$4/2000)-$C$3+$B$3)/$B$4)</f>
        <v>0.72173303651515153</v>
      </c>
      <c r="H8" s="21">
        <f t="shared" si="3"/>
        <v>380</v>
      </c>
      <c r="I8" s="20">
        <f t="shared" ref="I8:I21" si="7">(((H8*$C$4/2000)-$C$3+$D$3)/$D$4)</f>
        <v>5.0739461100000014</v>
      </c>
      <c r="J8" s="20">
        <f t="shared" ref="J8:J21" si="8">(((H8*$C$4/2000)-$C$3+$E$3)/$E$4)</f>
        <v>8.5028342391666687</v>
      </c>
      <c r="L8" s="13">
        <f t="shared" ref="L8:L21" si="9">(((N8*$D$4)-$D$3+$B$3)/$B$4)</f>
        <v>0.64274201818181764</v>
      </c>
      <c r="M8" s="14">
        <f t="shared" ref="M8:M21" si="10">(((N8*$D$4)-$D$3+$C$3)/$C$4)*2000</f>
        <v>339.66416085106357</v>
      </c>
      <c r="N8" s="13">
        <f t="shared" si="4"/>
        <v>4.5999999999999979</v>
      </c>
      <c r="O8" s="13">
        <f t="shared" ref="O8:O21" si="11">(((N8*$D$4)-$D$3+$E$3)/$E$4)</f>
        <v>6.9230138724999906</v>
      </c>
      <c r="Q8" s="9">
        <f t="shared" ref="Q8:Q21" si="12">(((T8*$E$4)-$E$3+$B$3)/$B$4)</f>
        <v>0.7415913245568182</v>
      </c>
      <c r="R8" s="10">
        <f t="shared" ref="R8:R21" si="13">(((T8*$E$4)-$E$3+$C$3)/$C$4)*2000</f>
        <v>390.14040240425533</v>
      </c>
      <c r="S8" s="9">
        <f t="shared" ref="S8:S21" si="14">(((T8*$E$4)-$E$3+$D$3)/$D$4)</f>
        <v>5.1930958382500014</v>
      </c>
      <c r="T8" s="9">
        <f t="shared" si="5"/>
        <v>8.9000000000000021</v>
      </c>
    </row>
    <row r="9" spans="1:20" x14ac:dyDescent="0.15">
      <c r="B9" s="18">
        <f t="shared" si="0"/>
        <v>0.72499999999999987</v>
      </c>
      <c r="C9" s="19">
        <f t="shared" si="1"/>
        <v>381.66823667311405</v>
      </c>
      <c r="D9" s="18">
        <f t="shared" si="2"/>
        <v>5.0935478909090914</v>
      </c>
      <c r="E9" s="18">
        <f t="shared" ref="E9:E21" si="15">(((B9*$B$4)-$B$3+$E$3)/$E$4)</f>
        <v>8.5681735088636355</v>
      </c>
      <c r="G9" s="20">
        <f t="shared" si="6"/>
        <v>0.74131636984848481</v>
      </c>
      <c r="H9" s="21">
        <f t="shared" si="3"/>
        <v>390</v>
      </c>
      <c r="I9" s="20">
        <f t="shared" si="7"/>
        <v>5.191446110000002</v>
      </c>
      <c r="J9" s="20">
        <f t="shared" si="8"/>
        <v>8.8945009058333344</v>
      </c>
      <c r="L9" s="13">
        <f t="shared" si="9"/>
        <v>0.66774201818181766</v>
      </c>
      <c r="M9" s="14">
        <f t="shared" si="10"/>
        <v>352.43011829787207</v>
      </c>
      <c r="N9" s="13">
        <f t="shared" si="4"/>
        <v>4.7499999999999982</v>
      </c>
      <c r="O9" s="13">
        <f t="shared" si="11"/>
        <v>7.4230138724999923</v>
      </c>
      <c r="Q9" s="9">
        <f t="shared" si="12"/>
        <v>0.75909132455681816</v>
      </c>
      <c r="R9" s="10">
        <f t="shared" si="13"/>
        <v>399.07657261702127</v>
      </c>
      <c r="S9" s="9">
        <f t="shared" si="14"/>
        <v>5.298095838250001</v>
      </c>
      <c r="T9" s="9">
        <f t="shared" si="5"/>
        <v>9.2500000000000018</v>
      </c>
    </row>
    <row r="10" spans="1:20" x14ac:dyDescent="0.15">
      <c r="B10" s="18">
        <f t="shared" si="0"/>
        <v>0.74999999999999989</v>
      </c>
      <c r="C10" s="19">
        <f t="shared" si="1"/>
        <v>394.43419411992261</v>
      </c>
      <c r="D10" s="18">
        <f t="shared" si="2"/>
        <v>5.2435478909090918</v>
      </c>
      <c r="E10" s="18">
        <f t="shared" si="15"/>
        <v>9.0681735088636355</v>
      </c>
      <c r="G10" s="20">
        <f t="shared" si="6"/>
        <v>0.76089970318181821</v>
      </c>
      <c r="H10" s="21">
        <f t="shared" si="3"/>
        <v>400</v>
      </c>
      <c r="I10" s="20">
        <f t="shared" si="7"/>
        <v>5.3089461100000017</v>
      </c>
      <c r="J10" s="20">
        <f t="shared" si="8"/>
        <v>9.2861675725000019</v>
      </c>
      <c r="L10" s="13">
        <f t="shared" si="9"/>
        <v>0.6927420181818178</v>
      </c>
      <c r="M10" s="14">
        <f t="shared" si="10"/>
        <v>365.19607574468068</v>
      </c>
      <c r="N10" s="13">
        <f t="shared" si="4"/>
        <v>4.8999999999999986</v>
      </c>
      <c r="O10" s="13">
        <f t="shared" si="11"/>
        <v>7.9230138724999941</v>
      </c>
      <c r="Q10" s="9">
        <f t="shared" si="12"/>
        <v>0.77659132455681823</v>
      </c>
      <c r="R10" s="10">
        <f t="shared" si="13"/>
        <v>408.01274282978721</v>
      </c>
      <c r="S10" s="9">
        <f t="shared" si="14"/>
        <v>5.4030958382500014</v>
      </c>
      <c r="T10" s="9">
        <f t="shared" si="5"/>
        <v>9.6000000000000014</v>
      </c>
    </row>
    <row r="11" spans="1:20" x14ac:dyDescent="0.15">
      <c r="B11" s="18">
        <f t="shared" si="0"/>
        <v>0.77499999999999991</v>
      </c>
      <c r="C11" s="19">
        <f t="shared" si="1"/>
        <v>407.20015156673111</v>
      </c>
      <c r="D11" s="18">
        <f t="shared" si="2"/>
        <v>5.3935478909090921</v>
      </c>
      <c r="E11" s="18">
        <f t="shared" si="15"/>
        <v>9.5681735088636355</v>
      </c>
      <c r="G11" s="20">
        <f t="shared" si="6"/>
        <v>0.7804830365151515</v>
      </c>
      <c r="H11" s="21">
        <f t="shared" si="3"/>
        <v>410</v>
      </c>
      <c r="I11" s="20">
        <f t="shared" si="7"/>
        <v>5.4264461100000014</v>
      </c>
      <c r="J11" s="20">
        <f t="shared" si="8"/>
        <v>9.6778342391666676</v>
      </c>
      <c r="L11" s="13">
        <f t="shared" si="9"/>
        <v>0.71774201818181782</v>
      </c>
      <c r="M11" s="14">
        <f t="shared" si="10"/>
        <v>377.96203319148918</v>
      </c>
      <c r="N11" s="13">
        <f t="shared" si="4"/>
        <v>5.0499999999999989</v>
      </c>
      <c r="O11" s="13">
        <f t="shared" si="11"/>
        <v>8.423013872499995</v>
      </c>
      <c r="Q11" s="9">
        <f t="shared" si="12"/>
        <v>0.79409132455681819</v>
      </c>
      <c r="R11" s="10">
        <f t="shared" si="13"/>
        <v>416.94891304255322</v>
      </c>
      <c r="S11" s="9">
        <f t="shared" si="14"/>
        <v>5.5080958382500009</v>
      </c>
      <c r="T11" s="9">
        <f t="shared" si="5"/>
        <v>9.9500000000000011</v>
      </c>
    </row>
    <row r="12" spans="1:20" x14ac:dyDescent="0.15">
      <c r="B12" s="18">
        <f t="shared" si="0"/>
        <v>0.79999999999999993</v>
      </c>
      <c r="C12" s="19">
        <f t="shared" si="1"/>
        <v>419.96610901353961</v>
      </c>
      <c r="D12" s="18">
        <f t="shared" si="2"/>
        <v>5.5435478909090925</v>
      </c>
      <c r="E12" s="18">
        <f t="shared" si="15"/>
        <v>10.068173508863635</v>
      </c>
      <c r="G12" s="20">
        <f t="shared" si="6"/>
        <v>0.80006636984848489</v>
      </c>
      <c r="H12" s="21">
        <f t="shared" si="3"/>
        <v>420</v>
      </c>
      <c r="I12" s="20">
        <f t="shared" si="7"/>
        <v>5.543946110000002</v>
      </c>
      <c r="J12" s="20">
        <f t="shared" si="8"/>
        <v>10.069500905833335</v>
      </c>
      <c r="L12" s="13">
        <f t="shared" si="9"/>
        <v>0.74274201818181784</v>
      </c>
      <c r="M12" s="14">
        <f t="shared" si="10"/>
        <v>390.72799063829768</v>
      </c>
      <c r="N12" s="13">
        <f t="shared" si="4"/>
        <v>5.1999999999999993</v>
      </c>
      <c r="O12" s="13">
        <f t="shared" si="11"/>
        <v>8.923013872499995</v>
      </c>
      <c r="Q12" s="9">
        <f t="shared" si="12"/>
        <v>0.81159132455681804</v>
      </c>
      <c r="R12" s="10">
        <f t="shared" si="13"/>
        <v>425.8850832553191</v>
      </c>
      <c r="S12" s="9">
        <f t="shared" si="14"/>
        <v>5.6130958382500014</v>
      </c>
      <c r="T12" s="9">
        <f t="shared" si="5"/>
        <v>10.3</v>
      </c>
    </row>
    <row r="13" spans="1:20" ht="14" thickBot="1" x14ac:dyDescent="0.2">
      <c r="B13" s="18">
        <f>B14-0.025</f>
        <v>0.82499999999999996</v>
      </c>
      <c r="C13" s="19">
        <f t="shared" si="1"/>
        <v>432.73206646034816</v>
      </c>
      <c r="D13" s="18">
        <f t="shared" si="2"/>
        <v>5.693547890909092</v>
      </c>
      <c r="E13" s="18">
        <f t="shared" si="15"/>
        <v>10.568173508863639</v>
      </c>
      <c r="G13" s="20">
        <f t="shared" si="6"/>
        <v>0.81964970318181818</v>
      </c>
      <c r="H13" s="21">
        <f>H14-10</f>
        <v>430</v>
      </c>
      <c r="I13" s="20">
        <f t="shared" si="7"/>
        <v>5.6614461100000018</v>
      </c>
      <c r="J13" s="20">
        <f t="shared" si="8"/>
        <v>10.461167572500001</v>
      </c>
      <c r="L13" s="13">
        <f t="shared" si="9"/>
        <v>0.76774201818181798</v>
      </c>
      <c r="M13" s="14">
        <f t="shared" si="10"/>
        <v>403.4939480851063</v>
      </c>
      <c r="N13" s="13">
        <f>N14-0.15</f>
        <v>5.35</v>
      </c>
      <c r="O13" s="13">
        <f t="shared" si="11"/>
        <v>9.4230138724999986</v>
      </c>
      <c r="Q13" s="9">
        <f t="shared" si="12"/>
        <v>0.82909132455681811</v>
      </c>
      <c r="R13" s="10">
        <f t="shared" si="13"/>
        <v>434.8212534680851</v>
      </c>
      <c r="S13" s="9">
        <f t="shared" si="14"/>
        <v>5.7180958382500009</v>
      </c>
      <c r="T13" s="9">
        <f>T14-0.35</f>
        <v>10.65</v>
      </c>
    </row>
    <row r="14" spans="1:20" ht="14" thickBot="1" x14ac:dyDescent="0.2">
      <c r="B14" s="24">
        <f>Conventional!$B$8</f>
        <v>0.85</v>
      </c>
      <c r="C14" s="19">
        <f>(((B14*$B$4)-$B$3+$C$3)/$C$4)*2000</f>
        <v>445.49802390715666</v>
      </c>
      <c r="D14" s="18">
        <f t="shared" si="2"/>
        <v>5.8435478909090923</v>
      </c>
      <c r="E14" s="18">
        <f t="shared" si="15"/>
        <v>11.068173508863639</v>
      </c>
      <c r="G14" s="20">
        <f t="shared" si="6"/>
        <v>0.83923303651515146</v>
      </c>
      <c r="H14" s="22">
        <f>Conventional!$D$8</f>
        <v>440</v>
      </c>
      <c r="I14" s="20">
        <f t="shared" si="7"/>
        <v>5.7789461100000015</v>
      </c>
      <c r="J14" s="20">
        <f t="shared" si="8"/>
        <v>10.852834239166668</v>
      </c>
      <c r="L14" s="13">
        <f t="shared" si="9"/>
        <v>0.792742018181818</v>
      </c>
      <c r="M14" s="14">
        <f t="shared" si="10"/>
        <v>416.2599055319148</v>
      </c>
      <c r="N14" s="15">
        <f>Conventional!$F$8</f>
        <v>5.5</v>
      </c>
      <c r="O14" s="13">
        <f t="shared" si="11"/>
        <v>9.9230138724999986</v>
      </c>
      <c r="Q14" s="9">
        <f t="shared" si="12"/>
        <v>0.84659132455681807</v>
      </c>
      <c r="R14" s="10">
        <f t="shared" si="13"/>
        <v>443.75742368085105</v>
      </c>
      <c r="S14" s="9">
        <f t="shared" si="14"/>
        <v>5.8230958382500013</v>
      </c>
      <c r="T14" s="11">
        <f>Conventional!$H$8</f>
        <v>11</v>
      </c>
    </row>
    <row r="15" spans="1:20" x14ac:dyDescent="0.15">
      <c r="B15" s="18">
        <f>B14+0.025</f>
        <v>0.875</v>
      </c>
      <c r="C15" s="19">
        <f t="shared" si="1"/>
        <v>458.26398135396511</v>
      </c>
      <c r="D15" s="18">
        <f t="shared" si="2"/>
        <v>5.9935478909090918</v>
      </c>
      <c r="E15" s="18">
        <f t="shared" si="15"/>
        <v>11.568173508863639</v>
      </c>
      <c r="G15" s="20">
        <f t="shared" si="6"/>
        <v>0.85881636984848497</v>
      </c>
      <c r="H15" s="21">
        <f>H14+10</f>
        <v>450</v>
      </c>
      <c r="I15" s="20">
        <f t="shared" si="7"/>
        <v>5.8964461100000021</v>
      </c>
      <c r="J15" s="20">
        <f t="shared" si="8"/>
        <v>11.244500905833336</v>
      </c>
      <c r="L15" s="13">
        <f t="shared" si="9"/>
        <v>0.81774201818181802</v>
      </c>
      <c r="M15" s="14">
        <f t="shared" si="10"/>
        <v>429.0258629787233</v>
      </c>
      <c r="N15" s="13">
        <f>N14+0.15</f>
        <v>5.65</v>
      </c>
      <c r="O15" s="13">
        <f t="shared" si="11"/>
        <v>10.423013872499999</v>
      </c>
      <c r="Q15" s="9">
        <f t="shared" si="12"/>
        <v>0.86409132455681814</v>
      </c>
      <c r="R15" s="10">
        <f t="shared" si="13"/>
        <v>452.69359389361694</v>
      </c>
      <c r="S15" s="9">
        <f t="shared" si="14"/>
        <v>5.9280958382500009</v>
      </c>
      <c r="T15" s="9">
        <f>T14+0.35</f>
        <v>11.35</v>
      </c>
    </row>
    <row r="16" spans="1:20" x14ac:dyDescent="0.15">
      <c r="B16" s="18">
        <f t="shared" ref="B16:B21" si="16">B15+0.025</f>
        <v>0.9</v>
      </c>
      <c r="C16" s="19">
        <f t="shared" si="1"/>
        <v>471.02993880077366</v>
      </c>
      <c r="D16" s="18">
        <f t="shared" si="2"/>
        <v>6.1435478909090921</v>
      </c>
      <c r="E16" s="18">
        <f t="shared" si="15"/>
        <v>12.068173508863639</v>
      </c>
      <c r="G16" s="20">
        <f t="shared" si="6"/>
        <v>0.87839970318181826</v>
      </c>
      <c r="H16" s="21">
        <f t="shared" ref="H16:H21" si="17">H15+10</f>
        <v>460</v>
      </c>
      <c r="I16" s="20">
        <f t="shared" si="7"/>
        <v>6.0139461100000018</v>
      </c>
      <c r="J16" s="20">
        <f t="shared" si="8"/>
        <v>11.636167572500002</v>
      </c>
      <c r="L16" s="13">
        <f t="shared" si="9"/>
        <v>0.84274201818181815</v>
      </c>
      <c r="M16" s="14">
        <f t="shared" si="10"/>
        <v>441.79182042553197</v>
      </c>
      <c r="N16" s="13">
        <f t="shared" ref="N16:N21" si="18">N15+0.15</f>
        <v>5.8000000000000007</v>
      </c>
      <c r="O16" s="13">
        <f t="shared" si="11"/>
        <v>10.923013872500002</v>
      </c>
      <c r="Q16" s="9">
        <f t="shared" si="12"/>
        <v>0.88159132455681821</v>
      </c>
      <c r="R16" s="10">
        <f t="shared" si="13"/>
        <v>461.62976410638294</v>
      </c>
      <c r="S16" s="9">
        <f t="shared" si="14"/>
        <v>6.0330958382500013</v>
      </c>
      <c r="T16" s="9">
        <f t="shared" ref="T16:T21" si="19">T15+0.35</f>
        <v>11.7</v>
      </c>
    </row>
    <row r="17" spans="1:20" x14ac:dyDescent="0.15">
      <c r="B17" s="18">
        <f t="shared" si="16"/>
        <v>0.92500000000000004</v>
      </c>
      <c r="C17" s="19">
        <f t="shared" si="1"/>
        <v>483.79589624758216</v>
      </c>
      <c r="D17" s="18">
        <f t="shared" si="2"/>
        <v>6.2935478909090925</v>
      </c>
      <c r="E17" s="18">
        <f t="shared" si="15"/>
        <v>12.568173508863639</v>
      </c>
      <c r="G17" s="20">
        <f t="shared" si="6"/>
        <v>0.89798303651515166</v>
      </c>
      <c r="H17" s="21">
        <f t="shared" si="17"/>
        <v>470</v>
      </c>
      <c r="I17" s="20">
        <f t="shared" si="7"/>
        <v>6.1314461100000015</v>
      </c>
      <c r="J17" s="20">
        <f t="shared" si="8"/>
        <v>12.027834239166669</v>
      </c>
      <c r="L17" s="13">
        <f t="shared" si="9"/>
        <v>0.86774201818181818</v>
      </c>
      <c r="M17" s="14">
        <f t="shared" si="10"/>
        <v>454.55777787234047</v>
      </c>
      <c r="N17" s="13">
        <f t="shared" si="18"/>
        <v>5.9500000000000011</v>
      </c>
      <c r="O17" s="13">
        <f t="shared" si="11"/>
        <v>11.423013872500002</v>
      </c>
      <c r="Q17" s="9">
        <f t="shared" si="12"/>
        <v>0.89909132455681795</v>
      </c>
      <c r="R17" s="10">
        <f t="shared" si="13"/>
        <v>470.56593431914888</v>
      </c>
      <c r="S17" s="9">
        <f t="shared" si="14"/>
        <v>6.1380958382499999</v>
      </c>
      <c r="T17" s="9">
        <f t="shared" si="19"/>
        <v>12.049999999999999</v>
      </c>
    </row>
    <row r="18" spans="1:20" x14ac:dyDescent="0.15">
      <c r="B18" s="18">
        <f t="shared" si="16"/>
        <v>0.95000000000000007</v>
      </c>
      <c r="C18" s="19">
        <f t="shared" si="1"/>
        <v>496.56185369439066</v>
      </c>
      <c r="D18" s="18">
        <f t="shared" si="2"/>
        <v>6.443547890909092</v>
      </c>
      <c r="E18" s="18">
        <f t="shared" si="15"/>
        <v>13.068173508863639</v>
      </c>
      <c r="G18" s="20">
        <f t="shared" si="6"/>
        <v>0.91756636984848494</v>
      </c>
      <c r="H18" s="21">
        <f t="shared" si="17"/>
        <v>480</v>
      </c>
      <c r="I18" s="20">
        <f t="shared" si="7"/>
        <v>6.2489461100000021</v>
      </c>
      <c r="J18" s="20">
        <f t="shared" si="8"/>
        <v>12.419500905833335</v>
      </c>
      <c r="L18" s="13">
        <f t="shared" si="9"/>
        <v>0.8927420181818182</v>
      </c>
      <c r="M18" s="14">
        <f t="shared" si="10"/>
        <v>467.32373531914902</v>
      </c>
      <c r="N18" s="13">
        <f t="shared" si="18"/>
        <v>6.1000000000000014</v>
      </c>
      <c r="O18" s="13">
        <f t="shared" si="11"/>
        <v>11.923013872500002</v>
      </c>
      <c r="Q18" s="9">
        <f t="shared" si="12"/>
        <v>0.91659132455681802</v>
      </c>
      <c r="R18" s="10">
        <f t="shared" si="13"/>
        <v>479.50210453191482</v>
      </c>
      <c r="S18" s="9">
        <f t="shared" si="14"/>
        <v>6.2430958382500004</v>
      </c>
      <c r="T18" s="9">
        <f t="shared" si="19"/>
        <v>12.399999999999999</v>
      </c>
    </row>
    <row r="19" spans="1:20" x14ac:dyDescent="0.15">
      <c r="B19" s="18">
        <f t="shared" si="16"/>
        <v>0.97500000000000009</v>
      </c>
      <c r="C19" s="19">
        <f t="shared" si="1"/>
        <v>509.32781114119916</v>
      </c>
      <c r="D19" s="18">
        <f t="shared" si="2"/>
        <v>6.5935478909090923</v>
      </c>
      <c r="E19" s="18">
        <f t="shared" si="15"/>
        <v>13.568173508863639</v>
      </c>
      <c r="G19" s="20">
        <f t="shared" si="6"/>
        <v>0.93714970318181823</v>
      </c>
      <c r="H19" s="21">
        <f t="shared" si="17"/>
        <v>490</v>
      </c>
      <c r="I19" s="20">
        <f t="shared" si="7"/>
        <v>6.3664461100000018</v>
      </c>
      <c r="J19" s="20">
        <f t="shared" si="8"/>
        <v>12.811167572500002</v>
      </c>
      <c r="L19" s="13">
        <f t="shared" si="9"/>
        <v>0.91774201818181833</v>
      </c>
      <c r="M19" s="14">
        <f t="shared" si="10"/>
        <v>480.08969276595747</v>
      </c>
      <c r="N19" s="13">
        <f t="shared" si="18"/>
        <v>6.2500000000000018</v>
      </c>
      <c r="O19" s="13">
        <f t="shared" si="11"/>
        <v>12.423013872500006</v>
      </c>
      <c r="Q19" s="9">
        <f t="shared" si="12"/>
        <v>0.93409132455681798</v>
      </c>
      <c r="R19" s="10">
        <f t="shared" si="13"/>
        <v>488.43827474468083</v>
      </c>
      <c r="S19" s="9">
        <f t="shared" si="14"/>
        <v>6.3480958382499999</v>
      </c>
      <c r="T19" s="9">
        <f t="shared" si="19"/>
        <v>12.749999999999998</v>
      </c>
    </row>
    <row r="20" spans="1:20" x14ac:dyDescent="0.15">
      <c r="B20" s="18">
        <f t="shared" si="16"/>
        <v>1</v>
      </c>
      <c r="C20" s="19">
        <f t="shared" si="1"/>
        <v>522.09376858800772</v>
      </c>
      <c r="D20" s="18">
        <f t="shared" si="2"/>
        <v>6.7435478909090918</v>
      </c>
      <c r="E20" s="18">
        <f t="shared" si="15"/>
        <v>14.068173508863639</v>
      </c>
      <c r="G20" s="20">
        <f t="shared" si="6"/>
        <v>0.95673303651515162</v>
      </c>
      <c r="H20" s="21">
        <f t="shared" si="17"/>
        <v>500</v>
      </c>
      <c r="I20" s="20">
        <f t="shared" si="7"/>
        <v>6.4839461100000015</v>
      </c>
      <c r="J20" s="20">
        <f t="shared" si="8"/>
        <v>13.202834239166668</v>
      </c>
      <c r="L20" s="13">
        <f t="shared" si="9"/>
        <v>0.94274201818181835</v>
      </c>
      <c r="M20" s="14">
        <f t="shared" si="10"/>
        <v>492.85565021276602</v>
      </c>
      <c r="N20" s="13">
        <f t="shared" si="18"/>
        <v>6.4000000000000021</v>
      </c>
      <c r="O20" s="13">
        <f t="shared" si="11"/>
        <v>12.923013872500006</v>
      </c>
      <c r="Q20" s="9">
        <f t="shared" si="12"/>
        <v>0.95159132455681794</v>
      </c>
      <c r="R20" s="10">
        <f t="shared" si="13"/>
        <v>497.37444495744677</v>
      </c>
      <c r="S20" s="9">
        <f t="shared" si="14"/>
        <v>6.4530958382500003</v>
      </c>
      <c r="T20" s="9">
        <f t="shared" si="19"/>
        <v>13.099999999999998</v>
      </c>
    </row>
    <row r="21" spans="1:20" x14ac:dyDescent="0.15">
      <c r="B21" s="18">
        <f t="shared" si="16"/>
        <v>1.0249999999999999</v>
      </c>
      <c r="C21" s="19">
        <f t="shared" si="1"/>
        <v>534.85972603481628</v>
      </c>
      <c r="D21" s="18">
        <f t="shared" si="2"/>
        <v>6.8935478909090921</v>
      </c>
      <c r="E21" s="18">
        <f t="shared" si="15"/>
        <v>14.568173508863639</v>
      </c>
      <c r="G21" s="20">
        <f t="shared" si="6"/>
        <v>0.97631636984848491</v>
      </c>
      <c r="H21" s="21">
        <f t="shared" si="17"/>
        <v>510</v>
      </c>
      <c r="I21" s="20">
        <f t="shared" si="7"/>
        <v>6.6014461100000013</v>
      </c>
      <c r="J21" s="20">
        <f t="shared" si="8"/>
        <v>13.594500905833335</v>
      </c>
      <c r="L21" s="13">
        <f t="shared" si="9"/>
        <v>0.96774201818181838</v>
      </c>
      <c r="M21" s="14">
        <f t="shared" si="10"/>
        <v>505.62160765957452</v>
      </c>
      <c r="N21" s="13">
        <f t="shared" si="18"/>
        <v>6.5500000000000025</v>
      </c>
      <c r="O21" s="13">
        <f t="shared" si="11"/>
        <v>13.423013872500006</v>
      </c>
      <c r="Q21" s="9">
        <f t="shared" si="12"/>
        <v>0.96909132455681801</v>
      </c>
      <c r="R21" s="10">
        <f t="shared" si="13"/>
        <v>506.31061517021271</v>
      </c>
      <c r="S21" s="9">
        <f t="shared" si="14"/>
        <v>6.5580958382499999</v>
      </c>
      <c r="T21" s="9">
        <f t="shared" si="19"/>
        <v>13.449999999999998</v>
      </c>
    </row>
    <row r="22" spans="1:20" x14ac:dyDescent="0.15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15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15">
      <c r="A24" s="1" t="s">
        <v>72</v>
      </c>
      <c r="B24" s="57">
        <f>Conventional!$L$30</f>
        <v>582.32764176136368</v>
      </c>
      <c r="C24" s="57">
        <f>Conventional!$N$30</f>
        <v>645.79624999999999</v>
      </c>
      <c r="D24" s="57">
        <f>Conventional!$P$30</f>
        <v>422.6574767875</v>
      </c>
      <c r="E24" s="57">
        <f>Conventional!$R$30</f>
        <v>292.41623527500008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15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15">
      <c r="B26" s="408" t="s">
        <v>74</v>
      </c>
      <c r="C26" s="408"/>
      <c r="D26" s="408"/>
      <c r="E26" s="408"/>
      <c r="F26" s="29"/>
      <c r="G26" s="409" t="s">
        <v>75</v>
      </c>
      <c r="H26" s="409"/>
      <c r="I26" s="409"/>
      <c r="J26" s="409"/>
      <c r="K26" s="29"/>
      <c r="L26" s="410" t="s">
        <v>76</v>
      </c>
      <c r="M26" s="410"/>
      <c r="N26" s="410"/>
      <c r="O26" s="410"/>
      <c r="P26" s="29"/>
      <c r="Q26" s="411" t="s">
        <v>77</v>
      </c>
      <c r="R26" s="411"/>
      <c r="S26" s="411"/>
      <c r="T26" s="411"/>
    </row>
    <row r="27" spans="1:20" s="8" customFormat="1" ht="42" x14ac:dyDescent="0.15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15">
      <c r="B28" s="18">
        <f t="shared" ref="B28:B33" si="20">B29-0.025</f>
        <v>0.67499999999999982</v>
      </c>
      <c r="C28" s="19">
        <f t="shared" ref="C28:C42" si="21">(((B28*$B$25)-$B$24+$C$24)/$C$25)*2000</f>
        <v>335.12859308155066</v>
      </c>
      <c r="D28" s="18">
        <f t="shared" ref="D28:D42" si="22">(((B28*$B$25)-$B$24+$D$24)/$D$25)</f>
        <v>4.0774098238368968</v>
      </c>
      <c r="E28" s="18">
        <f t="shared" ref="E28:E42" si="23">(((B28*$B$25)-$B$24+$E$24)/$E$25)</f>
        <v>7.2112864504545424</v>
      </c>
      <c r="G28" s="20">
        <f>(((H28*$C$25/2000)-$C$24+$B$24)/$B$25)</f>
        <v>0.75404185568181825</v>
      </c>
      <c r="H28" s="21">
        <f t="shared" ref="H28:H33" si="24">H29-10</f>
        <v>370</v>
      </c>
      <c r="I28" s="20">
        <f>(((H28*$C$25/2000)-$C$24+$D$24)/$D$25)</f>
        <v>4.7748379622058827</v>
      </c>
      <c r="J28" s="20">
        <f>(((H28*$C$25/2000)-$C$24+$E$24)/$E$25)</f>
        <v>9.1873328425000036</v>
      </c>
      <c r="L28" s="17">
        <f>(((N28*$D$25)-$D$24+$B$24)/$B$25)</f>
        <v>0.71722688663181788</v>
      </c>
      <c r="M28" s="14">
        <f>(((N28*$D$25)-$D$24+$C$24)/$C$25)*2000</f>
        <v>353.7581018897057</v>
      </c>
      <c r="N28" s="13">
        <f t="shared" ref="N28:N33" si="25">N29-0.15</f>
        <v>4.4499999999999975</v>
      </c>
      <c r="O28" s="13">
        <f>(((N28*$D$25)-$D$24+$E$24)/$E$25)</f>
        <v>8.2669586162499957</v>
      </c>
      <c r="Q28" s="9">
        <f>(((T28*$E$25)-$E$24+$B$24)/$B$25)</f>
        <v>0.72854854198181818</v>
      </c>
      <c r="R28" s="10">
        <f>(((T28*$E$25)-$E$24+$C$24)/$C$25)*2000</f>
        <v>358.75294983823522</v>
      </c>
      <c r="S28" s="9">
        <f>(((T28*$E$25)-$E$24+$D$24)/$D$25)</f>
        <v>4.5498969589705878</v>
      </c>
      <c r="T28" s="9">
        <f t="shared" ref="T28:T33" si="26">T29-0.35</f>
        <v>8.5500000000000025</v>
      </c>
    </row>
    <row r="29" spans="1:20" x14ac:dyDescent="0.15">
      <c r="B29" s="18">
        <f t="shared" si="20"/>
        <v>0.69999999999999984</v>
      </c>
      <c r="C29" s="19">
        <f t="shared" si="21"/>
        <v>346.15800484625657</v>
      </c>
      <c r="D29" s="18">
        <f t="shared" si="22"/>
        <v>4.2979980591310145</v>
      </c>
      <c r="E29" s="18">
        <f t="shared" si="23"/>
        <v>7.8362864504545424</v>
      </c>
      <c r="G29" s="20">
        <f t="shared" ref="G29:G42" si="27">(((H29*$C$25/2000)-$C$24+$B$24)/$B$25)</f>
        <v>0.77670852234848498</v>
      </c>
      <c r="H29" s="21">
        <f t="shared" si="24"/>
        <v>380</v>
      </c>
      <c r="I29" s="20">
        <f t="shared" ref="I29:I42" si="28">(((H29*$C$25/2000)-$C$24+$D$24)/$D$25)</f>
        <v>4.9748379622058829</v>
      </c>
      <c r="J29" s="20">
        <f t="shared" ref="J29:J42" si="29">(((H29*$C$25/2000)-$C$24+$E$24)/$E$25)</f>
        <v>9.75399950916667</v>
      </c>
      <c r="L29" s="17">
        <f t="shared" ref="L29:L42" si="30">(((N29*$D$25)-$D$24+$B$24)/$B$25)</f>
        <v>0.73422688663181801</v>
      </c>
      <c r="M29" s="14">
        <f t="shared" ref="M29:M42" si="31">(((N29*$D$25)-$D$24+$C$24)/$C$25)*2000</f>
        <v>361.25810188970576</v>
      </c>
      <c r="N29" s="13">
        <f t="shared" si="25"/>
        <v>4.5999999999999979</v>
      </c>
      <c r="O29" s="13">
        <f t="shared" ref="O29:O42" si="32">(((N29*$D$25)-$D$24+$E$24)/$E$25)</f>
        <v>8.6919586162499964</v>
      </c>
      <c r="Q29" s="9">
        <f t="shared" ref="Q29:Q42" si="33">(((T29*$E$25)-$E$24+$B$24)/$B$25)</f>
        <v>0.74254854198181819</v>
      </c>
      <c r="R29" s="10">
        <f t="shared" ref="R29:R42" si="34">(((T29*$E$25)-$E$24+$C$24)/$C$25)*2000</f>
        <v>364.92942042647053</v>
      </c>
      <c r="S29" s="9">
        <f t="shared" ref="S29:S42" si="35">(((T29*$E$25)-$E$24+$D$24)/$D$25)</f>
        <v>4.6734263707352941</v>
      </c>
      <c r="T29" s="9">
        <f t="shared" si="26"/>
        <v>8.9000000000000021</v>
      </c>
    </row>
    <row r="30" spans="1:20" x14ac:dyDescent="0.15">
      <c r="B30" s="18">
        <f t="shared" si="20"/>
        <v>0.72499999999999987</v>
      </c>
      <c r="C30" s="19">
        <f t="shared" si="21"/>
        <v>357.18741661096249</v>
      </c>
      <c r="D30" s="18">
        <f t="shared" si="22"/>
        <v>4.5185862944251323</v>
      </c>
      <c r="E30" s="18">
        <f t="shared" si="23"/>
        <v>8.4612864504545424</v>
      </c>
      <c r="G30" s="20">
        <f t="shared" si="27"/>
        <v>0.79937518901515159</v>
      </c>
      <c r="H30" s="21">
        <f t="shared" si="24"/>
        <v>390</v>
      </c>
      <c r="I30" s="20">
        <f t="shared" si="28"/>
        <v>5.1748379622058822</v>
      </c>
      <c r="J30" s="20">
        <f t="shared" si="29"/>
        <v>10.320666175833336</v>
      </c>
      <c r="L30" s="17">
        <f t="shared" si="30"/>
        <v>0.75122688663181802</v>
      </c>
      <c r="M30" s="14">
        <f t="shared" si="31"/>
        <v>368.75810188970576</v>
      </c>
      <c r="N30" s="13">
        <f t="shared" si="25"/>
        <v>4.7499999999999982</v>
      </c>
      <c r="O30" s="13">
        <f t="shared" si="32"/>
        <v>9.1169586162499971</v>
      </c>
      <c r="Q30" s="9">
        <f t="shared" si="33"/>
        <v>0.75654854198181809</v>
      </c>
      <c r="R30" s="10">
        <f t="shared" si="34"/>
        <v>371.10589101470583</v>
      </c>
      <c r="S30" s="9">
        <f t="shared" si="35"/>
        <v>4.7969557824999995</v>
      </c>
      <c r="T30" s="9">
        <f t="shared" si="26"/>
        <v>9.2500000000000018</v>
      </c>
    </row>
    <row r="31" spans="1:20" x14ac:dyDescent="0.15">
      <c r="B31" s="18">
        <f t="shared" si="20"/>
        <v>0.74999999999999989</v>
      </c>
      <c r="C31" s="19">
        <f t="shared" si="21"/>
        <v>368.21682837566834</v>
      </c>
      <c r="D31" s="18">
        <f t="shared" si="22"/>
        <v>4.7391745297192491</v>
      </c>
      <c r="E31" s="18">
        <f t="shared" si="23"/>
        <v>9.0862864504545424</v>
      </c>
      <c r="G31" s="20">
        <f t="shared" si="27"/>
        <v>0.82204185568181831</v>
      </c>
      <c r="H31" s="21">
        <f t="shared" si="24"/>
        <v>400</v>
      </c>
      <c r="I31" s="20">
        <f t="shared" si="28"/>
        <v>5.3748379622058824</v>
      </c>
      <c r="J31" s="20">
        <f t="shared" si="29"/>
        <v>10.887332842500003</v>
      </c>
      <c r="L31" s="17">
        <f t="shared" si="30"/>
        <v>0.76822688663181815</v>
      </c>
      <c r="M31" s="14">
        <f t="shared" si="31"/>
        <v>376.25810188970581</v>
      </c>
      <c r="N31" s="13">
        <f t="shared" si="25"/>
        <v>4.8999999999999986</v>
      </c>
      <c r="O31" s="13">
        <f t="shared" si="32"/>
        <v>9.5419586162499979</v>
      </c>
      <c r="Q31" s="9">
        <f t="shared" si="33"/>
        <v>0.7705485419818181</v>
      </c>
      <c r="R31" s="10">
        <f t="shared" si="34"/>
        <v>377.28236160294108</v>
      </c>
      <c r="S31" s="9">
        <f t="shared" si="35"/>
        <v>4.9204851942647059</v>
      </c>
      <c r="T31" s="9">
        <f t="shared" si="26"/>
        <v>9.6000000000000014</v>
      </c>
    </row>
    <row r="32" spans="1:20" x14ac:dyDescent="0.15">
      <c r="B32" s="18">
        <f t="shared" si="20"/>
        <v>0.77499999999999991</v>
      </c>
      <c r="C32" s="19">
        <f t="shared" si="21"/>
        <v>379.2462401403742</v>
      </c>
      <c r="D32" s="18">
        <f t="shared" si="22"/>
        <v>4.9597627650133669</v>
      </c>
      <c r="E32" s="18">
        <f t="shared" si="23"/>
        <v>9.7112864504545424</v>
      </c>
      <c r="G32" s="20">
        <f t="shared" si="27"/>
        <v>0.84470852234848492</v>
      </c>
      <c r="H32" s="21">
        <f t="shared" si="24"/>
        <v>410</v>
      </c>
      <c r="I32" s="20">
        <f t="shared" si="28"/>
        <v>5.5748379622058826</v>
      </c>
      <c r="J32" s="20">
        <f t="shared" si="29"/>
        <v>11.453999509166669</v>
      </c>
      <c r="L32" s="17">
        <f t="shared" si="30"/>
        <v>0.78522688663181817</v>
      </c>
      <c r="M32" s="14">
        <f t="shared" si="31"/>
        <v>383.75810188970581</v>
      </c>
      <c r="N32" s="13">
        <f t="shared" si="25"/>
        <v>5.0499999999999989</v>
      </c>
      <c r="O32" s="13">
        <f t="shared" si="32"/>
        <v>9.9669586162499986</v>
      </c>
      <c r="Q32" s="9">
        <f t="shared" si="33"/>
        <v>0.78454854198181811</v>
      </c>
      <c r="R32" s="10">
        <f t="shared" si="34"/>
        <v>383.45883219117644</v>
      </c>
      <c r="S32" s="9">
        <f t="shared" si="35"/>
        <v>5.0440146060294113</v>
      </c>
      <c r="T32" s="9">
        <f t="shared" si="26"/>
        <v>9.9500000000000011</v>
      </c>
    </row>
    <row r="33" spans="1:20" x14ac:dyDescent="0.15">
      <c r="B33" s="18">
        <f t="shared" si="20"/>
        <v>0.79999999999999993</v>
      </c>
      <c r="C33" s="19">
        <f t="shared" si="21"/>
        <v>390.27565190508017</v>
      </c>
      <c r="D33" s="18">
        <f t="shared" si="22"/>
        <v>5.1803510003074864</v>
      </c>
      <c r="E33" s="18">
        <f t="shared" si="23"/>
        <v>10.336286450454546</v>
      </c>
      <c r="G33" s="20">
        <f t="shared" si="27"/>
        <v>0.86737518901515154</v>
      </c>
      <c r="H33" s="21">
        <f t="shared" si="24"/>
        <v>420</v>
      </c>
      <c r="I33" s="20">
        <f t="shared" si="28"/>
        <v>5.7748379622058827</v>
      </c>
      <c r="J33" s="20">
        <f t="shared" si="29"/>
        <v>12.020666175833336</v>
      </c>
      <c r="L33" s="17">
        <f t="shared" si="30"/>
        <v>0.80222688663181818</v>
      </c>
      <c r="M33" s="14">
        <f t="shared" si="31"/>
        <v>391.25810188970581</v>
      </c>
      <c r="N33" s="13">
        <f t="shared" si="25"/>
        <v>5.1999999999999993</v>
      </c>
      <c r="O33" s="13">
        <f t="shared" si="32"/>
        <v>10.391958616250001</v>
      </c>
      <c r="Q33" s="9">
        <f t="shared" si="33"/>
        <v>0.79854854198181813</v>
      </c>
      <c r="R33" s="10">
        <f t="shared" si="34"/>
        <v>389.63530277941175</v>
      </c>
      <c r="S33" s="9">
        <f t="shared" si="35"/>
        <v>5.1675440177941168</v>
      </c>
      <c r="T33" s="9">
        <f t="shared" si="26"/>
        <v>10.3</v>
      </c>
    </row>
    <row r="34" spans="1:20" ht="14" thickBot="1" x14ac:dyDescent="0.2">
      <c r="B34" s="18">
        <f>B35-0.025</f>
        <v>0.82499999999999996</v>
      </c>
      <c r="C34" s="19">
        <f t="shared" si="21"/>
        <v>401.30506366978608</v>
      </c>
      <c r="D34" s="18">
        <f t="shared" si="22"/>
        <v>5.4009392356016042</v>
      </c>
      <c r="E34" s="18">
        <f t="shared" si="23"/>
        <v>10.961286450454546</v>
      </c>
      <c r="G34" s="20">
        <f t="shared" si="27"/>
        <v>0.89004185568181826</v>
      </c>
      <c r="H34" s="21">
        <f>H35-10</f>
        <v>430</v>
      </c>
      <c r="I34" s="20">
        <f t="shared" si="28"/>
        <v>5.9748379622058829</v>
      </c>
      <c r="J34" s="20">
        <f t="shared" si="29"/>
        <v>12.587332842500002</v>
      </c>
      <c r="L34" s="17">
        <f t="shared" si="30"/>
        <v>0.8192268866318182</v>
      </c>
      <c r="M34" s="14">
        <f t="shared" si="31"/>
        <v>398.75810188970581</v>
      </c>
      <c r="N34" s="13">
        <f>N35-0.15</f>
        <v>5.35</v>
      </c>
      <c r="O34" s="13">
        <f t="shared" si="32"/>
        <v>10.81695861625</v>
      </c>
      <c r="Q34" s="9">
        <f t="shared" si="33"/>
        <v>0.81254854198181814</v>
      </c>
      <c r="R34" s="10">
        <f t="shared" si="34"/>
        <v>395.81177336764699</v>
      </c>
      <c r="S34" s="9">
        <f t="shared" si="35"/>
        <v>5.2910734295588231</v>
      </c>
      <c r="T34" s="9">
        <f>T35-0.35</f>
        <v>10.65</v>
      </c>
    </row>
    <row r="35" spans="1:20" ht="14" thickBot="1" x14ac:dyDescent="0.2">
      <c r="B35" s="24">
        <f>Conventional!$B$8</f>
        <v>0.85</v>
      </c>
      <c r="C35" s="19">
        <f t="shared" si="21"/>
        <v>412.33447543449194</v>
      </c>
      <c r="D35" s="18">
        <f t="shared" si="22"/>
        <v>5.621527470895721</v>
      </c>
      <c r="E35" s="18">
        <f t="shared" si="23"/>
        <v>11.586286450454546</v>
      </c>
      <c r="G35" s="20">
        <f t="shared" si="27"/>
        <v>0.91270852234848487</v>
      </c>
      <c r="H35" s="22">
        <f>Conventional!$D$8</f>
        <v>440</v>
      </c>
      <c r="I35" s="20">
        <f t="shared" si="28"/>
        <v>6.1748379622058831</v>
      </c>
      <c r="J35" s="20">
        <f t="shared" si="29"/>
        <v>13.15399950916667</v>
      </c>
      <c r="L35" s="17">
        <f t="shared" si="30"/>
        <v>0.83622688663181821</v>
      </c>
      <c r="M35" s="14">
        <f t="shared" si="31"/>
        <v>406.25810188970587</v>
      </c>
      <c r="N35" s="15">
        <f>Conventional!$F$8</f>
        <v>5.5</v>
      </c>
      <c r="O35" s="13">
        <f t="shared" si="32"/>
        <v>11.241958616250002</v>
      </c>
      <c r="Q35" s="9">
        <f t="shared" si="33"/>
        <v>0.82654854198181815</v>
      </c>
      <c r="R35" s="10">
        <f t="shared" si="34"/>
        <v>401.9882439558823</v>
      </c>
      <c r="S35" s="9">
        <f t="shared" si="35"/>
        <v>5.4146028413235285</v>
      </c>
      <c r="T35" s="11">
        <f>Conventional!$H$8</f>
        <v>11</v>
      </c>
    </row>
    <row r="36" spans="1:20" x14ac:dyDescent="0.15">
      <c r="B36" s="18">
        <f>B35+0.025</f>
        <v>0.875</v>
      </c>
      <c r="C36" s="19">
        <f t="shared" si="21"/>
        <v>423.36388719919785</v>
      </c>
      <c r="D36" s="18">
        <f t="shared" si="22"/>
        <v>5.8421157061898388</v>
      </c>
      <c r="E36" s="18">
        <f t="shared" si="23"/>
        <v>12.211286450454546</v>
      </c>
      <c r="G36" s="20">
        <f t="shared" si="27"/>
        <v>0.9353751890151516</v>
      </c>
      <c r="H36" s="21">
        <f>H35+10</f>
        <v>450</v>
      </c>
      <c r="I36" s="20">
        <f t="shared" si="28"/>
        <v>6.3748379622058833</v>
      </c>
      <c r="J36" s="20">
        <f t="shared" si="29"/>
        <v>13.720666175833337</v>
      </c>
      <c r="L36" s="17">
        <f t="shared" si="30"/>
        <v>0.85322688663181834</v>
      </c>
      <c r="M36" s="14">
        <f t="shared" si="31"/>
        <v>413.75810188970593</v>
      </c>
      <c r="N36" s="13">
        <f>N35+0.15</f>
        <v>5.65</v>
      </c>
      <c r="O36" s="13">
        <f t="shared" si="32"/>
        <v>11.666958616250005</v>
      </c>
      <c r="Q36" s="9">
        <f t="shared" si="33"/>
        <v>0.84054854198181816</v>
      </c>
      <c r="R36" s="10">
        <f t="shared" si="34"/>
        <v>408.16471454411754</v>
      </c>
      <c r="S36" s="9">
        <f t="shared" si="35"/>
        <v>5.538132253088234</v>
      </c>
      <c r="T36" s="9">
        <f>T35+0.35</f>
        <v>11.35</v>
      </c>
    </row>
    <row r="37" spans="1:20" x14ac:dyDescent="0.15">
      <c r="B37" s="18">
        <f t="shared" ref="B37:B42" si="36">B36+0.025</f>
        <v>0.9</v>
      </c>
      <c r="C37" s="19">
        <f t="shared" si="21"/>
        <v>434.3932989639037</v>
      </c>
      <c r="D37" s="18">
        <f t="shared" si="22"/>
        <v>6.0627039414839574</v>
      </c>
      <c r="E37" s="18">
        <f t="shared" si="23"/>
        <v>12.836286450454546</v>
      </c>
      <c r="G37" s="20">
        <f t="shared" si="27"/>
        <v>0.95804185568181821</v>
      </c>
      <c r="H37" s="21">
        <f t="shared" ref="H37:H42" si="37">H36+10</f>
        <v>460</v>
      </c>
      <c r="I37" s="20">
        <f t="shared" si="28"/>
        <v>6.5748379622058835</v>
      </c>
      <c r="J37" s="20">
        <f t="shared" si="29"/>
        <v>14.287332842500003</v>
      </c>
      <c r="L37" s="17">
        <f t="shared" si="30"/>
        <v>0.87022688663181835</v>
      </c>
      <c r="M37" s="14">
        <f t="shared" si="31"/>
        <v>421.25810188970593</v>
      </c>
      <c r="N37" s="13">
        <f t="shared" ref="N37:N42" si="38">N36+0.15</f>
        <v>5.8000000000000007</v>
      </c>
      <c r="O37" s="13">
        <f t="shared" si="32"/>
        <v>12.091958616250004</v>
      </c>
      <c r="Q37" s="9">
        <f t="shared" si="33"/>
        <v>0.85454854198181818</v>
      </c>
      <c r="R37" s="10">
        <f t="shared" si="34"/>
        <v>414.3411851323529</v>
      </c>
      <c r="S37" s="9">
        <f t="shared" si="35"/>
        <v>5.6616616648529403</v>
      </c>
      <c r="T37" s="9">
        <f t="shared" ref="T37:T42" si="39">T36+0.35</f>
        <v>11.7</v>
      </c>
    </row>
    <row r="38" spans="1:20" x14ac:dyDescent="0.15">
      <c r="B38" s="18">
        <f t="shared" si="36"/>
        <v>0.92500000000000004</v>
      </c>
      <c r="C38" s="19">
        <f t="shared" si="21"/>
        <v>445.42271072860962</v>
      </c>
      <c r="D38" s="18">
        <f t="shared" si="22"/>
        <v>6.2832921767780752</v>
      </c>
      <c r="E38" s="18">
        <f t="shared" si="23"/>
        <v>13.461286450454546</v>
      </c>
      <c r="G38" s="20">
        <f t="shared" si="27"/>
        <v>0.98070852234848493</v>
      </c>
      <c r="H38" s="21">
        <f t="shared" si="37"/>
        <v>470</v>
      </c>
      <c r="I38" s="20">
        <f t="shared" si="28"/>
        <v>6.7748379622058836</v>
      </c>
      <c r="J38" s="20">
        <f t="shared" si="29"/>
        <v>14.85399950916667</v>
      </c>
      <c r="L38" s="17">
        <f t="shared" si="30"/>
        <v>0.88722688663181848</v>
      </c>
      <c r="M38" s="14">
        <f t="shared" si="31"/>
        <v>428.75810188970598</v>
      </c>
      <c r="N38" s="13">
        <f t="shared" si="38"/>
        <v>5.9500000000000011</v>
      </c>
      <c r="O38" s="13">
        <f t="shared" si="32"/>
        <v>12.516958616250006</v>
      </c>
      <c r="Q38" s="9">
        <f t="shared" si="33"/>
        <v>0.86854854198181819</v>
      </c>
      <c r="R38" s="10">
        <f t="shared" si="34"/>
        <v>420.51765572058821</v>
      </c>
      <c r="S38" s="9">
        <f t="shared" si="35"/>
        <v>5.7851910766176458</v>
      </c>
      <c r="T38" s="9">
        <f t="shared" si="39"/>
        <v>12.049999999999999</v>
      </c>
    </row>
    <row r="39" spans="1:20" x14ac:dyDescent="0.15">
      <c r="B39" s="18">
        <f t="shared" si="36"/>
        <v>0.95000000000000007</v>
      </c>
      <c r="C39" s="19">
        <f t="shared" si="21"/>
        <v>456.45212249331547</v>
      </c>
      <c r="D39" s="18">
        <f t="shared" si="22"/>
        <v>6.5038804120721929</v>
      </c>
      <c r="E39" s="18">
        <f t="shared" si="23"/>
        <v>14.086286450454546</v>
      </c>
      <c r="G39" s="20">
        <f t="shared" si="27"/>
        <v>1.0033751890151517</v>
      </c>
      <c r="H39" s="21">
        <f t="shared" si="37"/>
        <v>480</v>
      </c>
      <c r="I39" s="20">
        <f t="shared" si="28"/>
        <v>6.9748379622058829</v>
      </c>
      <c r="J39" s="20">
        <f t="shared" si="29"/>
        <v>15.420666175833336</v>
      </c>
      <c r="L39" s="17">
        <f t="shared" si="30"/>
        <v>0.90422688663181849</v>
      </c>
      <c r="M39" s="14">
        <f t="shared" si="31"/>
        <v>436.25810188970598</v>
      </c>
      <c r="N39" s="13">
        <f t="shared" si="38"/>
        <v>6.1000000000000014</v>
      </c>
      <c r="O39" s="13">
        <f t="shared" si="32"/>
        <v>12.941958616250007</v>
      </c>
      <c r="Q39" s="9">
        <f t="shared" si="33"/>
        <v>0.88254854198181809</v>
      </c>
      <c r="R39" s="10">
        <f t="shared" si="34"/>
        <v>426.69412630882346</v>
      </c>
      <c r="S39" s="9">
        <f t="shared" si="35"/>
        <v>5.9087204883823512</v>
      </c>
      <c r="T39" s="9">
        <f t="shared" si="39"/>
        <v>12.399999999999999</v>
      </c>
    </row>
    <row r="40" spans="1:20" x14ac:dyDescent="0.15">
      <c r="B40" s="18">
        <f t="shared" si="36"/>
        <v>0.97500000000000009</v>
      </c>
      <c r="C40" s="19">
        <f t="shared" si="21"/>
        <v>467.48153425802144</v>
      </c>
      <c r="D40" s="18">
        <f t="shared" si="22"/>
        <v>6.7244686473663107</v>
      </c>
      <c r="E40" s="18">
        <f t="shared" si="23"/>
        <v>14.71128645045455</v>
      </c>
      <c r="G40" s="20">
        <f t="shared" si="27"/>
        <v>1.0260418556818183</v>
      </c>
      <c r="H40" s="21">
        <f t="shared" si="37"/>
        <v>490</v>
      </c>
      <c r="I40" s="20">
        <f t="shared" si="28"/>
        <v>7.1748379622058831</v>
      </c>
      <c r="J40" s="20">
        <f t="shared" si="29"/>
        <v>15.987332842500003</v>
      </c>
      <c r="L40" s="17">
        <f t="shared" si="30"/>
        <v>0.92122688663181851</v>
      </c>
      <c r="M40" s="14">
        <f t="shared" si="31"/>
        <v>443.75810188970598</v>
      </c>
      <c r="N40" s="13">
        <f t="shared" si="38"/>
        <v>6.2500000000000018</v>
      </c>
      <c r="O40" s="13">
        <f t="shared" si="32"/>
        <v>13.366958616250006</v>
      </c>
      <c r="Q40" s="9">
        <f t="shared" si="33"/>
        <v>0.8965485419818181</v>
      </c>
      <c r="R40" s="10">
        <f t="shared" si="34"/>
        <v>432.87059689705876</v>
      </c>
      <c r="S40" s="9">
        <f t="shared" si="35"/>
        <v>6.0322499001470575</v>
      </c>
      <c r="T40" s="9">
        <f t="shared" si="39"/>
        <v>12.749999999999998</v>
      </c>
    </row>
    <row r="41" spans="1:20" x14ac:dyDescent="0.15">
      <c r="A41" s="2"/>
      <c r="B41" s="37">
        <f t="shared" si="36"/>
        <v>1</v>
      </c>
      <c r="C41" s="38">
        <f t="shared" si="21"/>
        <v>478.51094602272724</v>
      </c>
      <c r="D41" s="37">
        <f t="shared" si="22"/>
        <v>6.9450568826604284</v>
      </c>
      <c r="E41" s="37">
        <f t="shared" si="23"/>
        <v>15.336286450454546</v>
      </c>
      <c r="G41" s="39">
        <f t="shared" si="27"/>
        <v>1.0487085223484849</v>
      </c>
      <c r="H41" s="40">
        <f t="shared" si="37"/>
        <v>500</v>
      </c>
      <c r="I41" s="39">
        <f t="shared" si="28"/>
        <v>7.3748379622058833</v>
      </c>
      <c r="J41" s="39">
        <f t="shared" si="29"/>
        <v>16.553999509166669</v>
      </c>
      <c r="L41" s="41">
        <f t="shared" si="30"/>
        <v>0.93822688663181841</v>
      </c>
      <c r="M41" s="42">
        <f t="shared" si="31"/>
        <v>451.25810188970598</v>
      </c>
      <c r="N41" s="43">
        <f t="shared" si="38"/>
        <v>6.4000000000000021</v>
      </c>
      <c r="O41" s="43">
        <f t="shared" si="32"/>
        <v>13.79195861625001</v>
      </c>
      <c r="Q41" s="44">
        <f t="shared" si="33"/>
        <v>0.91054854198181812</v>
      </c>
      <c r="R41" s="45">
        <f t="shared" si="34"/>
        <v>439.04706748529406</v>
      </c>
      <c r="S41" s="44">
        <f t="shared" si="35"/>
        <v>6.155779311911763</v>
      </c>
      <c r="T41" s="44">
        <f t="shared" si="39"/>
        <v>13.099999999999998</v>
      </c>
    </row>
    <row r="42" spans="1:20" x14ac:dyDescent="0.15">
      <c r="A42" s="46"/>
      <c r="B42" s="47">
        <f t="shared" si="36"/>
        <v>1.0249999999999999</v>
      </c>
      <c r="C42" s="48">
        <f t="shared" si="21"/>
        <v>489.54035778743304</v>
      </c>
      <c r="D42" s="47">
        <f t="shared" si="22"/>
        <v>7.1656451179545426</v>
      </c>
      <c r="E42" s="47">
        <f t="shared" si="23"/>
        <v>15.961286450454542</v>
      </c>
      <c r="F42" s="46"/>
      <c r="G42" s="49">
        <f t="shared" si="27"/>
        <v>1.0713751890151515</v>
      </c>
      <c r="H42" s="50">
        <f t="shared" si="37"/>
        <v>510</v>
      </c>
      <c r="I42" s="49">
        <f t="shared" si="28"/>
        <v>7.5748379622058835</v>
      </c>
      <c r="J42" s="49">
        <f t="shared" si="29"/>
        <v>17.120666175833335</v>
      </c>
      <c r="K42" s="46"/>
      <c r="L42" s="51">
        <f t="shared" si="30"/>
        <v>0.95522688663181843</v>
      </c>
      <c r="M42" s="52">
        <f t="shared" si="31"/>
        <v>458.75810188970593</v>
      </c>
      <c r="N42" s="53">
        <f t="shared" si="38"/>
        <v>6.5500000000000025</v>
      </c>
      <c r="O42" s="53">
        <f t="shared" si="32"/>
        <v>14.216958616250009</v>
      </c>
      <c r="P42" s="46"/>
      <c r="Q42" s="54">
        <f t="shared" si="33"/>
        <v>0.92454854198181813</v>
      </c>
      <c r="R42" s="55">
        <f t="shared" si="34"/>
        <v>445.22353807352937</v>
      </c>
      <c r="S42" s="54">
        <f t="shared" si="35"/>
        <v>6.2793087236764693</v>
      </c>
      <c r="T42" s="54">
        <f t="shared" si="39"/>
        <v>13.449999999999998</v>
      </c>
    </row>
    <row r="43" spans="1:20" x14ac:dyDescent="0.15">
      <c r="A43" s="407" t="s">
        <v>84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</row>
    <row r="44" spans="1:20" x14ac:dyDescent="0.15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15">
      <c r="A45" s="1" t="s">
        <v>70</v>
      </c>
      <c r="B45" s="4">
        <f>'Strip-Till'!B$31</f>
        <v>723.50731131818179</v>
      </c>
      <c r="C45" s="4">
        <f>'Strip-Till'!D$31</f>
        <v>715.91908000000001</v>
      </c>
      <c r="D45" s="4">
        <f>'Strip-Till'!F$31</f>
        <v>867.05370200000016</v>
      </c>
      <c r="E45" s="4">
        <f>'Strip-Till'!H$31</f>
        <v>334.26819060000008</v>
      </c>
    </row>
    <row r="46" spans="1:20" x14ac:dyDescent="0.15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15">
      <c r="A47" s="6"/>
      <c r="B47" s="408" t="s">
        <v>74</v>
      </c>
      <c r="C47" s="408"/>
      <c r="D47" s="408"/>
      <c r="E47" s="408"/>
      <c r="F47" s="29"/>
      <c r="G47" s="409" t="s">
        <v>75</v>
      </c>
      <c r="H47" s="409"/>
      <c r="I47" s="409"/>
      <c r="J47" s="409"/>
      <c r="K47" s="29"/>
      <c r="L47" s="410" t="s">
        <v>76</v>
      </c>
      <c r="M47" s="410"/>
      <c r="N47" s="410"/>
      <c r="O47" s="410"/>
      <c r="P47" s="29"/>
      <c r="Q47" s="411" t="s">
        <v>77</v>
      </c>
      <c r="R47" s="411"/>
      <c r="S47" s="411"/>
      <c r="T47" s="411"/>
    </row>
    <row r="48" spans="1:20" ht="28" x14ac:dyDescent="0.15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15">
      <c r="B49" s="18">
        <f t="shared" ref="B49:B54" si="40">B50-0.025</f>
        <v>0.67499999999999982</v>
      </c>
      <c r="C49" s="19">
        <f>(((B49*$B$46)-$B$45+$C$45)/$C$46)*2000</f>
        <v>341.45181646034808</v>
      </c>
      <c r="D49" s="18">
        <f>(((B49*$B$46)-$B$45+$D$45)/$D$46)</f>
        <v>4.7677319534090907</v>
      </c>
      <c r="E49" s="18">
        <f>(((B49*$B$46)-$B$45+$E$45)/$E$46)</f>
        <v>7.0126813213636341</v>
      </c>
      <c r="G49" s="20">
        <f>(((H49*$C$46/2000)-$C$45+$B$45)/$B$46)</f>
        <v>0.7309068594318181</v>
      </c>
      <c r="H49" s="21">
        <f t="shared" ref="H49:H54" si="41">H50-10</f>
        <v>370</v>
      </c>
      <c r="I49" s="20">
        <f>(((H49*$C$46/2000)-$C$45+$D$45)/$D$46)</f>
        <v>5.1031731100000011</v>
      </c>
      <c r="J49" s="20">
        <f>(((H49*$C$46/2000)-$C$45+$E$45)/$E$46)</f>
        <v>8.130818510000001</v>
      </c>
      <c r="L49" s="17">
        <f>(((N49*$D$46)-$D$45+$B$45)/$B$46)</f>
        <v>0.62204467443181766</v>
      </c>
      <c r="M49" s="14">
        <f>(((N49*$D$46)-$D$45+$C$45)/$C$46)*2000</f>
        <v>314.41079914893595</v>
      </c>
      <c r="N49" s="13">
        <f t="shared" ref="N49:N54" si="42">N50-0.15</f>
        <v>4.4499999999999975</v>
      </c>
      <c r="O49" s="13">
        <f>(((N49*$D$46)-$D$45+$E$45)/$E$46)</f>
        <v>5.9535748099999912</v>
      </c>
      <c r="Q49" s="36">
        <f>(((T49*$E$46)-$E$45+$B$45)/$B$46)</f>
        <v>0.75186593393181811</v>
      </c>
      <c r="R49" s="10">
        <f>(((T49*$E$46)-$E$45+$C$45)/$C$46)*2000</f>
        <v>380.7025061276596</v>
      </c>
      <c r="S49" s="9">
        <f>(((T49*$E$46)-$E$45+$D$45)/$D$46)</f>
        <v>5.2289275570000004</v>
      </c>
      <c r="T49" s="9">
        <f t="shared" ref="T49:T54" si="43">T50-0.35</f>
        <v>8.5500000000000025</v>
      </c>
    </row>
    <row r="50" spans="2:20" x14ac:dyDescent="0.15">
      <c r="B50" s="18">
        <f t="shared" si="40"/>
        <v>0.69999999999999984</v>
      </c>
      <c r="C50" s="19">
        <f t="shared" ref="C50:C63" si="44">(((B50*$B$46)-$B$45+$C$45)/$C$46)*2000</f>
        <v>354.21777390715658</v>
      </c>
      <c r="D50" s="18">
        <f t="shared" ref="D50:D63" si="45">(((B50*$B$46)-$B$45+$D$45)/$D$46)</f>
        <v>4.9177319534090911</v>
      </c>
      <c r="E50" s="18">
        <f t="shared" ref="E50:E63" si="46">(((B50*$B$46)-$B$45+$E$45)/$E$46)</f>
        <v>7.5126813213636341</v>
      </c>
      <c r="G50" s="20">
        <f t="shared" ref="G50:G63" si="47">(((H50*$C$46/2000)-$C$45+$B$45)/$B$46)</f>
        <v>0.7504901927651515</v>
      </c>
      <c r="H50" s="21">
        <f t="shared" si="41"/>
        <v>380</v>
      </c>
      <c r="I50" s="20">
        <f t="shared" ref="I50:I63" si="48">(((H50*$C$46/2000)-$C$45+$D$45)/$D$46)</f>
        <v>5.2206731099999999</v>
      </c>
      <c r="J50" s="20">
        <f t="shared" ref="J50:J63" si="49">(((H50*$C$46/2000)-$C$45+$E$45)/$E$46)</f>
        <v>8.5224851766666685</v>
      </c>
      <c r="L50" s="17">
        <f t="shared" ref="L50:L63" si="50">(((N50*$D$46)-$D$45+$B$45)/$B$46)</f>
        <v>0.64704467443181768</v>
      </c>
      <c r="M50" s="14">
        <f t="shared" ref="M50:M63" si="51">(((N50*$D$46)-$D$45+$C$45)/$C$46)*2000</f>
        <v>327.17675659574439</v>
      </c>
      <c r="N50" s="13">
        <f t="shared" si="42"/>
        <v>4.5999999999999979</v>
      </c>
      <c r="O50" s="13">
        <f t="shared" ref="O50:O63" si="52">(((N50*$D$46)-$D$45+$E$45)/$E$46)</f>
        <v>6.4535748099999912</v>
      </c>
      <c r="Q50" s="36">
        <f t="shared" ref="Q50:Q63" si="53">(((T50*$E$46)-$E$45+$B$45)/$B$46)</f>
        <v>0.76936593393181818</v>
      </c>
      <c r="R50" s="10">
        <f t="shared" ref="R50:R63" si="54">(((T50*$E$46)-$E$45+$C$45)/$C$46)*2000</f>
        <v>389.6386763404256</v>
      </c>
      <c r="S50" s="9">
        <f t="shared" ref="S50:S63" si="55">(((T50*$E$46)-$E$45+$D$45)/$D$46)</f>
        <v>5.3339275570000009</v>
      </c>
      <c r="T50" s="9">
        <f t="shared" si="43"/>
        <v>8.9000000000000021</v>
      </c>
    </row>
    <row r="51" spans="2:20" x14ac:dyDescent="0.15">
      <c r="B51" s="18">
        <f t="shared" si="40"/>
        <v>0.72499999999999987</v>
      </c>
      <c r="C51" s="19">
        <f t="shared" si="44"/>
        <v>366.9837313539652</v>
      </c>
      <c r="D51" s="18">
        <f t="shared" si="45"/>
        <v>5.0677319534090914</v>
      </c>
      <c r="E51" s="18">
        <f t="shared" si="46"/>
        <v>8.0126813213636368</v>
      </c>
      <c r="G51" s="20">
        <f t="shared" si="47"/>
        <v>0.77007352609848478</v>
      </c>
      <c r="H51" s="21">
        <f t="shared" si="41"/>
        <v>390</v>
      </c>
      <c r="I51" s="20">
        <f t="shared" si="48"/>
        <v>5.3381731100000005</v>
      </c>
      <c r="J51" s="20">
        <f t="shared" si="49"/>
        <v>8.914151843333336</v>
      </c>
      <c r="L51" s="17">
        <f t="shared" si="50"/>
        <v>0.6720446744318177</v>
      </c>
      <c r="M51" s="14">
        <f t="shared" si="51"/>
        <v>339.94271404255301</v>
      </c>
      <c r="N51" s="13">
        <f t="shared" si="42"/>
        <v>4.7499999999999982</v>
      </c>
      <c r="O51" s="13">
        <f t="shared" si="52"/>
        <v>6.953574809999993</v>
      </c>
      <c r="Q51" s="36">
        <f t="shared" si="53"/>
        <v>0.78686593393181814</v>
      </c>
      <c r="R51" s="10">
        <f t="shared" si="54"/>
        <v>398.57484655319155</v>
      </c>
      <c r="S51" s="9">
        <f t="shared" si="55"/>
        <v>5.4389275570000004</v>
      </c>
      <c r="T51" s="9">
        <f t="shared" si="43"/>
        <v>9.2500000000000018</v>
      </c>
    </row>
    <row r="52" spans="2:20" x14ac:dyDescent="0.15">
      <c r="B52" s="18">
        <f t="shared" si="40"/>
        <v>0.74999999999999989</v>
      </c>
      <c r="C52" s="19">
        <f t="shared" si="44"/>
        <v>379.74968880077364</v>
      </c>
      <c r="D52" s="18">
        <f t="shared" si="45"/>
        <v>5.2177319534090909</v>
      </c>
      <c r="E52" s="18">
        <f t="shared" si="46"/>
        <v>8.5126813213636368</v>
      </c>
      <c r="G52" s="20">
        <f t="shared" si="47"/>
        <v>0.78965685943181818</v>
      </c>
      <c r="H52" s="21">
        <f t="shared" si="41"/>
        <v>400</v>
      </c>
      <c r="I52" s="20">
        <f t="shared" si="48"/>
        <v>5.4556731100000002</v>
      </c>
      <c r="J52" s="20">
        <f t="shared" si="49"/>
        <v>9.3058185100000017</v>
      </c>
      <c r="L52" s="17">
        <f t="shared" si="50"/>
        <v>0.69704467443181783</v>
      </c>
      <c r="M52" s="14">
        <f t="shared" si="51"/>
        <v>352.70867148936151</v>
      </c>
      <c r="N52" s="13">
        <f t="shared" si="42"/>
        <v>4.8999999999999986</v>
      </c>
      <c r="O52" s="13">
        <f t="shared" si="52"/>
        <v>7.4535748099999948</v>
      </c>
      <c r="Q52" s="36">
        <f t="shared" si="53"/>
        <v>0.8043659339318181</v>
      </c>
      <c r="R52" s="10">
        <f t="shared" si="54"/>
        <v>407.51101676595749</v>
      </c>
      <c r="S52" s="9">
        <f t="shared" si="55"/>
        <v>5.5439275570000008</v>
      </c>
      <c r="T52" s="9">
        <f t="shared" si="43"/>
        <v>9.6000000000000014</v>
      </c>
    </row>
    <row r="53" spans="2:20" x14ac:dyDescent="0.15">
      <c r="B53" s="18">
        <f t="shared" si="40"/>
        <v>0.77499999999999991</v>
      </c>
      <c r="C53" s="19">
        <f t="shared" si="44"/>
        <v>392.5156462475822</v>
      </c>
      <c r="D53" s="18">
        <f t="shared" si="45"/>
        <v>5.3677319534090904</v>
      </c>
      <c r="E53" s="18">
        <f t="shared" si="46"/>
        <v>9.0126813213636368</v>
      </c>
      <c r="G53" s="20">
        <f t="shared" si="47"/>
        <v>0.80924019276515147</v>
      </c>
      <c r="H53" s="21">
        <f t="shared" si="41"/>
        <v>410</v>
      </c>
      <c r="I53" s="20">
        <f t="shared" si="48"/>
        <v>5.5731731099999999</v>
      </c>
      <c r="J53" s="20">
        <f t="shared" si="49"/>
        <v>9.6974851766666692</v>
      </c>
      <c r="L53" s="17">
        <f t="shared" si="50"/>
        <v>0.72204467443181786</v>
      </c>
      <c r="M53" s="14">
        <f t="shared" si="51"/>
        <v>365.47462893617006</v>
      </c>
      <c r="N53" s="13">
        <f t="shared" si="42"/>
        <v>5.0499999999999989</v>
      </c>
      <c r="O53" s="13">
        <f t="shared" si="52"/>
        <v>7.9535748099999948</v>
      </c>
      <c r="Q53" s="36">
        <f t="shared" si="53"/>
        <v>0.82186593393181817</v>
      </c>
      <c r="R53" s="10">
        <f t="shared" si="54"/>
        <v>416.44718697872344</v>
      </c>
      <c r="S53" s="9">
        <f t="shared" si="55"/>
        <v>5.6489275570000004</v>
      </c>
      <c r="T53" s="9">
        <f t="shared" si="43"/>
        <v>9.9500000000000011</v>
      </c>
    </row>
    <row r="54" spans="2:20" x14ac:dyDescent="0.15">
      <c r="B54" s="18">
        <f t="shared" si="40"/>
        <v>0.79999999999999993</v>
      </c>
      <c r="C54" s="19">
        <f t="shared" si="44"/>
        <v>405.2816036943907</v>
      </c>
      <c r="D54" s="18">
        <f t="shared" si="45"/>
        <v>5.5177319534090907</v>
      </c>
      <c r="E54" s="18">
        <f t="shared" si="46"/>
        <v>9.5126813213636368</v>
      </c>
      <c r="G54" s="20">
        <f t="shared" si="47"/>
        <v>0.82882352609848486</v>
      </c>
      <c r="H54" s="21">
        <f t="shared" si="41"/>
        <v>420</v>
      </c>
      <c r="I54" s="20">
        <f t="shared" si="48"/>
        <v>5.6906731100000005</v>
      </c>
      <c r="J54" s="20">
        <f t="shared" si="49"/>
        <v>10.089151843333335</v>
      </c>
      <c r="L54" s="17">
        <f t="shared" si="50"/>
        <v>0.74704467443181788</v>
      </c>
      <c r="M54" s="14">
        <f t="shared" si="51"/>
        <v>378.24058638297856</v>
      </c>
      <c r="N54" s="13">
        <f t="shared" si="42"/>
        <v>5.1999999999999993</v>
      </c>
      <c r="O54" s="13">
        <f t="shared" si="52"/>
        <v>8.4535748099999957</v>
      </c>
      <c r="Q54" s="36">
        <f t="shared" si="53"/>
        <v>0.83936593393181813</v>
      </c>
      <c r="R54" s="10">
        <f t="shared" si="54"/>
        <v>425.38335719148927</v>
      </c>
      <c r="S54" s="9">
        <f t="shared" si="55"/>
        <v>5.7539275570000008</v>
      </c>
      <c r="T54" s="9">
        <f t="shared" si="43"/>
        <v>10.3</v>
      </c>
    </row>
    <row r="55" spans="2:20" ht="14" thickBot="1" x14ac:dyDescent="0.2">
      <c r="B55" s="18">
        <f>B56-0.025</f>
        <v>0.82499999999999996</v>
      </c>
      <c r="C55" s="19">
        <f t="shared" si="44"/>
        <v>418.04756114119925</v>
      </c>
      <c r="D55" s="18">
        <f t="shared" si="45"/>
        <v>5.667731953409092</v>
      </c>
      <c r="E55" s="18">
        <f t="shared" si="46"/>
        <v>10.012681321363637</v>
      </c>
      <c r="G55" s="20">
        <f t="shared" si="47"/>
        <v>0.84840685943181815</v>
      </c>
      <c r="H55" s="21">
        <f>H56-10</f>
        <v>430</v>
      </c>
      <c r="I55" s="20">
        <f t="shared" si="48"/>
        <v>5.8081731100000002</v>
      </c>
      <c r="J55" s="20">
        <f t="shared" si="49"/>
        <v>10.480818510000002</v>
      </c>
      <c r="L55" s="17">
        <f t="shared" si="50"/>
        <v>0.77204467443181801</v>
      </c>
      <c r="M55" s="14">
        <f t="shared" si="51"/>
        <v>391.00654382978718</v>
      </c>
      <c r="N55" s="13">
        <f>N56-0.15</f>
        <v>5.35</v>
      </c>
      <c r="O55" s="13">
        <f t="shared" si="52"/>
        <v>8.9535748099999974</v>
      </c>
      <c r="Q55" s="36">
        <f t="shared" si="53"/>
        <v>0.85686593393181809</v>
      </c>
      <c r="R55" s="10">
        <f t="shared" si="54"/>
        <v>434.31952740425527</v>
      </c>
      <c r="S55" s="9">
        <f t="shared" si="55"/>
        <v>5.8589275570000003</v>
      </c>
      <c r="T55" s="9">
        <f>T56-0.35</f>
        <v>10.65</v>
      </c>
    </row>
    <row r="56" spans="2:20" ht="14" thickBot="1" x14ac:dyDescent="0.2">
      <c r="B56" s="24">
        <f>Conventional!$B$8</f>
        <v>0.85</v>
      </c>
      <c r="C56" s="19">
        <f t="shared" si="44"/>
        <v>430.81351858800775</v>
      </c>
      <c r="D56" s="18">
        <f t="shared" si="45"/>
        <v>5.8177319534090914</v>
      </c>
      <c r="E56" s="18">
        <f t="shared" si="46"/>
        <v>10.512681321363637</v>
      </c>
      <c r="G56" s="20">
        <f t="shared" si="47"/>
        <v>0.86799019276515155</v>
      </c>
      <c r="H56" s="22">
        <f>Conventional!$D$8</f>
        <v>440</v>
      </c>
      <c r="I56" s="20">
        <f t="shared" si="48"/>
        <v>5.92567311</v>
      </c>
      <c r="J56" s="20">
        <f t="shared" si="49"/>
        <v>10.872485176666668</v>
      </c>
      <c r="L56" s="17">
        <f t="shared" si="50"/>
        <v>0.79704467443181803</v>
      </c>
      <c r="M56" s="14">
        <f t="shared" si="51"/>
        <v>403.77250127659568</v>
      </c>
      <c r="N56" s="15">
        <f>Conventional!$F$8</f>
        <v>5.5</v>
      </c>
      <c r="O56" s="13">
        <f t="shared" si="52"/>
        <v>9.4535748099999974</v>
      </c>
      <c r="Q56" s="36">
        <f t="shared" si="53"/>
        <v>0.87436593393181816</v>
      </c>
      <c r="R56" s="10">
        <f t="shared" si="54"/>
        <v>443.25569761702121</v>
      </c>
      <c r="S56" s="9">
        <f t="shared" si="55"/>
        <v>5.9639275570000008</v>
      </c>
      <c r="T56" s="11">
        <f>Conventional!$H$8</f>
        <v>11</v>
      </c>
    </row>
    <row r="57" spans="2:20" x14ac:dyDescent="0.15">
      <c r="B57" s="18">
        <f>B56+0.025</f>
        <v>0.875</v>
      </c>
      <c r="C57" s="19">
        <f t="shared" si="44"/>
        <v>443.57947603481625</v>
      </c>
      <c r="D57" s="18">
        <f t="shared" si="45"/>
        <v>5.9677319534090918</v>
      </c>
      <c r="E57" s="18">
        <f t="shared" si="46"/>
        <v>11.012681321363637</v>
      </c>
      <c r="G57" s="20">
        <f t="shared" si="47"/>
        <v>0.88757352609848494</v>
      </c>
      <c r="H57" s="21">
        <f>H56+10</f>
        <v>450</v>
      </c>
      <c r="I57" s="20">
        <f t="shared" si="48"/>
        <v>6.0431731100000006</v>
      </c>
      <c r="J57" s="20">
        <f t="shared" si="49"/>
        <v>11.264151843333336</v>
      </c>
      <c r="L57" s="17">
        <f t="shared" si="50"/>
        <v>0.82204467443181806</v>
      </c>
      <c r="M57" s="14">
        <f t="shared" si="51"/>
        <v>416.53845872340418</v>
      </c>
      <c r="N57" s="13">
        <f>N56+0.15</f>
        <v>5.65</v>
      </c>
      <c r="O57" s="13">
        <f t="shared" si="52"/>
        <v>9.9535748099999974</v>
      </c>
      <c r="Q57" s="36">
        <f t="shared" si="53"/>
        <v>0.89186593393181812</v>
      </c>
      <c r="R57" s="10">
        <f t="shared" si="54"/>
        <v>452.19186782978716</v>
      </c>
      <c r="S57" s="9">
        <f t="shared" si="55"/>
        <v>6.0689275570000003</v>
      </c>
      <c r="T57" s="9">
        <f>T56+0.35</f>
        <v>11.35</v>
      </c>
    </row>
    <row r="58" spans="2:20" x14ac:dyDescent="0.15">
      <c r="B58" s="18">
        <f t="shared" ref="B58:B63" si="56">B57+0.025</f>
        <v>0.9</v>
      </c>
      <c r="C58" s="19">
        <f t="shared" si="44"/>
        <v>456.3454334816247</v>
      </c>
      <c r="D58" s="18">
        <f t="shared" si="45"/>
        <v>6.1177319534090921</v>
      </c>
      <c r="E58" s="18">
        <f t="shared" si="46"/>
        <v>11.512681321363637</v>
      </c>
      <c r="G58" s="20">
        <f t="shared" si="47"/>
        <v>0.90715685943181823</v>
      </c>
      <c r="H58" s="21">
        <f t="shared" ref="H58:H63" si="57">H57+10</f>
        <v>460</v>
      </c>
      <c r="I58" s="20">
        <f t="shared" si="48"/>
        <v>6.1606731100000003</v>
      </c>
      <c r="J58" s="20">
        <f t="shared" si="49"/>
        <v>11.655818510000001</v>
      </c>
      <c r="L58" s="17">
        <f t="shared" si="50"/>
        <v>0.84704467443181819</v>
      </c>
      <c r="M58" s="14">
        <f t="shared" si="51"/>
        <v>429.30441617021279</v>
      </c>
      <c r="N58" s="13">
        <f t="shared" ref="N58:N63" si="58">N57+0.15</f>
        <v>5.8000000000000007</v>
      </c>
      <c r="O58" s="13">
        <f t="shared" si="52"/>
        <v>10.453574810000001</v>
      </c>
      <c r="Q58" s="36">
        <f t="shared" si="53"/>
        <v>0.90936593393181819</v>
      </c>
      <c r="R58" s="10">
        <f t="shared" si="54"/>
        <v>461.12803804255316</v>
      </c>
      <c r="S58" s="9">
        <f t="shared" si="55"/>
        <v>6.1739275570000007</v>
      </c>
      <c r="T58" s="9">
        <f t="shared" ref="T58:T63" si="59">T57+0.35</f>
        <v>11.7</v>
      </c>
    </row>
    <row r="59" spans="2:20" x14ac:dyDescent="0.15">
      <c r="B59" s="18">
        <f t="shared" si="56"/>
        <v>0.92500000000000004</v>
      </c>
      <c r="C59" s="19">
        <f t="shared" si="44"/>
        <v>469.11139092843325</v>
      </c>
      <c r="D59" s="18">
        <f t="shared" si="45"/>
        <v>6.2677319534090916</v>
      </c>
      <c r="E59" s="18">
        <f t="shared" si="46"/>
        <v>12.012681321363637</v>
      </c>
      <c r="G59" s="20">
        <f t="shared" si="47"/>
        <v>0.92674019276515163</v>
      </c>
      <c r="H59" s="21">
        <f t="shared" si="57"/>
        <v>470</v>
      </c>
      <c r="I59" s="20">
        <f t="shared" si="48"/>
        <v>6.27817311</v>
      </c>
      <c r="J59" s="20">
        <f t="shared" si="49"/>
        <v>12.047485176666669</v>
      </c>
      <c r="L59" s="17">
        <f t="shared" si="50"/>
        <v>0.87204467443181821</v>
      </c>
      <c r="M59" s="14">
        <f t="shared" si="51"/>
        <v>442.07037361702129</v>
      </c>
      <c r="N59" s="13">
        <f t="shared" si="58"/>
        <v>5.9500000000000011</v>
      </c>
      <c r="O59" s="13">
        <f t="shared" si="52"/>
        <v>10.953574810000001</v>
      </c>
      <c r="Q59" s="36">
        <f t="shared" si="53"/>
        <v>0.92686593393181793</v>
      </c>
      <c r="R59" s="10">
        <f t="shared" si="54"/>
        <v>470.0642082553191</v>
      </c>
      <c r="S59" s="9">
        <f t="shared" si="55"/>
        <v>6.2789275569999994</v>
      </c>
      <c r="T59" s="9">
        <f t="shared" si="59"/>
        <v>12.049999999999999</v>
      </c>
    </row>
    <row r="60" spans="2:20" x14ac:dyDescent="0.15">
      <c r="B60" s="18">
        <f t="shared" si="56"/>
        <v>0.95000000000000007</v>
      </c>
      <c r="C60" s="19">
        <f t="shared" si="44"/>
        <v>481.87734837524175</v>
      </c>
      <c r="D60" s="18">
        <f t="shared" si="45"/>
        <v>6.417731953409092</v>
      </c>
      <c r="E60" s="18">
        <f t="shared" si="46"/>
        <v>12.512681321363637</v>
      </c>
      <c r="G60" s="20">
        <f t="shared" si="47"/>
        <v>0.94632352609848491</v>
      </c>
      <c r="H60" s="21">
        <f t="shared" si="57"/>
        <v>480</v>
      </c>
      <c r="I60" s="20">
        <f t="shared" si="48"/>
        <v>6.3956731100000006</v>
      </c>
      <c r="J60" s="20">
        <f t="shared" si="49"/>
        <v>12.439151843333336</v>
      </c>
      <c r="L60" s="17">
        <f t="shared" si="50"/>
        <v>0.89704467443181823</v>
      </c>
      <c r="M60" s="14">
        <f t="shared" si="51"/>
        <v>454.83633106382973</v>
      </c>
      <c r="N60" s="13">
        <f t="shared" si="58"/>
        <v>6.1000000000000014</v>
      </c>
      <c r="O60" s="13">
        <f t="shared" si="52"/>
        <v>11.453574810000001</v>
      </c>
      <c r="Q60" s="36">
        <f t="shared" si="53"/>
        <v>0.944365933931818</v>
      </c>
      <c r="R60" s="10">
        <f t="shared" si="54"/>
        <v>479.0003784680851</v>
      </c>
      <c r="S60" s="9">
        <f t="shared" si="55"/>
        <v>6.3839275569999998</v>
      </c>
      <c r="T60" s="9">
        <f t="shared" si="59"/>
        <v>12.399999999999999</v>
      </c>
    </row>
    <row r="61" spans="2:20" x14ac:dyDescent="0.15">
      <c r="B61" s="18">
        <f t="shared" si="56"/>
        <v>0.97500000000000009</v>
      </c>
      <c r="C61" s="19">
        <f t="shared" si="44"/>
        <v>494.64330582205025</v>
      </c>
      <c r="D61" s="18">
        <f t="shared" si="45"/>
        <v>6.5677319534090914</v>
      </c>
      <c r="E61" s="18">
        <f t="shared" si="46"/>
        <v>13.012681321363637</v>
      </c>
      <c r="G61" s="20">
        <f t="shared" si="47"/>
        <v>0.9659068594318182</v>
      </c>
      <c r="H61" s="21">
        <f t="shared" si="57"/>
        <v>490</v>
      </c>
      <c r="I61" s="20">
        <f t="shared" si="48"/>
        <v>6.5131731100000003</v>
      </c>
      <c r="J61" s="20">
        <f t="shared" si="49"/>
        <v>12.830818510000002</v>
      </c>
      <c r="L61" s="17">
        <f t="shared" si="50"/>
        <v>0.92204467443181837</v>
      </c>
      <c r="M61" s="14">
        <f t="shared" si="51"/>
        <v>467.60228851063846</v>
      </c>
      <c r="N61" s="13">
        <f t="shared" si="58"/>
        <v>6.2500000000000018</v>
      </c>
      <c r="O61" s="13">
        <f t="shared" si="52"/>
        <v>11.953574810000005</v>
      </c>
      <c r="Q61" s="36">
        <f t="shared" si="53"/>
        <v>0.96186593393181796</v>
      </c>
      <c r="R61" s="10">
        <f t="shared" si="54"/>
        <v>487.93654868085099</v>
      </c>
      <c r="S61" s="9">
        <f t="shared" si="55"/>
        <v>6.4889275569999993</v>
      </c>
      <c r="T61" s="9">
        <f t="shared" si="59"/>
        <v>12.749999999999998</v>
      </c>
    </row>
    <row r="62" spans="2:20" x14ac:dyDescent="0.15">
      <c r="B62" s="18">
        <f t="shared" si="56"/>
        <v>1</v>
      </c>
      <c r="C62" s="19">
        <f t="shared" si="44"/>
        <v>507.40926326885869</v>
      </c>
      <c r="D62" s="18">
        <f t="shared" si="45"/>
        <v>6.7177319534090918</v>
      </c>
      <c r="E62" s="18">
        <f t="shared" si="46"/>
        <v>13.512681321363637</v>
      </c>
      <c r="G62" s="20">
        <f t="shared" si="47"/>
        <v>0.9854901927651516</v>
      </c>
      <c r="H62" s="21">
        <f t="shared" si="57"/>
        <v>500</v>
      </c>
      <c r="I62" s="20">
        <f t="shared" si="48"/>
        <v>6.63067311</v>
      </c>
      <c r="J62" s="20">
        <f t="shared" si="49"/>
        <v>13.22248517666667</v>
      </c>
      <c r="L62" s="17">
        <f t="shared" si="50"/>
        <v>0.94704467443181839</v>
      </c>
      <c r="M62" s="14">
        <f t="shared" si="51"/>
        <v>480.36824595744696</v>
      </c>
      <c r="N62" s="13">
        <f t="shared" si="58"/>
        <v>6.4000000000000021</v>
      </c>
      <c r="O62" s="13">
        <f t="shared" si="52"/>
        <v>12.453574810000005</v>
      </c>
      <c r="Q62" s="36">
        <f t="shared" si="53"/>
        <v>0.97936593393181792</v>
      </c>
      <c r="R62" s="10">
        <f t="shared" si="54"/>
        <v>496.87271889361693</v>
      </c>
      <c r="S62" s="9">
        <f t="shared" si="55"/>
        <v>6.5939275569999998</v>
      </c>
      <c r="T62" s="9">
        <f t="shared" si="59"/>
        <v>13.099999999999998</v>
      </c>
    </row>
    <row r="63" spans="2:20" x14ac:dyDescent="0.15">
      <c r="B63" s="18">
        <f t="shared" si="56"/>
        <v>1.0249999999999999</v>
      </c>
      <c r="C63" s="19">
        <f t="shared" si="44"/>
        <v>520.17522071566725</v>
      </c>
      <c r="D63" s="18">
        <f t="shared" si="45"/>
        <v>6.8677319534090921</v>
      </c>
      <c r="E63" s="18">
        <f t="shared" si="46"/>
        <v>14.012681321363637</v>
      </c>
      <c r="G63" s="20">
        <f t="shared" si="47"/>
        <v>1.0050735260984849</v>
      </c>
      <c r="H63" s="21">
        <f t="shared" si="57"/>
        <v>510</v>
      </c>
      <c r="I63" s="20">
        <f t="shared" si="48"/>
        <v>6.7481731099999998</v>
      </c>
      <c r="J63" s="20">
        <f t="shared" si="49"/>
        <v>13.614151843333335</v>
      </c>
      <c r="L63" s="17">
        <f t="shared" si="50"/>
        <v>0.97204467443181841</v>
      </c>
      <c r="M63" s="14">
        <f t="shared" si="51"/>
        <v>493.13420340425552</v>
      </c>
      <c r="N63" s="13">
        <f t="shared" si="58"/>
        <v>6.5500000000000025</v>
      </c>
      <c r="O63" s="13">
        <f t="shared" si="52"/>
        <v>12.953574810000005</v>
      </c>
      <c r="Q63" s="36">
        <f t="shared" si="53"/>
        <v>0.99686593393181799</v>
      </c>
      <c r="R63" s="10">
        <f t="shared" si="54"/>
        <v>505.80888910638288</v>
      </c>
      <c r="S63" s="9">
        <f t="shared" si="55"/>
        <v>6.6989275569999993</v>
      </c>
      <c r="T63" s="9">
        <f t="shared" si="59"/>
        <v>13.449999999999998</v>
      </c>
    </row>
    <row r="64" spans="2:20" x14ac:dyDescent="0.15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15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15">
      <c r="A66" s="1" t="s">
        <v>72</v>
      </c>
      <c r="B66" s="57">
        <f>'Strip-Till'!L$31</f>
        <v>620.27321676136376</v>
      </c>
      <c r="C66" s="57">
        <f>'Strip-Till'!N$31</f>
        <v>629.27404999999999</v>
      </c>
      <c r="D66" s="57">
        <f>'Strip-Till'!P$31</f>
        <v>430.27125178749998</v>
      </c>
      <c r="E66" s="57">
        <f>'Strip-Till'!R$31</f>
        <v>283.64909152500002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15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15">
      <c r="A68" s="6"/>
      <c r="B68" s="408" t="s">
        <v>74</v>
      </c>
      <c r="C68" s="408"/>
      <c r="D68" s="408"/>
      <c r="E68" s="408"/>
      <c r="F68" s="29"/>
      <c r="G68" s="409" t="s">
        <v>75</v>
      </c>
      <c r="H68" s="409"/>
      <c r="I68" s="409"/>
      <c r="J68" s="409"/>
      <c r="K68" s="29"/>
      <c r="L68" s="410" t="s">
        <v>76</v>
      </c>
      <c r="M68" s="410"/>
      <c r="N68" s="410"/>
      <c r="O68" s="410"/>
      <c r="P68" s="29"/>
      <c r="Q68" s="411" t="s">
        <v>77</v>
      </c>
      <c r="R68" s="411"/>
      <c r="S68" s="411"/>
      <c r="T68" s="411"/>
    </row>
    <row r="69" spans="1:20" ht="42" x14ac:dyDescent="0.15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15">
      <c r="B70" s="18">
        <f t="shared" ref="B70:B75" si="60">B71-0.025</f>
        <v>0.67499999999999982</v>
      </c>
      <c r="C70" s="19">
        <f>(((B70*$B$67)-$B$66+$C$66)/$C$67)*2000</f>
        <v>303.08872543449183</v>
      </c>
      <c r="D70" s="18">
        <f>(((B70*$B$67)-$B$66+$D$66)/$D$67)</f>
        <v>3.7205651179545423</v>
      </c>
      <c r="E70" s="18">
        <f>(((B70*$B$67)-$B$66+$E$66)/$E$67)</f>
        <v>5.6541958254545381</v>
      </c>
      <c r="G70" s="20">
        <f>(((H70*$C$67/2000)-$C$66+$B$66)/$B$67)</f>
        <v>0.82666555568181832</v>
      </c>
      <c r="H70" s="21">
        <f t="shared" ref="H70:H75" si="61">H71-10</f>
        <v>370</v>
      </c>
      <c r="I70" s="20">
        <f>(((H70*$C$67/2000)-$C$66+$D$66)/$D$67)</f>
        <v>5.0587906092647055</v>
      </c>
      <c r="J70" s="20">
        <f>(((H70*$C$67/2000)-$C$66+$E$66)/$E$67)</f>
        <v>9.4458347175000004</v>
      </c>
      <c r="L70" s="17">
        <f>(((N70*$D$67)-$D$66+$B$66)/$B$67)</f>
        <v>0.7576692866318181</v>
      </c>
      <c r="M70" s="14">
        <f>(((N70*$D$67)-$D$66+$C$66)/$C$67)*2000</f>
        <v>339.56046953676457</v>
      </c>
      <c r="N70" s="13">
        <f t="shared" ref="N70:N75" si="62">N71-0.15</f>
        <v>4.4499999999999975</v>
      </c>
      <c r="O70" s="13">
        <f>(((N70*$D$67)-$D$66+$E$66)/$E$67)</f>
        <v>7.7209279912499937</v>
      </c>
      <c r="Q70" s="9">
        <f>(((T70*$E$67)-$E$66+$B$66)/$B$67)</f>
        <v>0.79083216698181846</v>
      </c>
      <c r="R70" s="10">
        <f>(((T70*$E$67)-$E$66+$C$66)/$C$67)*2000</f>
        <v>354.1911520441177</v>
      </c>
      <c r="S70" s="9">
        <f>(((T70*$E$67)-$E$66+$D$66)/$D$67)</f>
        <v>4.7426136501470593</v>
      </c>
      <c r="T70" s="9">
        <f t="shared" ref="T70:T75" si="63">T71-0.35</f>
        <v>8.5500000000000025</v>
      </c>
    </row>
    <row r="71" spans="1:20" x14ac:dyDescent="0.15">
      <c r="B71" s="18">
        <f t="shared" si="60"/>
        <v>0.69999999999999984</v>
      </c>
      <c r="C71" s="19">
        <f t="shared" ref="C71:C84" si="64">(((B71*$B$67)-$B$66+$C$66)/$C$67)*2000</f>
        <v>314.11813719919775</v>
      </c>
      <c r="D71" s="18">
        <f t="shared" ref="D71:D84" si="65">(((B71*$B$67)-$B$66+$D$66)/$D$67)</f>
        <v>3.94115335324866</v>
      </c>
      <c r="E71" s="18">
        <f t="shared" ref="E71:E84" si="66">(((B71*$B$67)-$B$66+$E$66)/$E$67)</f>
        <v>6.2791958254545381</v>
      </c>
      <c r="G71" s="20">
        <f t="shared" ref="G71:G84" si="67">(((H71*$C$67/2000)-$C$66+$B$66)/$B$67)</f>
        <v>0.84933222234848504</v>
      </c>
      <c r="H71" s="21">
        <f t="shared" si="61"/>
        <v>380</v>
      </c>
      <c r="I71" s="20">
        <f t="shared" ref="I71:I84" si="68">(((H71*$C$67/2000)-$C$66+$D$66)/$D$67)</f>
        <v>5.2587906092647057</v>
      </c>
      <c r="J71" s="20">
        <f t="shared" ref="J71:J84" si="69">(((H71*$C$67/2000)-$C$66+$E$66)/$E$67)</f>
        <v>10.012501384166667</v>
      </c>
      <c r="L71" s="17">
        <f t="shared" ref="L71:L84" si="70">(((N71*$D$67)-$D$66+$B$66)/$B$67)</f>
        <v>0.77466928663181811</v>
      </c>
      <c r="M71" s="14">
        <f t="shared" ref="M71:M84" si="71">(((N71*$D$67)-$D$66+$C$66)/$C$67)*2000</f>
        <v>347.06046953676457</v>
      </c>
      <c r="N71" s="13">
        <f t="shared" si="62"/>
        <v>4.5999999999999979</v>
      </c>
      <c r="O71" s="13">
        <f t="shared" ref="O71:O84" si="72">(((N71*$D$67)-$D$66+$E$66)/$E$67)</f>
        <v>8.1459279912499962</v>
      </c>
      <c r="Q71" s="9">
        <f t="shared" ref="Q71:Q84" si="73">(((T71*$E$67)-$E$66+$B$66)/$B$67)</f>
        <v>0.80483216698181848</v>
      </c>
      <c r="R71" s="10">
        <f t="shared" ref="R71:R84" si="74">(((T71*$E$67)-$E$66+$C$66)/$C$67)*2000</f>
        <v>360.367622632353</v>
      </c>
      <c r="S71" s="9">
        <f t="shared" ref="S71:S84" si="75">(((T71*$E$67)-$E$66+$D$66)/$D$67)</f>
        <v>4.8661430619117647</v>
      </c>
      <c r="T71" s="9">
        <f t="shared" si="63"/>
        <v>8.9000000000000021</v>
      </c>
    </row>
    <row r="72" spans="1:20" x14ac:dyDescent="0.15">
      <c r="B72" s="18">
        <f t="shared" si="60"/>
        <v>0.72499999999999987</v>
      </c>
      <c r="C72" s="19">
        <f t="shared" si="64"/>
        <v>325.1475489639036</v>
      </c>
      <c r="D72" s="18">
        <f t="shared" si="65"/>
        <v>4.1617415885427773</v>
      </c>
      <c r="E72" s="18">
        <f t="shared" si="66"/>
        <v>6.9041958254545381</v>
      </c>
      <c r="G72" s="20">
        <f t="shared" si="67"/>
        <v>0.87199888901515166</v>
      </c>
      <c r="H72" s="21">
        <f t="shared" si="61"/>
        <v>390</v>
      </c>
      <c r="I72" s="20">
        <f t="shared" si="68"/>
        <v>5.4587906092647058</v>
      </c>
      <c r="J72" s="20">
        <f t="shared" si="69"/>
        <v>10.579168050833335</v>
      </c>
      <c r="L72" s="17">
        <f t="shared" si="70"/>
        <v>0.79166928663181801</v>
      </c>
      <c r="M72" s="14">
        <f t="shared" si="71"/>
        <v>354.56046953676457</v>
      </c>
      <c r="N72" s="13">
        <f t="shared" si="62"/>
        <v>4.7499999999999982</v>
      </c>
      <c r="O72" s="13">
        <f t="shared" si="72"/>
        <v>8.5709279912499952</v>
      </c>
      <c r="Q72" s="9">
        <f t="shared" si="73"/>
        <v>0.81883216698181849</v>
      </c>
      <c r="R72" s="10">
        <f t="shared" si="74"/>
        <v>366.54409322058831</v>
      </c>
      <c r="S72" s="9">
        <f t="shared" si="75"/>
        <v>4.989672473676471</v>
      </c>
      <c r="T72" s="9">
        <f t="shared" si="63"/>
        <v>9.2500000000000018</v>
      </c>
    </row>
    <row r="73" spans="1:20" x14ac:dyDescent="0.15">
      <c r="B73" s="18">
        <f t="shared" si="60"/>
        <v>0.74999999999999989</v>
      </c>
      <c r="C73" s="19">
        <f t="shared" si="64"/>
        <v>336.17696072860946</v>
      </c>
      <c r="D73" s="18">
        <f t="shared" si="65"/>
        <v>4.3823298238368951</v>
      </c>
      <c r="E73" s="18">
        <f t="shared" si="66"/>
        <v>7.5291958254545381</v>
      </c>
      <c r="G73" s="20">
        <f t="shared" si="67"/>
        <v>0.89466555568181838</v>
      </c>
      <c r="H73" s="21">
        <f t="shared" si="61"/>
        <v>400</v>
      </c>
      <c r="I73" s="20">
        <f t="shared" si="68"/>
        <v>5.658790609264706</v>
      </c>
      <c r="J73" s="20">
        <f t="shared" si="69"/>
        <v>11.145834717500001</v>
      </c>
      <c r="L73" s="17">
        <f t="shared" si="70"/>
        <v>0.80866928663181825</v>
      </c>
      <c r="M73" s="14">
        <f t="shared" si="71"/>
        <v>362.06046953676463</v>
      </c>
      <c r="N73" s="13">
        <f t="shared" si="62"/>
        <v>4.8999999999999986</v>
      </c>
      <c r="O73" s="13">
        <f t="shared" si="72"/>
        <v>8.9959279912499976</v>
      </c>
      <c r="Q73" s="9">
        <f t="shared" si="73"/>
        <v>0.8328321669818185</v>
      </c>
      <c r="R73" s="10">
        <f t="shared" si="74"/>
        <v>372.72056380882356</v>
      </c>
      <c r="S73" s="9">
        <f t="shared" si="75"/>
        <v>5.1132018854411765</v>
      </c>
      <c r="T73" s="9">
        <f t="shared" si="63"/>
        <v>9.6000000000000014</v>
      </c>
    </row>
    <row r="74" spans="1:20" x14ac:dyDescent="0.15">
      <c r="B74" s="18">
        <f t="shared" si="60"/>
        <v>0.77499999999999991</v>
      </c>
      <c r="C74" s="19">
        <f t="shared" si="64"/>
        <v>347.20637249331537</v>
      </c>
      <c r="D74" s="18">
        <f t="shared" si="65"/>
        <v>4.6029180591310128</v>
      </c>
      <c r="E74" s="18">
        <f t="shared" si="66"/>
        <v>8.1541958254545381</v>
      </c>
      <c r="G74" s="20">
        <f t="shared" si="67"/>
        <v>0.91733222234848499</v>
      </c>
      <c r="H74" s="21">
        <f t="shared" si="61"/>
        <v>410</v>
      </c>
      <c r="I74" s="20">
        <f t="shared" si="68"/>
        <v>5.8587906092647062</v>
      </c>
      <c r="J74" s="20">
        <f t="shared" si="69"/>
        <v>11.712501384166668</v>
      </c>
      <c r="L74" s="17">
        <f t="shared" si="70"/>
        <v>0.82566928663181827</v>
      </c>
      <c r="M74" s="14">
        <f t="shared" si="71"/>
        <v>369.56046953676463</v>
      </c>
      <c r="N74" s="13">
        <f t="shared" si="62"/>
        <v>5.0499999999999989</v>
      </c>
      <c r="O74" s="13">
        <f t="shared" si="72"/>
        <v>9.4209279912499984</v>
      </c>
      <c r="Q74" s="9">
        <f t="shared" si="73"/>
        <v>0.84683216698181851</v>
      </c>
      <c r="R74" s="10">
        <f t="shared" si="74"/>
        <v>378.89703439705886</v>
      </c>
      <c r="S74" s="9">
        <f t="shared" si="75"/>
        <v>5.2367312972058828</v>
      </c>
      <c r="T74" s="9">
        <f t="shared" si="63"/>
        <v>9.9500000000000011</v>
      </c>
    </row>
    <row r="75" spans="1:20" x14ac:dyDescent="0.15">
      <c r="B75" s="18">
        <f t="shared" si="60"/>
        <v>0.79999999999999993</v>
      </c>
      <c r="C75" s="19">
        <f t="shared" si="64"/>
        <v>358.23578425802134</v>
      </c>
      <c r="D75" s="18">
        <f t="shared" si="65"/>
        <v>4.8235062944251323</v>
      </c>
      <c r="E75" s="18">
        <f t="shared" si="66"/>
        <v>8.7791958254545417</v>
      </c>
      <c r="G75" s="20">
        <f t="shared" si="67"/>
        <v>0.93999888901515172</v>
      </c>
      <c r="H75" s="21">
        <f t="shared" si="61"/>
        <v>420</v>
      </c>
      <c r="I75" s="20">
        <f t="shared" si="68"/>
        <v>6.0587906092647055</v>
      </c>
      <c r="J75" s="20">
        <f t="shared" si="69"/>
        <v>12.279168050833334</v>
      </c>
      <c r="L75" s="17">
        <f t="shared" si="70"/>
        <v>0.84266928663181839</v>
      </c>
      <c r="M75" s="14">
        <f t="shared" si="71"/>
        <v>377.06046953676469</v>
      </c>
      <c r="N75" s="13">
        <f t="shared" si="62"/>
        <v>5.1999999999999993</v>
      </c>
      <c r="O75" s="13">
        <f t="shared" si="72"/>
        <v>9.8459279912499991</v>
      </c>
      <c r="Q75" s="9">
        <f t="shared" si="73"/>
        <v>0.8608321669818183</v>
      </c>
      <c r="R75" s="10">
        <f t="shared" si="74"/>
        <v>385.07350498529411</v>
      </c>
      <c r="S75" s="9">
        <f t="shared" si="75"/>
        <v>5.3602607089705874</v>
      </c>
      <c r="T75" s="9">
        <f t="shared" si="63"/>
        <v>10.3</v>
      </c>
    </row>
    <row r="76" spans="1:20" ht="14" thickBot="1" x14ac:dyDescent="0.2">
      <c r="B76" s="18">
        <f>B77-0.025</f>
        <v>0.82499999999999996</v>
      </c>
      <c r="C76" s="19">
        <f t="shared" si="64"/>
        <v>369.2651960227272</v>
      </c>
      <c r="D76" s="18">
        <f t="shared" si="65"/>
        <v>5.0440945297192501</v>
      </c>
      <c r="E76" s="18">
        <f t="shared" si="66"/>
        <v>9.4041958254545417</v>
      </c>
      <c r="G76" s="20">
        <f t="shared" si="67"/>
        <v>0.96266555568181833</v>
      </c>
      <c r="H76" s="21">
        <f>H77-10</f>
        <v>430</v>
      </c>
      <c r="I76" s="20">
        <f t="shared" si="68"/>
        <v>6.2587906092647057</v>
      </c>
      <c r="J76" s="20">
        <f t="shared" si="69"/>
        <v>12.845834717500001</v>
      </c>
      <c r="L76" s="17">
        <f t="shared" si="70"/>
        <v>0.85966928663181841</v>
      </c>
      <c r="M76" s="14">
        <f t="shared" si="71"/>
        <v>384.56046953676469</v>
      </c>
      <c r="N76" s="13">
        <f>N77-0.15</f>
        <v>5.35</v>
      </c>
      <c r="O76" s="13">
        <f t="shared" si="72"/>
        <v>10.27092799125</v>
      </c>
      <c r="Q76" s="9">
        <f t="shared" si="73"/>
        <v>0.87483216698181832</v>
      </c>
      <c r="R76" s="10">
        <f t="shared" si="74"/>
        <v>391.24997557352941</v>
      </c>
      <c r="S76" s="9">
        <f t="shared" si="75"/>
        <v>5.4837901207352937</v>
      </c>
      <c r="T76" s="9">
        <f>T77-0.35</f>
        <v>10.65</v>
      </c>
    </row>
    <row r="77" spans="1:20" ht="14" thickBot="1" x14ac:dyDescent="0.2">
      <c r="B77" s="24">
        <f>Conventional!$B$8</f>
        <v>0.85</v>
      </c>
      <c r="C77" s="19">
        <f t="shared" si="64"/>
        <v>380.29460778743305</v>
      </c>
      <c r="D77" s="18">
        <f t="shared" si="65"/>
        <v>5.264682765013367</v>
      </c>
      <c r="E77" s="18">
        <f t="shared" si="66"/>
        <v>10.029195825454542</v>
      </c>
      <c r="G77" s="20">
        <f t="shared" si="67"/>
        <v>0.98533222234848505</v>
      </c>
      <c r="H77" s="22">
        <f>Conventional!$D$8</f>
        <v>440</v>
      </c>
      <c r="I77" s="20">
        <f t="shared" si="68"/>
        <v>6.4587906092647058</v>
      </c>
      <c r="J77" s="20">
        <f t="shared" si="69"/>
        <v>13.412501384166667</v>
      </c>
      <c r="L77" s="17">
        <f t="shared" si="70"/>
        <v>0.87666928663181842</v>
      </c>
      <c r="M77" s="14">
        <f t="shared" si="71"/>
        <v>392.06046953676469</v>
      </c>
      <c r="N77" s="15">
        <f>Conventional!$F$8</f>
        <v>5.5</v>
      </c>
      <c r="O77" s="13">
        <f t="shared" si="72"/>
        <v>10.69592799125</v>
      </c>
      <c r="Q77" s="9">
        <f t="shared" si="73"/>
        <v>0.88883216698181833</v>
      </c>
      <c r="R77" s="10">
        <f t="shared" si="74"/>
        <v>397.42644616176472</v>
      </c>
      <c r="S77" s="9">
        <f t="shared" si="75"/>
        <v>5.6073195324999991</v>
      </c>
      <c r="T77" s="11">
        <f>Conventional!$H$8</f>
        <v>11</v>
      </c>
    </row>
    <row r="78" spans="1:20" x14ac:dyDescent="0.15">
      <c r="B78" s="18">
        <f>B77+0.025</f>
        <v>0.875</v>
      </c>
      <c r="C78" s="19">
        <f t="shared" si="64"/>
        <v>391.32401955213896</v>
      </c>
      <c r="D78" s="18">
        <f t="shared" si="65"/>
        <v>5.4852710003074847</v>
      </c>
      <c r="E78" s="18">
        <f t="shared" si="66"/>
        <v>10.654195825454542</v>
      </c>
      <c r="G78" s="20">
        <f t="shared" si="67"/>
        <v>1.0079988890151517</v>
      </c>
      <c r="H78" s="21">
        <f>H77+10</f>
        <v>450</v>
      </c>
      <c r="I78" s="20">
        <f t="shared" si="68"/>
        <v>6.658790609264706</v>
      </c>
      <c r="J78" s="20">
        <f t="shared" si="69"/>
        <v>13.979168050833334</v>
      </c>
      <c r="L78" s="17">
        <f t="shared" si="70"/>
        <v>0.89366928663181833</v>
      </c>
      <c r="M78" s="14">
        <f t="shared" si="71"/>
        <v>399.56046953676474</v>
      </c>
      <c r="N78" s="13">
        <f>N77+0.15</f>
        <v>5.65</v>
      </c>
      <c r="O78" s="13">
        <f t="shared" si="72"/>
        <v>11.120927991250003</v>
      </c>
      <c r="Q78" s="9">
        <f t="shared" si="73"/>
        <v>0.90283216698181834</v>
      </c>
      <c r="R78" s="10">
        <f t="shared" si="74"/>
        <v>403.60291674999996</v>
      </c>
      <c r="S78" s="9">
        <f t="shared" si="75"/>
        <v>5.7308489442647055</v>
      </c>
      <c r="T78" s="9">
        <f>T77+0.35</f>
        <v>11.35</v>
      </c>
    </row>
    <row r="79" spans="1:20" x14ac:dyDescent="0.15">
      <c r="B79" s="18">
        <f t="shared" ref="B79:B84" si="76">B78+0.025</f>
        <v>0.9</v>
      </c>
      <c r="C79" s="19">
        <f t="shared" si="64"/>
        <v>402.35343131684488</v>
      </c>
      <c r="D79" s="18">
        <f t="shared" si="65"/>
        <v>5.7058592356016025</v>
      </c>
      <c r="E79" s="18">
        <f t="shared" si="66"/>
        <v>11.279195825454542</v>
      </c>
      <c r="G79" s="20">
        <f t="shared" si="67"/>
        <v>1.0306655556818183</v>
      </c>
      <c r="H79" s="21">
        <f t="shared" ref="H79:H84" si="77">H78+10</f>
        <v>460</v>
      </c>
      <c r="I79" s="20">
        <f t="shared" si="68"/>
        <v>6.8587906092647062</v>
      </c>
      <c r="J79" s="20">
        <f t="shared" si="69"/>
        <v>14.545834717500002</v>
      </c>
      <c r="L79" s="17">
        <f t="shared" si="70"/>
        <v>0.91066928663181834</v>
      </c>
      <c r="M79" s="14">
        <f t="shared" si="71"/>
        <v>407.06046953676474</v>
      </c>
      <c r="N79" s="13">
        <f t="shared" ref="N79:N84" si="78">N78+0.15</f>
        <v>5.8000000000000007</v>
      </c>
      <c r="O79" s="13">
        <f t="shared" si="72"/>
        <v>11.545927991250004</v>
      </c>
      <c r="Q79" s="9">
        <f t="shared" si="73"/>
        <v>0.91683216698181835</v>
      </c>
      <c r="R79" s="10">
        <f t="shared" si="74"/>
        <v>409.77938733823527</v>
      </c>
      <c r="S79" s="9">
        <f t="shared" si="75"/>
        <v>5.8543783560294109</v>
      </c>
      <c r="T79" s="9">
        <f t="shared" ref="T79:T84" si="79">T78+0.35</f>
        <v>11.7</v>
      </c>
    </row>
    <row r="80" spans="1:20" x14ac:dyDescent="0.15">
      <c r="B80" s="18">
        <f t="shared" si="76"/>
        <v>0.92500000000000004</v>
      </c>
      <c r="C80" s="19">
        <f t="shared" si="64"/>
        <v>413.38284308155073</v>
      </c>
      <c r="D80" s="18">
        <f t="shared" si="65"/>
        <v>5.9264474708957202</v>
      </c>
      <c r="E80" s="18">
        <f t="shared" si="66"/>
        <v>11.904195825454542</v>
      </c>
      <c r="G80" s="20">
        <f t="shared" si="67"/>
        <v>1.0533322223484851</v>
      </c>
      <c r="H80" s="21">
        <f t="shared" si="77"/>
        <v>470</v>
      </c>
      <c r="I80" s="20">
        <f t="shared" si="68"/>
        <v>7.0587906092647055</v>
      </c>
      <c r="J80" s="20">
        <f t="shared" si="69"/>
        <v>15.112501384166668</v>
      </c>
      <c r="L80" s="17">
        <f t="shared" si="70"/>
        <v>0.92766928663181847</v>
      </c>
      <c r="M80" s="14">
        <f t="shared" si="71"/>
        <v>414.5604695367648</v>
      </c>
      <c r="N80" s="13">
        <f t="shared" si="78"/>
        <v>5.9500000000000011</v>
      </c>
      <c r="O80" s="13">
        <f t="shared" si="72"/>
        <v>11.970927991250004</v>
      </c>
      <c r="Q80" s="9">
        <f t="shared" si="73"/>
        <v>0.93083216698181814</v>
      </c>
      <c r="R80" s="10">
        <f t="shared" si="74"/>
        <v>415.95585792647051</v>
      </c>
      <c r="S80" s="9">
        <f t="shared" si="75"/>
        <v>5.9779077677941164</v>
      </c>
      <c r="T80" s="9">
        <f t="shared" si="79"/>
        <v>12.049999999999999</v>
      </c>
    </row>
    <row r="81" spans="1:20" x14ac:dyDescent="0.15">
      <c r="B81" s="18">
        <f t="shared" si="76"/>
        <v>0.95000000000000007</v>
      </c>
      <c r="C81" s="19">
        <f t="shared" si="64"/>
        <v>424.41225484625659</v>
      </c>
      <c r="D81" s="18">
        <f t="shared" si="65"/>
        <v>6.147035706189838</v>
      </c>
      <c r="E81" s="18">
        <f t="shared" si="66"/>
        <v>12.529195825454542</v>
      </c>
      <c r="G81" s="20">
        <f t="shared" si="67"/>
        <v>1.0759988890151517</v>
      </c>
      <c r="H81" s="21">
        <f t="shared" si="77"/>
        <v>480</v>
      </c>
      <c r="I81" s="20">
        <f t="shared" si="68"/>
        <v>7.2587906092647057</v>
      </c>
      <c r="J81" s="20">
        <f t="shared" si="69"/>
        <v>15.679168050833335</v>
      </c>
      <c r="L81" s="17">
        <f t="shared" si="70"/>
        <v>0.94466928663181848</v>
      </c>
      <c r="M81" s="14">
        <f t="shared" si="71"/>
        <v>422.0604695367648</v>
      </c>
      <c r="N81" s="13">
        <f t="shared" si="78"/>
        <v>6.1000000000000014</v>
      </c>
      <c r="O81" s="13">
        <f t="shared" si="72"/>
        <v>12.395927991250005</v>
      </c>
      <c r="Q81" s="9">
        <f t="shared" si="73"/>
        <v>0.94483216698181816</v>
      </c>
      <c r="R81" s="10">
        <f t="shared" si="74"/>
        <v>422.13232851470576</v>
      </c>
      <c r="S81" s="9">
        <f t="shared" si="75"/>
        <v>6.1014371795588218</v>
      </c>
      <c r="T81" s="9">
        <f t="shared" si="79"/>
        <v>12.399999999999999</v>
      </c>
    </row>
    <row r="82" spans="1:20" x14ac:dyDescent="0.15">
      <c r="B82" s="18">
        <f t="shared" si="76"/>
        <v>0.97500000000000009</v>
      </c>
      <c r="C82" s="19">
        <f t="shared" si="64"/>
        <v>435.44166661096256</v>
      </c>
      <c r="D82" s="18">
        <f t="shared" si="65"/>
        <v>6.3676239414839566</v>
      </c>
      <c r="E82" s="18">
        <f t="shared" si="66"/>
        <v>13.154195825454545</v>
      </c>
      <c r="G82" s="20">
        <f t="shared" si="67"/>
        <v>1.0986655556818183</v>
      </c>
      <c r="H82" s="21">
        <f t="shared" si="77"/>
        <v>490</v>
      </c>
      <c r="I82" s="20">
        <f t="shared" si="68"/>
        <v>7.4587906092647058</v>
      </c>
      <c r="J82" s="20">
        <f t="shared" si="69"/>
        <v>16.245834717499999</v>
      </c>
      <c r="L82" s="17">
        <f t="shared" si="70"/>
        <v>0.9616692866318185</v>
      </c>
      <c r="M82" s="14">
        <f t="shared" si="71"/>
        <v>429.5604695367648</v>
      </c>
      <c r="N82" s="13">
        <f t="shared" si="78"/>
        <v>6.2500000000000018</v>
      </c>
      <c r="O82" s="13">
        <f t="shared" si="72"/>
        <v>12.820927991250006</v>
      </c>
      <c r="Q82" s="9">
        <f t="shared" si="73"/>
        <v>0.95883216698181817</v>
      </c>
      <c r="R82" s="10">
        <f t="shared" si="74"/>
        <v>428.30879910294112</v>
      </c>
      <c r="S82" s="9">
        <f t="shared" si="75"/>
        <v>6.2249665913235273</v>
      </c>
      <c r="T82" s="9">
        <f t="shared" si="79"/>
        <v>12.749999999999998</v>
      </c>
    </row>
    <row r="83" spans="1:20" x14ac:dyDescent="0.15">
      <c r="B83" s="18">
        <f t="shared" si="76"/>
        <v>1</v>
      </c>
      <c r="C83" s="19">
        <f t="shared" si="64"/>
        <v>446.47107837566836</v>
      </c>
      <c r="D83" s="18">
        <f t="shared" si="65"/>
        <v>6.5882121767780735</v>
      </c>
      <c r="E83" s="18">
        <f t="shared" si="66"/>
        <v>13.779195825454542</v>
      </c>
      <c r="G83" s="20">
        <f t="shared" si="67"/>
        <v>1.121332222348485</v>
      </c>
      <c r="H83" s="21">
        <f t="shared" si="77"/>
        <v>500</v>
      </c>
      <c r="I83" s="20">
        <f t="shared" si="68"/>
        <v>7.658790609264706</v>
      </c>
      <c r="J83" s="20">
        <f t="shared" si="69"/>
        <v>16.812501384166669</v>
      </c>
      <c r="L83" s="17">
        <f t="shared" si="70"/>
        <v>0.97866928663181862</v>
      </c>
      <c r="M83" s="14">
        <f t="shared" si="71"/>
        <v>437.06046953676486</v>
      </c>
      <c r="N83" s="13">
        <f t="shared" si="78"/>
        <v>6.4000000000000021</v>
      </c>
      <c r="O83" s="13">
        <f t="shared" si="72"/>
        <v>13.245927991250008</v>
      </c>
      <c r="Q83" s="9">
        <f t="shared" si="73"/>
        <v>0.97283216698181818</v>
      </c>
      <c r="R83" s="10">
        <f t="shared" si="74"/>
        <v>434.48526969117643</v>
      </c>
      <c r="S83" s="9">
        <f t="shared" si="75"/>
        <v>6.3484960030882336</v>
      </c>
      <c r="T83" s="9">
        <f t="shared" si="79"/>
        <v>13.099999999999998</v>
      </c>
    </row>
    <row r="84" spans="1:20" x14ac:dyDescent="0.15">
      <c r="A84" s="46"/>
      <c r="B84" s="47">
        <f t="shared" si="76"/>
        <v>1.0249999999999999</v>
      </c>
      <c r="C84" s="48">
        <f t="shared" si="64"/>
        <v>457.50049014037421</v>
      </c>
      <c r="D84" s="47">
        <f t="shared" si="65"/>
        <v>6.8088004120721894</v>
      </c>
      <c r="E84" s="47">
        <f t="shared" si="66"/>
        <v>14.404195825454538</v>
      </c>
      <c r="F84" s="46"/>
      <c r="G84" s="49">
        <f t="shared" si="67"/>
        <v>1.1439988890151518</v>
      </c>
      <c r="H84" s="50">
        <f t="shared" si="77"/>
        <v>510</v>
      </c>
      <c r="I84" s="49">
        <f t="shared" si="68"/>
        <v>7.8587906092647062</v>
      </c>
      <c r="J84" s="49">
        <f t="shared" si="69"/>
        <v>17.379168050833336</v>
      </c>
      <c r="K84" s="46"/>
      <c r="L84" s="51">
        <f t="shared" si="70"/>
        <v>0.99566928663181864</v>
      </c>
      <c r="M84" s="52">
        <f t="shared" si="71"/>
        <v>444.56046953676486</v>
      </c>
      <c r="N84" s="53">
        <f t="shared" si="78"/>
        <v>6.5500000000000025</v>
      </c>
      <c r="O84" s="53">
        <f t="shared" si="72"/>
        <v>13.670927991250009</v>
      </c>
      <c r="P84" s="46"/>
      <c r="Q84" s="54">
        <f t="shared" si="73"/>
        <v>0.98683216698181819</v>
      </c>
      <c r="R84" s="55">
        <f t="shared" si="74"/>
        <v>440.66174027941167</v>
      </c>
      <c r="S84" s="54">
        <f t="shared" si="75"/>
        <v>6.472025414852939</v>
      </c>
      <c r="T84" s="54">
        <f t="shared" si="79"/>
        <v>13.449999999999998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L218"/>
  <sheetViews>
    <sheetView zoomScale="180" zoomScaleNormal="180" zoomScalePageLayoutView="170" workbookViewId="0">
      <pane xSplit="1" ySplit="8" topLeftCell="B29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baseColWidth="10" defaultColWidth="8.83203125" defaultRowHeight="14" x14ac:dyDescent="0.2"/>
  <cols>
    <col min="1" max="1" width="28.332031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5" style="101" bestFit="1" customWidth="1"/>
    <col min="13" max="13" width="3" style="101" bestFit="1" customWidth="1"/>
    <col min="14" max="14" width="5.5" style="101" bestFit="1" customWidth="1"/>
    <col min="15" max="15" width="4" style="101" bestFit="1" customWidth="1"/>
    <col min="16" max="16" width="5.5" style="101" bestFit="1" customWidth="1"/>
    <col min="17" max="17" width="3.5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8.83203125" style="101"/>
    <col min="23" max="23" width="9.1640625" style="100" bestFit="1" customWidth="1"/>
    <col min="24" max="24" width="7.5" style="100" bestFit="1" customWidth="1"/>
    <col min="25" max="25" width="6.1640625" style="100" bestFit="1" customWidth="1"/>
    <col min="26" max="26" width="7.5" style="100" bestFit="1" customWidth="1"/>
    <col min="27" max="27" width="7.1640625" style="100" bestFit="1" customWidth="1"/>
    <col min="28" max="28" width="6.6640625" style="100" bestFit="1" customWidth="1"/>
    <col min="29" max="29" width="9.1640625" style="100" bestFit="1" customWidth="1"/>
    <col min="30" max="30" width="6.6640625" style="100" bestFit="1" customWidth="1"/>
    <col min="31" max="31" width="7.1640625" style="100" bestFit="1" customWidth="1"/>
    <col min="32" max="32" width="7.5" style="100" bestFit="1" customWidth="1"/>
    <col min="33" max="33" width="8.1640625" style="100" bestFit="1" customWidth="1"/>
    <col min="34" max="34" width="7.5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3203125" style="101"/>
  </cols>
  <sheetData>
    <row r="1" spans="1:34" s="96" customFormat="1" ht="12" x14ac:dyDescent="0.15">
      <c r="A1" s="94" t="str">
        <f>Conventional!A1</f>
        <v>Estimate of 2022 Relative Row Crop Costs and Net Returns</v>
      </c>
      <c r="B1" s="94"/>
      <c r="C1" s="94"/>
      <c r="D1" s="94"/>
      <c r="E1" s="94"/>
      <c r="F1" s="94"/>
      <c r="G1" s="94"/>
      <c r="H1" s="94"/>
      <c r="I1" s="94"/>
      <c r="J1" s="472" t="s">
        <v>195</v>
      </c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" x14ac:dyDescent="0.15">
      <c r="A2" s="316" t="str">
        <f>Conventional!A2</f>
        <v>By A.R. Smith and Yangxuan Liu, UGA Extension Economists, Department of Agricultural &amp; Applied Economics</v>
      </c>
      <c r="B2" s="316"/>
      <c r="C2" s="316"/>
      <c r="D2" s="316"/>
      <c r="E2" s="316"/>
      <c r="F2" s="316"/>
      <c r="G2" s="316"/>
      <c r="H2" s="316"/>
      <c r="I2" s="316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Nov 2021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404" t="s">
        <v>0</v>
      </c>
      <c r="C4" s="405"/>
      <c r="D4" s="405"/>
      <c r="E4" s="405"/>
      <c r="F4" s="405"/>
      <c r="G4" s="405"/>
      <c r="H4" s="405"/>
      <c r="I4" s="405"/>
      <c r="J4" s="405"/>
      <c r="K4" s="103"/>
      <c r="L4" s="398" t="s">
        <v>1</v>
      </c>
      <c r="M4" s="398"/>
      <c r="N4" s="398"/>
      <c r="O4" s="398"/>
      <c r="P4" s="398"/>
      <c r="Q4" s="398"/>
      <c r="R4" s="398"/>
      <c r="S4" s="398"/>
      <c r="T4" s="398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94" t="s">
        <v>23</v>
      </c>
      <c r="K5" s="438"/>
      <c r="L5" s="107"/>
      <c r="M5" s="107"/>
      <c r="N5" s="295"/>
      <c r="O5" s="296"/>
      <c r="P5" s="259"/>
      <c r="Q5" s="248"/>
      <c r="R5" s="235"/>
      <c r="S5" s="248"/>
      <c r="T5" s="440" t="s">
        <v>23</v>
      </c>
      <c r="U5" s="441"/>
      <c r="V5" s="100"/>
    </row>
    <row r="6" spans="1:34" x14ac:dyDescent="0.2">
      <c r="A6" s="105"/>
      <c r="B6" s="400" t="s">
        <v>2</v>
      </c>
      <c r="C6" s="398"/>
      <c r="D6" s="435" t="s">
        <v>3</v>
      </c>
      <c r="E6" s="436"/>
      <c r="F6" s="403" t="s">
        <v>4</v>
      </c>
      <c r="G6" s="437"/>
      <c r="H6" s="398" t="s">
        <v>5</v>
      </c>
      <c r="I6" s="437"/>
      <c r="J6" s="398" t="s">
        <v>6</v>
      </c>
      <c r="K6" s="439"/>
      <c r="L6" s="400" t="s">
        <v>2</v>
      </c>
      <c r="M6" s="398"/>
      <c r="N6" s="435" t="s">
        <v>3</v>
      </c>
      <c r="O6" s="436"/>
      <c r="P6" s="403" t="s">
        <v>4</v>
      </c>
      <c r="Q6" s="437"/>
      <c r="R6" s="398" t="s">
        <v>5</v>
      </c>
      <c r="S6" s="437"/>
      <c r="T6" s="398" t="s">
        <v>6</v>
      </c>
      <c r="U6" s="399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5" thickBot="1" x14ac:dyDescent="0.25">
      <c r="A8" s="109" t="s">
        <v>124</v>
      </c>
      <c r="B8" s="290">
        <f>Conventional!B8</f>
        <v>0.85</v>
      </c>
      <c r="C8" s="276" t="s">
        <v>159</v>
      </c>
      <c r="D8" s="280">
        <f>'Peanut Price Calculator'!B17</f>
        <v>440</v>
      </c>
      <c r="E8" s="294" t="s">
        <v>160</v>
      </c>
      <c r="F8" s="290">
        <f>Conventional!F8</f>
        <v>5.5</v>
      </c>
      <c r="G8" s="270" t="s">
        <v>162</v>
      </c>
      <c r="H8" s="290">
        <f>Conventional!H8</f>
        <v>11</v>
      </c>
      <c r="I8" s="270" t="s">
        <v>162</v>
      </c>
      <c r="J8" s="290">
        <f>Conventional!J8</f>
        <v>5</v>
      </c>
      <c r="K8" s="275" t="s">
        <v>162</v>
      </c>
      <c r="L8" s="274">
        <f>Conventional!B8</f>
        <v>0.85</v>
      </c>
      <c r="M8" s="276" t="s">
        <v>159</v>
      </c>
      <c r="N8" s="280">
        <f>'Peanut Price Calculator'!B28</f>
        <v>440</v>
      </c>
      <c r="O8" s="294" t="s">
        <v>160</v>
      </c>
      <c r="P8" s="273">
        <f>Conventional!F8</f>
        <v>5.5</v>
      </c>
      <c r="Q8" s="270" t="s">
        <v>162</v>
      </c>
      <c r="R8" s="274">
        <f>Conventional!H8</f>
        <v>11</v>
      </c>
      <c r="S8" s="270" t="s">
        <v>162</v>
      </c>
      <c r="T8" s="274">
        <f>Conventional!J8</f>
        <v>5</v>
      </c>
      <c r="U8" s="272" t="s">
        <v>162</v>
      </c>
      <c r="V8" s="100"/>
    </row>
    <row r="9" spans="1:34" x14ac:dyDescent="0.2">
      <c r="A9" s="110" t="s">
        <v>155</v>
      </c>
      <c r="B9" s="387">
        <f>B7*B8</f>
        <v>1020</v>
      </c>
      <c r="C9" s="380"/>
      <c r="D9" s="389">
        <f>D8*(D7/2000)</f>
        <v>1034</v>
      </c>
      <c r="E9" s="380"/>
      <c r="F9" s="389">
        <f>F7*F8</f>
        <v>1100</v>
      </c>
      <c r="G9" s="433"/>
      <c r="H9" s="380">
        <f>H7*H8</f>
        <v>660</v>
      </c>
      <c r="I9" s="433"/>
      <c r="J9" s="380">
        <f>J7*J8</f>
        <v>500</v>
      </c>
      <c r="K9" s="434"/>
      <c r="L9" s="387">
        <f>L7*L8</f>
        <v>637.5</v>
      </c>
      <c r="M9" s="380"/>
      <c r="N9" s="389">
        <f>N8*(N7/2000)</f>
        <v>748</v>
      </c>
      <c r="O9" s="380"/>
      <c r="P9" s="389">
        <f>P7*P8</f>
        <v>467.5</v>
      </c>
      <c r="Q9" s="433"/>
      <c r="R9" s="380">
        <f>R7*R8</f>
        <v>330</v>
      </c>
      <c r="S9" s="433"/>
      <c r="T9" s="442">
        <f>T7*T8</f>
        <v>325</v>
      </c>
      <c r="U9" s="443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88">
        <v>105</v>
      </c>
      <c r="C11" s="378"/>
      <c r="D11" s="383">
        <v>123.2</v>
      </c>
      <c r="E11" s="378"/>
      <c r="F11" s="383">
        <f>121.6</f>
        <v>121.6</v>
      </c>
      <c r="G11" s="384"/>
      <c r="H11" s="385">
        <f>Conventional!H11</f>
        <v>61.75</v>
      </c>
      <c r="I11" s="385"/>
      <c r="J11" s="378">
        <v>25</v>
      </c>
      <c r="K11" s="444"/>
      <c r="L11" s="388">
        <v>105</v>
      </c>
      <c r="M11" s="378"/>
      <c r="N11" s="383">
        <v>123.2</v>
      </c>
      <c r="O11" s="378"/>
      <c r="P11" s="383">
        <v>78.5</v>
      </c>
      <c r="Q11" s="384"/>
      <c r="R11" s="385">
        <f>Conventional!R11</f>
        <v>61.75</v>
      </c>
      <c r="S11" s="385"/>
      <c r="T11" s="378">
        <v>15</v>
      </c>
      <c r="U11" s="379"/>
      <c r="V11" s="100"/>
      <c r="AE11" s="334"/>
      <c r="AF11" s="334"/>
      <c r="AG11" s="334"/>
      <c r="AH11" s="334"/>
    </row>
    <row r="12" spans="1:34" x14ac:dyDescent="0.2">
      <c r="A12" s="105" t="s">
        <v>30</v>
      </c>
      <c r="B12" s="349"/>
      <c r="C12" s="350"/>
      <c r="D12" s="337"/>
      <c r="E12" s="350"/>
      <c r="F12" s="337"/>
      <c r="G12" s="338"/>
      <c r="H12" s="350"/>
      <c r="I12" s="338"/>
      <c r="J12" s="350"/>
      <c r="K12" s="426"/>
      <c r="L12" s="349"/>
      <c r="M12" s="350"/>
      <c r="N12" s="337"/>
      <c r="O12" s="350"/>
      <c r="P12" s="337"/>
      <c r="Q12" s="338"/>
      <c r="R12" s="350"/>
      <c r="S12" s="338"/>
      <c r="T12" s="350"/>
      <c r="U12" s="357"/>
      <c r="V12" s="100"/>
    </row>
    <row r="13" spans="1:34" x14ac:dyDescent="0.2">
      <c r="A13" s="105" t="s">
        <v>8</v>
      </c>
      <c r="B13" s="349">
        <f>B7/495*0.75</f>
        <v>1.8181818181818183</v>
      </c>
      <c r="C13" s="350"/>
      <c r="D13" s="251"/>
      <c r="E13" s="116"/>
      <c r="F13" s="251"/>
      <c r="G13" s="252"/>
      <c r="H13" s="116"/>
      <c r="I13" s="252"/>
      <c r="J13" s="116"/>
      <c r="K13" s="117"/>
      <c r="L13" s="349">
        <f>L7/495*0.75</f>
        <v>1.1363636363636362</v>
      </c>
      <c r="M13" s="350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49">
        <f>16.5+6.7+B7*0.075*$D$48+0.0583*B7*$F$48+0.0583*B7*$H$48</f>
        <v>203.14599999999999</v>
      </c>
      <c r="C14" s="338"/>
      <c r="D14" s="340">
        <f>9.25+57.5+3.37</f>
        <v>70.12</v>
      </c>
      <c r="E14" s="340"/>
      <c r="F14" s="337">
        <f>25+1.2*F7*$D$48+0.5*F7*$F$48+F7*$H$48</f>
        <v>456</v>
      </c>
      <c r="G14" s="338"/>
      <c r="H14" s="350">
        <f>6.5+16.5+0.6667*H7*$F$48+1.333*H7*$H$48+3.37</f>
        <v>107.55774000000001</v>
      </c>
      <c r="I14" s="338"/>
      <c r="J14" s="350">
        <f>25+1.25*J7*$D$48+0.6*J7*$F$48+0.9*J7*$H$48</f>
        <v>245.14999999999998</v>
      </c>
      <c r="K14" s="426"/>
      <c r="L14" s="349">
        <f>16.5+6.7+0.08*L7*$D$48+0.0667*L7*$F$48+0.0667*L7*$H$48</f>
        <v>147.73375000000001</v>
      </c>
      <c r="M14" s="350"/>
      <c r="N14" s="340">
        <f>9.25+57.5+3.37</f>
        <v>70.12</v>
      </c>
      <c r="O14" s="340"/>
      <c r="P14" s="337">
        <f>12.5+P7*1.1765*$D$48+0.4706*P7*$F$48+0.7059*P7*$H$48</f>
        <v>175.10406499999999</v>
      </c>
      <c r="Q14" s="338"/>
      <c r="R14" s="350">
        <f>6.5+16.5+1.3333*R7*$F$48+2.6667*R7*$H$48+3.37</f>
        <v>107.57001000000001</v>
      </c>
      <c r="S14" s="338"/>
      <c r="T14" s="350">
        <f>12.5+1.2308*T7*$D$48+0.6154*T7*$F$48+0.9231*T7*$H$48</f>
        <v>156.10359</v>
      </c>
      <c r="U14" s="357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49">
        <f>(117.09+74.78)/2+23.75+7.2+14.53</f>
        <v>141.41499999999999</v>
      </c>
      <c r="C16" s="350"/>
      <c r="D16" s="337">
        <f>59.49+52.44+93.06</f>
        <v>204.99</v>
      </c>
      <c r="E16" s="350"/>
      <c r="F16" s="337">
        <f>43.75+8.32+15.75</f>
        <v>67.819999999999993</v>
      </c>
      <c r="G16" s="338"/>
      <c r="H16" s="350">
        <f>(46.55+34.03+44.9+44.01)/4+2.78+18</f>
        <v>63.152499999999996</v>
      </c>
      <c r="I16" s="338"/>
      <c r="J16" s="350">
        <f>17.85+11.15</f>
        <v>29</v>
      </c>
      <c r="K16" s="426"/>
      <c r="L16" s="349">
        <f>(127.18+117.9)/2+23.75+5.2+14.53</f>
        <v>166.02</v>
      </c>
      <c r="M16" s="350"/>
      <c r="N16" s="337">
        <f>71.24+52.44+54.02</f>
        <v>177.7</v>
      </c>
      <c r="O16" s="350"/>
      <c r="P16" s="337">
        <f>30.25+8.32+15.75</f>
        <v>54.32</v>
      </c>
      <c r="Q16" s="338"/>
      <c r="R16" s="350">
        <f>(43.05+34.03+44.9+44.01)/4+2.78</f>
        <v>44.277499999999996</v>
      </c>
      <c r="S16" s="338"/>
      <c r="T16" s="350">
        <f>17.85+11.15</f>
        <v>29</v>
      </c>
      <c r="U16" s="357"/>
      <c r="V16" s="100"/>
    </row>
    <row r="17" spans="1:38" x14ac:dyDescent="0.2">
      <c r="A17" s="105" t="s">
        <v>172</v>
      </c>
      <c r="B17" s="349"/>
      <c r="C17" s="350"/>
      <c r="D17" s="251"/>
      <c r="E17" s="116"/>
      <c r="F17" s="251"/>
      <c r="G17" s="252"/>
      <c r="H17" s="116"/>
      <c r="I17" s="252"/>
      <c r="J17" s="116"/>
      <c r="K17" s="117"/>
      <c r="L17" s="349"/>
      <c r="M17" s="350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38" x14ac:dyDescent="0.2">
      <c r="A18" s="105" t="s">
        <v>174</v>
      </c>
      <c r="B18" s="349">
        <f>Conventional!B17</f>
        <v>18</v>
      </c>
      <c r="C18" s="350"/>
      <c r="D18" s="337">
        <f>Conventional!D17</f>
        <v>18</v>
      </c>
      <c r="E18" s="338"/>
      <c r="F18" s="251"/>
      <c r="G18" s="252"/>
      <c r="H18" s="116"/>
      <c r="I18" s="252"/>
      <c r="J18" s="116"/>
      <c r="K18" s="117"/>
      <c r="L18" s="349">
        <f>Conventional!L17</f>
        <v>18</v>
      </c>
      <c r="M18" s="350"/>
      <c r="N18" s="337">
        <f>Conventional!N17</f>
        <v>18</v>
      </c>
      <c r="O18" s="338"/>
      <c r="P18" s="251"/>
      <c r="Q18" s="252"/>
      <c r="R18" s="116"/>
      <c r="S18" s="252"/>
      <c r="T18" s="116"/>
      <c r="U18" s="118"/>
      <c r="V18" s="100"/>
    </row>
    <row r="19" spans="1:38" x14ac:dyDescent="0.2">
      <c r="A19" s="105" t="s">
        <v>10</v>
      </c>
      <c r="B19" s="349">
        <f>Conventional!B18</f>
        <v>12.5</v>
      </c>
      <c r="C19" s="350"/>
      <c r="D19" s="337">
        <f>Conventional!D18</f>
        <v>12.5</v>
      </c>
      <c r="E19" s="338"/>
      <c r="F19" s="251"/>
      <c r="G19" s="252"/>
      <c r="H19" s="116"/>
      <c r="I19" s="252"/>
      <c r="J19" s="116"/>
      <c r="K19" s="117"/>
      <c r="L19" s="349">
        <f>Conventional!L18</f>
        <v>12.5</v>
      </c>
      <c r="M19" s="350"/>
      <c r="N19" s="337">
        <f>Conventional!N18</f>
        <v>12.5</v>
      </c>
      <c r="O19" s="338"/>
      <c r="P19" s="251"/>
      <c r="Q19" s="252"/>
      <c r="R19" s="116"/>
      <c r="S19" s="252"/>
      <c r="T19" s="116"/>
      <c r="U19" s="118"/>
      <c r="V19" s="100"/>
      <c r="AI19" s="177"/>
      <c r="AJ19" s="177"/>
      <c r="AK19" s="177"/>
      <c r="AL19" s="177"/>
    </row>
    <row r="20" spans="1:38" x14ac:dyDescent="0.2">
      <c r="A20" s="105" t="s">
        <v>32</v>
      </c>
      <c r="B20" s="349">
        <f>(4.5+6.4)*$B$50</f>
        <v>33.79</v>
      </c>
      <c r="C20" s="350"/>
      <c r="D20" s="337">
        <f>(4.7+7.9)*$B$50</f>
        <v>39.06</v>
      </c>
      <c r="E20" s="350"/>
      <c r="F20" s="337">
        <f>6.1*$B$50</f>
        <v>18.91</v>
      </c>
      <c r="G20" s="338"/>
      <c r="H20" s="350">
        <f>5.5*$B$50</f>
        <v>17.05</v>
      </c>
      <c r="I20" s="338"/>
      <c r="J20" s="350">
        <f>6.3*$B$50</f>
        <v>19.53</v>
      </c>
      <c r="K20" s="426"/>
      <c r="L20" s="349">
        <f>(4.5+6.4)*$B$50</f>
        <v>33.79</v>
      </c>
      <c r="M20" s="350"/>
      <c r="N20" s="337">
        <f>(4.7+7.9)*$B$50</f>
        <v>39.06</v>
      </c>
      <c r="O20" s="350"/>
      <c r="P20" s="337">
        <f>6.1*$B$50</f>
        <v>18.91</v>
      </c>
      <c r="Q20" s="338"/>
      <c r="R20" s="350">
        <f>5.5*$B$50</f>
        <v>17.05</v>
      </c>
      <c r="S20" s="338"/>
      <c r="T20" s="350">
        <f>6.3*$B$50</f>
        <v>19.53</v>
      </c>
      <c r="U20" s="357"/>
      <c r="V20" s="100"/>
      <c r="AI20" s="177"/>
      <c r="AJ20" s="177"/>
      <c r="AK20" s="177"/>
      <c r="AL20" s="177"/>
    </row>
    <row r="21" spans="1:38" x14ac:dyDescent="0.2">
      <c r="A21" s="105" t="s">
        <v>11</v>
      </c>
      <c r="B21" s="349">
        <f>12.97+29.15</f>
        <v>42.12</v>
      </c>
      <c r="C21" s="350"/>
      <c r="D21" s="337">
        <f>13.49+33.7</f>
        <v>47.190000000000005</v>
      </c>
      <c r="E21" s="338"/>
      <c r="F21" s="337">
        <f>10.2+9.64</f>
        <v>19.84</v>
      </c>
      <c r="G21" s="338"/>
      <c r="H21" s="337">
        <f>8.28+7.88</f>
        <v>16.16</v>
      </c>
      <c r="I21" s="338"/>
      <c r="J21" s="337">
        <f>10.63+5.66</f>
        <v>16.29</v>
      </c>
      <c r="K21" s="357"/>
      <c r="L21" s="349">
        <v>41.64</v>
      </c>
      <c r="M21" s="350"/>
      <c r="N21" s="337">
        <f>13.49+33.7</f>
        <v>47.190000000000005</v>
      </c>
      <c r="O21" s="338"/>
      <c r="P21" s="337">
        <f>10.2+9.64</f>
        <v>19.84</v>
      </c>
      <c r="Q21" s="338"/>
      <c r="R21" s="337">
        <f>8.28+7.88</f>
        <v>16.16</v>
      </c>
      <c r="S21" s="338"/>
      <c r="T21" s="337">
        <f>10.63+5.66</f>
        <v>16.29</v>
      </c>
      <c r="U21" s="357"/>
      <c r="V21" s="100"/>
      <c r="AI21" s="177"/>
      <c r="AJ21" s="177"/>
      <c r="AK21" s="177"/>
      <c r="AL21" s="177"/>
    </row>
    <row r="22" spans="1:38" x14ac:dyDescent="0.2">
      <c r="A22" s="105" t="s">
        <v>33</v>
      </c>
      <c r="B22" s="349">
        <f>((7*7)*0.67+(4.8*$B$50*7)*0.33)</f>
        <v>67.202799999999996</v>
      </c>
      <c r="C22" s="338"/>
      <c r="D22" s="337">
        <f>((7*5)*0.67+(4.8*$B$50*5)*0.33)</f>
        <v>48.002000000000002</v>
      </c>
      <c r="E22" s="338"/>
      <c r="F22" s="337">
        <f>((7*7)*0.67+(4.8*$B$50*7)*0.33)</f>
        <v>67.202799999999996</v>
      </c>
      <c r="G22" s="338"/>
      <c r="H22" s="337">
        <f>((7*4)*0.67+(4.8*$B$50*4)*0.33)</f>
        <v>38.401600000000002</v>
      </c>
      <c r="I22" s="338"/>
      <c r="J22" s="350">
        <f>((7*3)*0.67+(4.8*$B$50*3)*0.33)</f>
        <v>28.801200000000001</v>
      </c>
      <c r="K22" s="426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  <c r="AI22" s="177"/>
      <c r="AJ22" s="177"/>
      <c r="AK22" s="177"/>
      <c r="AL22" s="177"/>
    </row>
    <row r="23" spans="1:38" x14ac:dyDescent="0.2">
      <c r="A23" s="105" t="s">
        <v>13</v>
      </c>
      <c r="B23" s="349">
        <v>14.02</v>
      </c>
      <c r="C23" s="350"/>
      <c r="D23" s="337">
        <v>26.65</v>
      </c>
      <c r="E23" s="350"/>
      <c r="F23" s="337">
        <v>11.66</v>
      </c>
      <c r="G23" s="338"/>
      <c r="H23" s="350">
        <v>9.25</v>
      </c>
      <c r="I23" s="338"/>
      <c r="J23" s="350">
        <f>10.76</f>
        <v>10.76</v>
      </c>
      <c r="K23" s="357"/>
      <c r="L23" s="349">
        <v>14.02</v>
      </c>
      <c r="M23" s="350"/>
      <c r="N23" s="337">
        <v>26.65</v>
      </c>
      <c r="O23" s="350"/>
      <c r="P23" s="337">
        <v>11.66</v>
      </c>
      <c r="Q23" s="338"/>
      <c r="R23" s="350">
        <v>9.25</v>
      </c>
      <c r="S23" s="338"/>
      <c r="T23" s="350">
        <v>10.76</v>
      </c>
      <c r="U23" s="357"/>
      <c r="V23" s="100"/>
      <c r="AI23" s="177"/>
      <c r="AJ23" s="177"/>
      <c r="AK23" s="177"/>
      <c r="AL23" s="177"/>
    </row>
    <row r="24" spans="1:38" x14ac:dyDescent="0.2">
      <c r="A24" s="105" t="s">
        <v>14</v>
      </c>
      <c r="B24" s="350">
        <f>Conventional!B23</f>
        <v>19</v>
      </c>
      <c r="C24" s="338"/>
      <c r="D24" s="350">
        <f>Conventional!D23</f>
        <v>31</v>
      </c>
      <c r="E24" s="338"/>
      <c r="F24" s="350">
        <f>Conventional!F23</f>
        <v>21</v>
      </c>
      <c r="G24" s="338"/>
      <c r="H24" s="350">
        <f>Conventional!H23</f>
        <v>12</v>
      </c>
      <c r="I24" s="338"/>
      <c r="J24" s="350">
        <f>Conventional!J23</f>
        <v>27</v>
      </c>
      <c r="K24" s="426"/>
      <c r="L24" s="116">
        <f>Conventional!L23</f>
        <v>35</v>
      </c>
      <c r="M24" s="252"/>
      <c r="N24" s="350">
        <f>Conventional!N23</f>
        <v>43</v>
      </c>
      <c r="O24" s="338"/>
      <c r="P24" s="350">
        <f>Conventional!P23</f>
        <v>35</v>
      </c>
      <c r="Q24" s="338"/>
      <c r="R24" s="350">
        <f>Conventional!R23</f>
        <v>20</v>
      </c>
      <c r="S24" s="338"/>
      <c r="T24" s="350">
        <f>Conventional!T23</f>
        <v>24</v>
      </c>
      <c r="U24" s="357"/>
      <c r="V24" s="100"/>
    </row>
    <row r="25" spans="1:38" x14ac:dyDescent="0.2">
      <c r="A25" s="105" t="s">
        <v>126</v>
      </c>
      <c r="B25" s="349"/>
      <c r="C25" s="338"/>
      <c r="D25" s="337"/>
      <c r="E25" s="338"/>
      <c r="F25" s="337"/>
      <c r="G25" s="338"/>
      <c r="H25" s="337"/>
      <c r="I25" s="338"/>
      <c r="J25" s="337"/>
      <c r="K25" s="426"/>
      <c r="L25" s="349"/>
      <c r="M25" s="338"/>
      <c r="N25" s="337"/>
      <c r="O25" s="338"/>
      <c r="P25" s="337"/>
      <c r="Q25" s="338"/>
      <c r="R25" s="337"/>
      <c r="S25" s="338"/>
      <c r="T25" s="337"/>
      <c r="U25" s="357"/>
      <c r="V25" s="100"/>
    </row>
    <row r="26" spans="1:38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38" x14ac:dyDescent="0.2">
      <c r="A27" s="105" t="s">
        <v>17</v>
      </c>
      <c r="B27" s="390">
        <f>(SUM(B11:B26))*0.5*0.055</f>
        <v>18.095329499999998</v>
      </c>
      <c r="C27" s="368"/>
      <c r="D27" s="414">
        <f>(SUM(D11:D26))*0.5*0.055</f>
        <v>17.069579999999998</v>
      </c>
      <c r="E27" s="368"/>
      <c r="F27" s="414">
        <f>(SUM(F11:F26))*0.5*0.055</f>
        <v>21.560902000000002</v>
      </c>
      <c r="G27" s="415"/>
      <c r="H27" s="368">
        <f>(SUM(H11:H26))*0.5*0.055</f>
        <v>8.9463506000000024</v>
      </c>
      <c r="I27" s="415"/>
      <c r="J27" s="368">
        <f>(SUM(J11:J26))*0.5*0.055</f>
        <v>11.042107999999999</v>
      </c>
      <c r="K27" s="427"/>
      <c r="L27" s="390">
        <f>(SUM(L11:L26))*0.5*0.055</f>
        <v>15.808103125000004</v>
      </c>
      <c r="M27" s="368"/>
      <c r="N27" s="414">
        <f>(SUM(N11:N26))*0.5*0.055</f>
        <v>15.329049999999999</v>
      </c>
      <c r="O27" s="368"/>
      <c r="P27" s="414">
        <f>(SUM(P11:P26))*0.5*0.055</f>
        <v>10.8166867875</v>
      </c>
      <c r="Q27" s="415"/>
      <c r="R27" s="368">
        <f>(SUM(R11:R26))*0.5*0.055</f>
        <v>7.5915815250000014</v>
      </c>
      <c r="S27" s="415"/>
      <c r="T27" s="368">
        <f>(SUM(T11:T26))*0.5*0.055</f>
        <v>7.4437987249999997</v>
      </c>
      <c r="U27" s="369"/>
      <c r="V27" s="100"/>
    </row>
    <row r="28" spans="1:38" x14ac:dyDescent="0.2">
      <c r="A28" s="105" t="s">
        <v>171</v>
      </c>
      <c r="B28" s="390">
        <f>0.0395*B7</f>
        <v>47.4</v>
      </c>
      <c r="C28" s="368"/>
      <c r="D28" s="253"/>
      <c r="E28" s="120"/>
      <c r="F28" s="253"/>
      <c r="G28" s="254"/>
      <c r="H28" s="120"/>
      <c r="I28" s="254"/>
      <c r="J28" s="120"/>
      <c r="K28" s="121"/>
      <c r="L28" s="390">
        <f>0.0395*L7</f>
        <v>29.625</v>
      </c>
      <c r="M28" s="368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38" x14ac:dyDescent="0.2">
      <c r="A29" s="105" t="s">
        <v>15</v>
      </c>
      <c r="B29" s="123"/>
      <c r="C29" s="120"/>
      <c r="D29" s="414">
        <f>D7/2000*0.33*20+D7/2000*0.67*30</f>
        <v>62.745000000000005</v>
      </c>
      <c r="E29" s="368"/>
      <c r="F29" s="414">
        <f>F7*1.0975*0.28</f>
        <v>61.46</v>
      </c>
      <c r="G29" s="415"/>
      <c r="H29" s="120"/>
      <c r="I29" s="254"/>
      <c r="J29" s="368">
        <f>J7*1.0975*0.28</f>
        <v>30.73</v>
      </c>
      <c r="K29" s="427"/>
      <c r="L29" s="120"/>
      <c r="M29" s="120"/>
      <c r="N29" s="414">
        <f>N7/2000*0.33*20+N7/2000*0.67*30</f>
        <v>45.39</v>
      </c>
      <c r="O29" s="368"/>
      <c r="P29" s="414">
        <f>P7*1.0975*0.28</f>
        <v>26.1205</v>
      </c>
      <c r="Q29" s="415"/>
      <c r="R29" s="120"/>
      <c r="S29" s="254"/>
      <c r="T29" s="368">
        <f>T7*1.0975*0.28</f>
        <v>19.974499999999999</v>
      </c>
      <c r="U29" s="369"/>
      <c r="V29" s="100"/>
    </row>
    <row r="30" spans="1:38" x14ac:dyDescent="0.2">
      <c r="A30" s="105" t="s">
        <v>18</v>
      </c>
      <c r="B30" s="123"/>
      <c r="C30" s="120"/>
      <c r="D30" s="423">
        <f>D7/2000*3+D7/2000*355*0.01</f>
        <v>15.3925</v>
      </c>
      <c r="E30" s="352"/>
      <c r="F30" s="253"/>
      <c r="G30" s="254"/>
      <c r="H30" s="120"/>
      <c r="I30" s="254"/>
      <c r="J30" s="120"/>
      <c r="K30" s="121"/>
      <c r="L30" s="120"/>
      <c r="M30" s="120"/>
      <c r="N30" s="423">
        <f>N7/2000*3+N7/2000*355*0.01</f>
        <v>11.135</v>
      </c>
      <c r="O30" s="352"/>
      <c r="P30" s="253"/>
      <c r="Q30" s="254"/>
      <c r="R30" s="120"/>
      <c r="S30" s="254"/>
      <c r="T30" s="120"/>
      <c r="U30" s="124"/>
      <c r="V30" s="100"/>
    </row>
    <row r="31" spans="1:38" ht="15" thickBot="1" x14ac:dyDescent="0.25">
      <c r="A31" s="125" t="s">
        <v>157</v>
      </c>
      <c r="B31" s="364">
        <f t="shared" ref="B31:T31" si="0">SUM(B11:B30)</f>
        <v>723.50731131818179</v>
      </c>
      <c r="C31" s="363"/>
      <c r="D31" s="418">
        <f t="shared" si="0"/>
        <v>715.91908000000001</v>
      </c>
      <c r="E31" s="363"/>
      <c r="F31" s="418">
        <f t="shared" si="0"/>
        <v>867.05370200000016</v>
      </c>
      <c r="G31" s="419"/>
      <c r="H31" s="363">
        <f t="shared" si="0"/>
        <v>334.26819060000008</v>
      </c>
      <c r="I31" s="419"/>
      <c r="J31" s="363">
        <f t="shared" si="0"/>
        <v>443.30330799999996</v>
      </c>
      <c r="K31" s="413"/>
      <c r="L31" s="364">
        <f t="shared" si="0"/>
        <v>620.27321676136376</v>
      </c>
      <c r="M31" s="363"/>
      <c r="N31" s="418">
        <f t="shared" si="0"/>
        <v>629.27404999999999</v>
      </c>
      <c r="O31" s="363"/>
      <c r="P31" s="418">
        <f t="shared" si="0"/>
        <v>430.27125178749998</v>
      </c>
      <c r="Q31" s="419"/>
      <c r="R31" s="363">
        <f t="shared" si="0"/>
        <v>283.64909152500002</v>
      </c>
      <c r="S31" s="419"/>
      <c r="T31" s="363">
        <f t="shared" si="0"/>
        <v>298.10188872499998</v>
      </c>
      <c r="U31" s="366"/>
      <c r="V31" s="100"/>
    </row>
    <row r="32" spans="1:38" x14ac:dyDescent="0.2">
      <c r="A32" s="126" t="s">
        <v>163</v>
      </c>
      <c r="B32" s="391">
        <f t="shared" ref="B32:T32" si="1">B9-B31</f>
        <v>296.49268868181821</v>
      </c>
      <c r="C32" s="372"/>
      <c r="D32" s="416">
        <f t="shared" si="1"/>
        <v>318.08091999999999</v>
      </c>
      <c r="E32" s="372"/>
      <c r="F32" s="416">
        <f t="shared" si="1"/>
        <v>232.94629799999984</v>
      </c>
      <c r="G32" s="417"/>
      <c r="H32" s="372">
        <f t="shared" si="1"/>
        <v>325.73180939999992</v>
      </c>
      <c r="I32" s="417"/>
      <c r="J32" s="372">
        <f t="shared" si="1"/>
        <v>56.696692000000041</v>
      </c>
      <c r="K32" s="432"/>
      <c r="L32" s="391">
        <f t="shared" si="1"/>
        <v>17.226783238636244</v>
      </c>
      <c r="M32" s="372"/>
      <c r="N32" s="416">
        <f t="shared" si="1"/>
        <v>118.72595000000001</v>
      </c>
      <c r="O32" s="372"/>
      <c r="P32" s="416">
        <f t="shared" si="1"/>
        <v>37.228748212500022</v>
      </c>
      <c r="Q32" s="417"/>
      <c r="R32" s="372">
        <f t="shared" si="1"/>
        <v>46.350908474999983</v>
      </c>
      <c r="S32" s="417"/>
      <c r="T32" s="372">
        <f t="shared" si="1"/>
        <v>26.898111275000019</v>
      </c>
      <c r="U32" s="373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0.60292275943181817</v>
      </c>
      <c r="C33" s="129" t="s">
        <v>159</v>
      </c>
      <c r="D33" s="239">
        <f>D31/D7*2000</f>
        <v>304.64641702127659</v>
      </c>
      <c r="E33" s="129" t="s">
        <v>160</v>
      </c>
      <c r="F33" s="240">
        <f>F31/F7</f>
        <v>4.3352685100000006</v>
      </c>
      <c r="G33" s="238" t="s">
        <v>162</v>
      </c>
      <c r="H33" s="130">
        <f>H31/H7</f>
        <v>5.5711365100000014</v>
      </c>
      <c r="I33" s="238" t="s">
        <v>162</v>
      </c>
      <c r="J33" s="130">
        <f>J31/J7</f>
        <v>4.4330330799999995</v>
      </c>
      <c r="K33" s="131" t="s">
        <v>162</v>
      </c>
      <c r="L33" s="130">
        <f>L31/L7</f>
        <v>0.82703095568181839</v>
      </c>
      <c r="M33" s="129" t="s">
        <v>159</v>
      </c>
      <c r="N33" s="260">
        <f>N31/N7*2000</f>
        <v>370.16120588235299</v>
      </c>
      <c r="O33" s="129" t="s">
        <v>160</v>
      </c>
      <c r="P33" s="240">
        <f>P31/P7</f>
        <v>5.0620147269117641</v>
      </c>
      <c r="Q33" s="238" t="s">
        <v>162</v>
      </c>
      <c r="R33" s="130">
        <f>R31/R7</f>
        <v>9.4549697175000009</v>
      </c>
      <c r="S33" s="238" t="s">
        <v>162</v>
      </c>
      <c r="T33" s="130">
        <f>T31/T7</f>
        <v>4.5861829034615385</v>
      </c>
      <c r="U33" s="132" t="s">
        <v>162</v>
      </c>
      <c r="V33" s="100"/>
    </row>
    <row r="34" spans="1:34" x14ac:dyDescent="0.2">
      <c r="A34" s="322" t="str">
        <f>Conventional!A33</f>
        <v>BREAKEVEN YIELD per ACRE (Variable Cost)</v>
      </c>
      <c r="B34" s="328">
        <f>B31/B8</f>
        <v>851.1850721390374</v>
      </c>
      <c r="C34" s="329" t="s">
        <v>158</v>
      </c>
      <c r="D34" s="330">
        <f>D31/D8*2000</f>
        <v>3254.1776363636363</v>
      </c>
      <c r="E34" s="329" t="s">
        <v>158</v>
      </c>
      <c r="F34" s="330">
        <f>F31/F8</f>
        <v>157.64612763636367</v>
      </c>
      <c r="G34" s="331" t="s">
        <v>161</v>
      </c>
      <c r="H34" s="330">
        <f>H31/H8</f>
        <v>30.388017327272735</v>
      </c>
      <c r="I34" s="331" t="s">
        <v>161</v>
      </c>
      <c r="J34" s="330">
        <f>J31/J8</f>
        <v>88.660661599999997</v>
      </c>
      <c r="K34" s="332" t="s">
        <v>161</v>
      </c>
      <c r="L34" s="328">
        <f>L31/L8</f>
        <v>729.73319618983976</v>
      </c>
      <c r="M34" s="329" t="s">
        <v>158</v>
      </c>
      <c r="N34" s="330">
        <f>N31/N8*2000</f>
        <v>2860.3365909090908</v>
      </c>
      <c r="O34" s="329" t="s">
        <v>158</v>
      </c>
      <c r="P34" s="330">
        <f>P31/P8</f>
        <v>78.231136688636354</v>
      </c>
      <c r="Q34" s="331" t="s">
        <v>161</v>
      </c>
      <c r="R34" s="330">
        <f>R31/R8</f>
        <v>25.786281047727275</v>
      </c>
      <c r="S34" s="331" t="s">
        <v>161</v>
      </c>
      <c r="T34" s="330">
        <f>T31/T8</f>
        <v>59.620377744999999</v>
      </c>
      <c r="U34" s="333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49">
        <f>44.47+138.49</f>
        <v>182.96</v>
      </c>
      <c r="C36" s="350"/>
      <c r="D36" s="337">
        <f>34.58+102.04</f>
        <v>136.62</v>
      </c>
      <c r="E36" s="350"/>
      <c r="F36" s="337">
        <f>27.27+47.88</f>
        <v>75.150000000000006</v>
      </c>
      <c r="G36" s="338"/>
      <c r="H36" s="350">
        <f>23.37+37.28</f>
        <v>60.650000000000006</v>
      </c>
      <c r="I36" s="338"/>
      <c r="J36" s="350">
        <f>28.28+25.6</f>
        <v>53.88</v>
      </c>
      <c r="K36" s="357"/>
      <c r="L36" s="349">
        <f>B36</f>
        <v>182.96</v>
      </c>
      <c r="M36" s="350"/>
      <c r="N36" s="337">
        <f>34.58+102.04</f>
        <v>136.62</v>
      </c>
      <c r="O36" s="350"/>
      <c r="P36" s="337">
        <f>27.27+47.88</f>
        <v>75.150000000000006</v>
      </c>
      <c r="Q36" s="338"/>
      <c r="R36" s="350">
        <f>23.37+37.28</f>
        <v>60.650000000000006</v>
      </c>
      <c r="S36" s="338"/>
      <c r="T36" s="350">
        <f>J36</f>
        <v>53.88</v>
      </c>
      <c r="U36" s="357"/>
      <c r="V36" s="100"/>
    </row>
    <row r="37" spans="1:34" x14ac:dyDescent="0.2">
      <c r="A37" s="105" t="s">
        <v>12</v>
      </c>
      <c r="B37" s="349">
        <f>Conventional!B36</f>
        <v>135</v>
      </c>
      <c r="C37" s="350"/>
      <c r="D37" s="337">
        <f>Conventional!D36</f>
        <v>135</v>
      </c>
      <c r="E37" s="350"/>
      <c r="F37" s="337">
        <f>Conventional!F36</f>
        <v>135</v>
      </c>
      <c r="G37" s="338"/>
      <c r="H37" s="350">
        <f>Conventional!H36</f>
        <v>135</v>
      </c>
      <c r="I37" s="338"/>
      <c r="J37" s="350">
        <f>Conventional!J36</f>
        <v>135</v>
      </c>
      <c r="K37" s="426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51">
        <f>0.05*B31</f>
        <v>36.17536556590909</v>
      </c>
      <c r="C39" s="352"/>
      <c r="D39" s="423">
        <f>0.05*D31</f>
        <v>35.795954000000002</v>
      </c>
      <c r="E39" s="352"/>
      <c r="F39" s="423">
        <f>0.05*F31</f>
        <v>43.352685100000009</v>
      </c>
      <c r="G39" s="428"/>
      <c r="H39" s="352">
        <f>0.05*H31</f>
        <v>16.713409530000003</v>
      </c>
      <c r="I39" s="428"/>
      <c r="J39" s="352">
        <f>0.05*J31</f>
        <v>22.165165399999999</v>
      </c>
      <c r="K39" s="430"/>
      <c r="L39" s="351">
        <f>0.05*L31</f>
        <v>31.013660838068191</v>
      </c>
      <c r="M39" s="352"/>
      <c r="N39" s="423">
        <f>0.05*N31</f>
        <v>31.4637025</v>
      </c>
      <c r="O39" s="352"/>
      <c r="P39" s="423">
        <f>0.05*P31</f>
        <v>21.513562589374999</v>
      </c>
      <c r="Q39" s="428"/>
      <c r="R39" s="352">
        <f>0.05*R31</f>
        <v>14.182454576250002</v>
      </c>
      <c r="S39" s="428"/>
      <c r="T39" s="352">
        <f>0.05*T31</f>
        <v>14.90509443625</v>
      </c>
      <c r="U39" s="361"/>
      <c r="V39" s="100"/>
    </row>
    <row r="40" spans="1:34" x14ac:dyDescent="0.2">
      <c r="A40" s="133" t="s">
        <v>165</v>
      </c>
      <c r="B40" s="353">
        <f>SUM(B36:B39)</f>
        <v>354.13536556590913</v>
      </c>
      <c r="C40" s="354"/>
      <c r="D40" s="421">
        <f>SUM(D36:D39)</f>
        <v>307.415954</v>
      </c>
      <c r="E40" s="354"/>
      <c r="F40" s="421">
        <f>SUM(F36:F39)</f>
        <v>253.50268510000001</v>
      </c>
      <c r="G40" s="429"/>
      <c r="H40" s="354">
        <f>SUM(H36:H39)</f>
        <v>212.36340953000001</v>
      </c>
      <c r="I40" s="429"/>
      <c r="J40" s="354">
        <f>SUM(J36:J39)</f>
        <v>211.0451654</v>
      </c>
      <c r="K40" s="431"/>
      <c r="L40" s="353">
        <f>SUM(L36:L39)</f>
        <v>213.97366083806821</v>
      </c>
      <c r="M40" s="354"/>
      <c r="N40" s="421">
        <f>SUM(N36:N39)</f>
        <v>168.08370250000002</v>
      </c>
      <c r="O40" s="354"/>
      <c r="P40" s="421">
        <f>SUM(P36:P39)</f>
        <v>96.663562589375005</v>
      </c>
      <c r="Q40" s="429"/>
      <c r="R40" s="354">
        <f>SUM(R36:R39)</f>
        <v>74.832454576250001</v>
      </c>
      <c r="S40" s="429"/>
      <c r="T40" s="354">
        <f>SUM(T36:T39)</f>
        <v>68.785094436250006</v>
      </c>
      <c r="U40" s="360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5" thickBot="1" x14ac:dyDescent="0.25">
      <c r="A42" s="139" t="s">
        <v>166</v>
      </c>
      <c r="B42" s="364">
        <f>B40+B31</f>
        <v>1077.6426768840909</v>
      </c>
      <c r="C42" s="363"/>
      <c r="D42" s="418">
        <f>D40+D31</f>
        <v>1023.335034</v>
      </c>
      <c r="E42" s="363"/>
      <c r="F42" s="418">
        <f>F40+F31</f>
        <v>1120.5563871000002</v>
      </c>
      <c r="G42" s="419"/>
      <c r="H42" s="363">
        <f>H40+H31</f>
        <v>546.63160013000015</v>
      </c>
      <c r="I42" s="419"/>
      <c r="J42" s="363">
        <f>J40+J31</f>
        <v>654.34847339999999</v>
      </c>
      <c r="K42" s="413"/>
      <c r="L42" s="364">
        <f>L40+L31</f>
        <v>834.24687759943197</v>
      </c>
      <c r="M42" s="363"/>
      <c r="N42" s="418">
        <f>N40+N31</f>
        <v>797.35775250000006</v>
      </c>
      <c r="O42" s="363"/>
      <c r="P42" s="418">
        <f>P40+P31</f>
        <v>526.93481437687501</v>
      </c>
      <c r="Q42" s="419"/>
      <c r="R42" s="363">
        <f>R40+R31</f>
        <v>358.48154610125005</v>
      </c>
      <c r="S42" s="419"/>
      <c r="T42" s="363">
        <f>T40+T31</f>
        <v>366.88698316124999</v>
      </c>
      <c r="U42" s="366"/>
      <c r="V42" s="100"/>
    </row>
    <row r="43" spans="1:34" ht="15" thickBot="1" x14ac:dyDescent="0.25">
      <c r="A43" s="140" t="s">
        <v>167</v>
      </c>
      <c r="B43" s="355">
        <f>B9-B42</f>
        <v>-57.642676884090861</v>
      </c>
      <c r="C43" s="356"/>
      <c r="D43" s="424">
        <f>D9-D42</f>
        <v>10.664966000000049</v>
      </c>
      <c r="E43" s="356"/>
      <c r="F43" s="424">
        <f>F9-F42</f>
        <v>-20.556387100000165</v>
      </c>
      <c r="G43" s="425"/>
      <c r="H43" s="356">
        <f>H9-H42</f>
        <v>113.36839986999985</v>
      </c>
      <c r="I43" s="425"/>
      <c r="J43" s="356">
        <f>J9-J42</f>
        <v>-154.34847339999999</v>
      </c>
      <c r="K43" s="412"/>
      <c r="L43" s="355">
        <f>L9-L42</f>
        <v>-196.74687759943197</v>
      </c>
      <c r="M43" s="356"/>
      <c r="N43" s="424">
        <f>N9-N42</f>
        <v>-49.357752500000061</v>
      </c>
      <c r="O43" s="356"/>
      <c r="P43" s="424">
        <f>P9-P42</f>
        <v>-59.434814376875011</v>
      </c>
      <c r="Q43" s="425"/>
      <c r="R43" s="356">
        <f>R9-R42</f>
        <v>-28.481546101250046</v>
      </c>
      <c r="S43" s="425"/>
      <c r="T43" s="356">
        <f>T9-T42</f>
        <v>-41.886983161249987</v>
      </c>
      <c r="U43" s="367"/>
      <c r="V43" s="100"/>
    </row>
    <row r="44" spans="1:34" ht="1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0.89803556407007568</v>
      </c>
      <c r="C45" s="146" t="s">
        <v>159</v>
      </c>
      <c r="D45" s="242">
        <f>D42/D7*2000</f>
        <v>435.46171659574469</v>
      </c>
      <c r="E45" s="129" t="s">
        <v>160</v>
      </c>
      <c r="F45" s="243">
        <f>F42/F7</f>
        <v>5.6027819355000013</v>
      </c>
      <c r="G45" s="238" t="s">
        <v>162</v>
      </c>
      <c r="H45" s="147">
        <f>H42/H7</f>
        <v>9.1105266688333355</v>
      </c>
      <c r="I45" s="238" t="s">
        <v>162</v>
      </c>
      <c r="J45" s="147">
        <f>J42/J7</f>
        <v>6.5434847339999997</v>
      </c>
      <c r="K45" s="131" t="s">
        <v>162</v>
      </c>
      <c r="L45" s="147">
        <f>L42/L7</f>
        <v>1.1123291701325759</v>
      </c>
      <c r="M45" s="146" t="s">
        <v>159</v>
      </c>
      <c r="N45" s="242">
        <f>N42/N7*2000</f>
        <v>469.03397205882357</v>
      </c>
      <c r="O45" s="129" t="s">
        <v>160</v>
      </c>
      <c r="P45" s="243">
        <f>P42/P7</f>
        <v>6.1992331103161762</v>
      </c>
      <c r="Q45" s="238" t="s">
        <v>162</v>
      </c>
      <c r="R45" s="147">
        <f>R42/R7</f>
        <v>11.949384870041667</v>
      </c>
      <c r="S45" s="238" t="s">
        <v>162</v>
      </c>
      <c r="T45" s="147">
        <f>T42/T7</f>
        <v>5.6444151255576918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1267.8149139812833</v>
      </c>
      <c r="C46" s="150" t="s">
        <v>158</v>
      </c>
      <c r="D46" s="245">
        <f>D42/D8*2000</f>
        <v>4651.5228818181822</v>
      </c>
      <c r="E46" s="150" t="s">
        <v>158</v>
      </c>
      <c r="F46" s="246">
        <f>F42/F8</f>
        <v>203.73752492727274</v>
      </c>
      <c r="G46" s="238" t="s">
        <v>161</v>
      </c>
      <c r="H46" s="151">
        <f>H42/H8</f>
        <v>49.693781830000013</v>
      </c>
      <c r="I46" s="238" t="s">
        <v>161</v>
      </c>
      <c r="J46" s="151">
        <f>J42/J8</f>
        <v>130.86969468000001</v>
      </c>
      <c r="K46" s="131" t="s">
        <v>161</v>
      </c>
      <c r="L46" s="151">
        <f>L42/L8</f>
        <v>981.46691482286121</v>
      </c>
      <c r="M46" s="150" t="s">
        <v>158</v>
      </c>
      <c r="N46" s="245">
        <f>N42/N8*2000</f>
        <v>3624.3534204545454</v>
      </c>
      <c r="O46" s="150" t="s">
        <v>158</v>
      </c>
      <c r="P46" s="246">
        <f>P42/P8</f>
        <v>95.806329886704546</v>
      </c>
      <c r="Q46" s="238" t="s">
        <v>161</v>
      </c>
      <c r="R46" s="151">
        <f>R42/R8</f>
        <v>32.589231463750004</v>
      </c>
      <c r="S46" s="238" t="s">
        <v>161</v>
      </c>
      <c r="T46" s="151">
        <f>T42/T8</f>
        <v>73.377396632249997</v>
      </c>
      <c r="U46" s="132" t="s">
        <v>161</v>
      </c>
      <c r="V46" s="100"/>
    </row>
    <row r="47" spans="1:34" s="154" customFormat="1" ht="12" x14ac:dyDescent="0.15">
      <c r="A47" s="422" t="s">
        <v>177</v>
      </c>
      <c r="B47" s="422"/>
      <c r="C47" s="422"/>
      <c r="D47" s="422"/>
      <c r="E47" s="422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15">
      <c r="A48" s="97" t="s">
        <v>178</v>
      </c>
      <c r="B48" s="97"/>
      <c r="C48" s="155" t="s">
        <v>169</v>
      </c>
      <c r="D48" s="236">
        <f>Conventional!D46</f>
        <v>0.95</v>
      </c>
      <c r="E48" s="156" t="s">
        <v>65</v>
      </c>
      <c r="F48" s="247">
        <f>Conventional!F46</f>
        <v>0.67</v>
      </c>
      <c r="G48" s="156" t="s">
        <v>66</v>
      </c>
      <c r="H48" s="247">
        <f>Conventional!H46</f>
        <v>0.68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15">
      <c r="A49" s="420" t="str">
        <f>Conventional!A48</f>
        <v>*** Weighted average of diesel and electric irrigation application costs.  Electric is estimated at $7/appl and diesel is estimated at $13/appl when diesel cost $3/gal.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15">
      <c r="A50" s="158" t="s">
        <v>152</v>
      </c>
      <c r="B50" s="159">
        <f>Conventional!B47</f>
        <v>3.1</v>
      </c>
      <c r="C50" s="420" t="s">
        <v>67</v>
      </c>
      <c r="D50" s="420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29">
    <mergeCell ref="J1:U2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9" zoomScale="160" zoomScaleNormal="160" zoomScalePageLayoutView="160" workbookViewId="0">
      <selection activeCell="B28" sqref="B28"/>
    </sheetView>
  </sheetViews>
  <sheetFormatPr baseColWidth="10" defaultColWidth="8.83203125" defaultRowHeight="13" x14ac:dyDescent="0.15"/>
  <cols>
    <col min="1" max="1" width="32.1640625" style="200" bestFit="1" customWidth="1"/>
    <col min="2" max="2" width="22" style="200" bestFit="1" customWidth="1"/>
    <col min="3" max="3" width="16.6640625" style="199" customWidth="1"/>
    <col min="4" max="8" width="8.83203125" style="199"/>
    <col min="9" max="9" width="12.1640625" style="199" customWidth="1"/>
    <col min="10" max="16384" width="8.83203125" style="200"/>
  </cols>
  <sheetData>
    <row r="1" spans="1:9" hidden="1" x14ac:dyDescent="0.15">
      <c r="A1" s="446" t="s">
        <v>141</v>
      </c>
      <c r="B1" s="446"/>
    </row>
    <row r="2" spans="1:9" hidden="1" x14ac:dyDescent="0.15">
      <c r="A2" s="59" t="s">
        <v>143</v>
      </c>
      <c r="B2" s="201">
        <v>420000</v>
      </c>
    </row>
    <row r="3" spans="1:9" hidden="1" x14ac:dyDescent="0.15">
      <c r="A3" s="59" t="s">
        <v>142</v>
      </c>
      <c r="B3" s="202">
        <v>0.25</v>
      </c>
    </row>
    <row r="4" spans="1:9" hidden="1" x14ac:dyDescent="0.15">
      <c r="A4" s="59" t="s">
        <v>144</v>
      </c>
      <c r="B4" s="203">
        <f>B2*B3</f>
        <v>105000</v>
      </c>
    </row>
    <row r="5" spans="1:9" hidden="1" x14ac:dyDescent="0.15">
      <c r="A5" s="59" t="s">
        <v>145</v>
      </c>
      <c r="B5" s="204">
        <v>100</v>
      </c>
    </row>
    <row r="6" spans="1:9" hidden="1" x14ac:dyDescent="0.15">
      <c r="A6" s="59" t="s">
        <v>132</v>
      </c>
      <c r="B6" s="204">
        <f>B4/B5</f>
        <v>1050</v>
      </c>
    </row>
    <row r="7" spans="1:9" hidden="1" x14ac:dyDescent="0.15">
      <c r="A7" s="59"/>
      <c r="B7" s="204"/>
    </row>
    <row r="8" spans="1:9" hidden="1" x14ac:dyDescent="0.15">
      <c r="A8" s="199"/>
      <c r="B8" s="204"/>
    </row>
    <row r="9" spans="1:9" ht="14" x14ac:dyDescent="0.15">
      <c r="A9" s="449" t="s">
        <v>135</v>
      </c>
      <c r="B9" s="449"/>
    </row>
    <row r="10" spans="1:9" ht="14" x14ac:dyDescent="0.15">
      <c r="A10" s="205" t="s">
        <v>139</v>
      </c>
      <c r="B10" s="206">
        <v>4700</v>
      </c>
      <c r="D10" s="448" t="s">
        <v>146</v>
      </c>
      <c r="E10" s="448"/>
      <c r="F10" s="448"/>
      <c r="G10" s="448"/>
      <c r="H10" s="448"/>
      <c r="I10" s="448"/>
    </row>
    <row r="11" spans="1:9" ht="14" x14ac:dyDescent="0.15">
      <c r="A11" s="207" t="s">
        <v>132</v>
      </c>
      <c r="B11" s="207" t="s">
        <v>133</v>
      </c>
    </row>
    <row r="12" spans="1:9" x14ac:dyDescent="0.15">
      <c r="A12" s="208">
        <f>0.5*B10</f>
        <v>2350</v>
      </c>
      <c r="B12" s="209">
        <v>440</v>
      </c>
      <c r="D12" s="448" t="s">
        <v>147</v>
      </c>
      <c r="E12" s="448"/>
      <c r="F12" s="448"/>
      <c r="G12" s="448"/>
      <c r="H12" s="448"/>
      <c r="I12" s="448"/>
    </row>
    <row r="13" spans="1:9" x14ac:dyDescent="0.15">
      <c r="A13" s="210">
        <v>0</v>
      </c>
      <c r="B13" s="211"/>
      <c r="D13" s="448"/>
      <c r="E13" s="448"/>
      <c r="F13" s="448"/>
      <c r="G13" s="448"/>
      <c r="H13" s="448"/>
      <c r="I13" s="448"/>
    </row>
    <row r="14" spans="1:9" x14ac:dyDescent="0.15">
      <c r="A14" s="212">
        <v>0</v>
      </c>
      <c r="B14" s="213"/>
      <c r="D14" s="448"/>
      <c r="E14" s="448"/>
      <c r="F14" s="448"/>
      <c r="G14" s="448"/>
      <c r="H14" s="448"/>
      <c r="I14" s="448"/>
    </row>
    <row r="15" spans="1:9" ht="28" x14ac:dyDescent="0.15">
      <c r="A15" s="214" t="s">
        <v>131</v>
      </c>
      <c r="B15" s="215" t="s">
        <v>134</v>
      </c>
    </row>
    <row r="16" spans="1:9" x14ac:dyDescent="0.15">
      <c r="A16" s="216">
        <f>B10-(SUM('Peanut Price Calculator'!A12:A14))</f>
        <v>2350</v>
      </c>
      <c r="B16" s="217">
        <v>440</v>
      </c>
      <c r="D16" s="448" t="s">
        <v>148</v>
      </c>
      <c r="E16" s="448"/>
      <c r="F16" s="448"/>
      <c r="G16" s="448"/>
      <c r="H16" s="448"/>
      <c r="I16" s="448"/>
    </row>
    <row r="17" spans="1:9" ht="14" x14ac:dyDescent="0.15">
      <c r="A17" s="218" t="s">
        <v>137</v>
      </c>
      <c r="B17" s="219">
        <f>(A12/(SUM(A12:A14,A16:A16))*B12+A13/(SUM(A12:A14,A16:A16))*B13+A14/(SUM(A12:A14,A16:A16))*B14+A16/(SUM(A12:A14,A16:A16))*B16)</f>
        <v>440</v>
      </c>
    </row>
    <row r="18" spans="1:9" x14ac:dyDescent="0.15">
      <c r="A18" s="220"/>
      <c r="B18" s="221"/>
    </row>
    <row r="19" spans="1:9" s="199" customFormat="1" x14ac:dyDescent="0.15"/>
    <row r="20" spans="1:9" s="199" customFormat="1" x14ac:dyDescent="0.15">
      <c r="A20" s="447" t="s">
        <v>138</v>
      </c>
      <c r="B20" s="447"/>
    </row>
    <row r="21" spans="1:9" s="199" customFormat="1" ht="14" x14ac:dyDescent="0.15">
      <c r="A21" s="205" t="s">
        <v>140</v>
      </c>
      <c r="B21" s="222">
        <v>3400</v>
      </c>
      <c r="D21" s="448" t="s">
        <v>149</v>
      </c>
      <c r="E21" s="448"/>
      <c r="F21" s="448"/>
      <c r="G21" s="448"/>
      <c r="H21" s="448"/>
      <c r="I21" s="448"/>
    </row>
    <row r="22" spans="1:9" s="199" customFormat="1" ht="14" x14ac:dyDescent="0.15">
      <c r="A22" s="207" t="s">
        <v>132</v>
      </c>
      <c r="B22" s="207" t="s">
        <v>133</v>
      </c>
    </row>
    <row r="23" spans="1:9" s="199" customFormat="1" x14ac:dyDescent="0.15">
      <c r="A23" s="223">
        <f>0.5*B21</f>
        <v>1700</v>
      </c>
      <c r="B23" s="224">
        <v>440</v>
      </c>
      <c r="D23" s="448" t="s">
        <v>150</v>
      </c>
      <c r="E23" s="448"/>
      <c r="F23" s="448"/>
      <c r="G23" s="448"/>
      <c r="H23" s="448"/>
      <c r="I23" s="448"/>
    </row>
    <row r="24" spans="1:9" s="199" customFormat="1" x14ac:dyDescent="0.15">
      <c r="A24" s="225">
        <v>0</v>
      </c>
      <c r="B24" s="226"/>
      <c r="D24" s="448"/>
      <c r="E24" s="448"/>
      <c r="F24" s="448"/>
      <c r="G24" s="448"/>
      <c r="H24" s="448"/>
      <c r="I24" s="448"/>
    </row>
    <row r="25" spans="1:9" s="199" customFormat="1" x14ac:dyDescent="0.15">
      <c r="A25" s="227">
        <v>0</v>
      </c>
      <c r="B25" s="228"/>
      <c r="D25" s="448"/>
      <c r="E25" s="448"/>
      <c r="F25" s="448"/>
      <c r="G25" s="448"/>
      <c r="H25" s="448"/>
      <c r="I25" s="448"/>
    </row>
    <row r="26" spans="1:9" s="199" customFormat="1" ht="28" x14ac:dyDescent="0.15">
      <c r="A26" s="214" t="s">
        <v>131</v>
      </c>
      <c r="B26" s="215" t="s">
        <v>134</v>
      </c>
    </row>
    <row r="27" spans="1:9" s="199" customFormat="1" ht="15.75" customHeight="1" x14ac:dyDescent="0.15">
      <c r="A27" s="216">
        <f>B21-(SUM('Peanut Price Calculator'!A23:A25))</f>
        <v>1700</v>
      </c>
      <c r="B27" s="229">
        <v>440</v>
      </c>
      <c r="D27" s="445" t="s">
        <v>151</v>
      </c>
      <c r="E27" s="445"/>
      <c r="F27" s="445"/>
      <c r="G27" s="445"/>
      <c r="H27" s="445"/>
      <c r="I27" s="445"/>
    </row>
    <row r="28" spans="1:9" s="199" customFormat="1" ht="14" x14ac:dyDescent="0.15">
      <c r="A28" s="218" t="s">
        <v>136</v>
      </c>
      <c r="B28" s="219">
        <f>(A23/(SUM(A23:A25,A27:A27))*B23+A24/(SUM(A23:A25,A27:A27))*B24+A25/(SUM(A23:A25,A27:A27))*B25+A27/(SUM(A23:A25,A27:A27))*B27)</f>
        <v>440</v>
      </c>
      <c r="D28" s="445"/>
      <c r="E28" s="445"/>
      <c r="F28" s="445"/>
      <c r="G28" s="445"/>
      <c r="H28" s="445"/>
      <c r="I28" s="445"/>
    </row>
    <row r="29" spans="1:9" s="199" customFormat="1" x14ac:dyDescent="0.15"/>
    <row r="30" spans="1:9" s="199" customFormat="1" x14ac:dyDescent="0.15"/>
    <row r="31" spans="1:9" s="199" customFormat="1" x14ac:dyDescent="0.15"/>
    <row r="32" spans="1:9" s="199" customFormat="1" x14ac:dyDescent="0.15"/>
    <row r="33" s="199" customFormat="1" x14ac:dyDescent="0.15"/>
    <row r="34" s="199" customFormat="1" x14ac:dyDescent="0.15"/>
    <row r="35" s="199" customFormat="1" x14ac:dyDescent="0.15"/>
    <row r="36" s="199" customFormat="1" x14ac:dyDescent="0.15"/>
    <row r="37" s="199" customFormat="1" x14ac:dyDescent="0.15"/>
    <row r="38" s="199" customFormat="1" x14ac:dyDescent="0.15"/>
    <row r="39" s="199" customFormat="1" x14ac:dyDescent="0.15"/>
    <row r="40" s="199" customFormat="1" x14ac:dyDescent="0.15"/>
    <row r="41" s="199" customFormat="1" x14ac:dyDescent="0.15"/>
    <row r="42" s="199" customFormat="1" x14ac:dyDescent="0.15"/>
    <row r="43" s="199" customFormat="1" x14ac:dyDescent="0.15"/>
    <row r="44" s="199" customFormat="1" x14ac:dyDescent="0.15"/>
    <row r="45" s="199" customFormat="1" x14ac:dyDescent="0.15"/>
    <row r="46" s="199" customFormat="1" x14ac:dyDescent="0.15"/>
    <row r="47" s="199" customFormat="1" x14ac:dyDescent="0.15"/>
    <row r="48" s="199" customFormat="1" x14ac:dyDescent="0.15"/>
    <row r="49" s="199" customFormat="1" x14ac:dyDescent="0.15"/>
    <row r="50" s="199" customFormat="1" x14ac:dyDescent="0.15"/>
    <row r="51" s="199" customFormat="1" x14ac:dyDescent="0.15"/>
    <row r="52" s="199" customFormat="1" x14ac:dyDescent="0.15"/>
    <row r="53" s="199" customFormat="1" x14ac:dyDescent="0.15"/>
    <row r="54" s="199" customFormat="1" x14ac:dyDescent="0.15"/>
    <row r="55" s="199" customFormat="1" x14ac:dyDescent="0.15"/>
    <row r="56" s="199" customFormat="1" x14ac:dyDescent="0.15"/>
    <row r="57" s="199" customFormat="1" x14ac:dyDescent="0.15"/>
    <row r="58" s="199" customFormat="1" x14ac:dyDescent="0.15"/>
    <row r="59" s="199" customFormat="1" x14ac:dyDescent="0.15"/>
    <row r="60" s="199" customFormat="1" x14ac:dyDescent="0.15"/>
    <row r="61" s="199" customFormat="1" x14ac:dyDescent="0.15"/>
    <row r="62" s="199" customFormat="1" x14ac:dyDescent="0.15"/>
    <row r="63" s="199" customFormat="1" x14ac:dyDescent="0.15"/>
    <row r="64" s="199" customFormat="1" x14ac:dyDescent="0.1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Smith, UGA Extension Economist&amp;C&amp;G&amp;RAg and Applied Economics, 11/2021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6"/>
  <sheetViews>
    <sheetView zoomScale="150" zoomScaleNormal="150" zoomScalePageLayoutView="150" workbookViewId="0">
      <selection sqref="A1:I1"/>
    </sheetView>
  </sheetViews>
  <sheetFormatPr baseColWidth="10" defaultColWidth="8.83203125" defaultRowHeight="14" x14ac:dyDescent="0.2"/>
  <cols>
    <col min="1" max="1" width="7.33203125" style="101" customWidth="1"/>
    <col min="2" max="2" width="15.6640625" style="101" bestFit="1" customWidth="1"/>
    <col min="3" max="3" width="6.33203125" style="101" customWidth="1"/>
    <col min="4" max="4" width="15.83203125" style="101" bestFit="1" customWidth="1"/>
    <col min="5" max="5" width="6.33203125" style="101" customWidth="1"/>
    <col min="6" max="6" width="14" style="101" bestFit="1" customWidth="1"/>
    <col min="7" max="7" width="7" style="101" customWidth="1"/>
    <col min="8" max="8" width="15.83203125" style="101" bestFit="1" customWidth="1"/>
    <col min="9" max="9" width="8.5" style="101" customWidth="1"/>
    <col min="10" max="21" width="8.83203125" style="177" customWidth="1"/>
    <col min="22" max="16384" width="8.83203125" style="101"/>
  </cols>
  <sheetData>
    <row r="1" spans="1:21" ht="30" customHeight="1" x14ac:dyDescent="0.2">
      <c r="A1" s="450" t="s">
        <v>118</v>
      </c>
      <c r="B1" s="451"/>
      <c r="C1" s="451"/>
      <c r="D1" s="451"/>
      <c r="E1" s="451"/>
      <c r="F1" s="451"/>
      <c r="G1" s="451"/>
      <c r="H1" s="451"/>
      <c r="I1" s="452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3" t="s">
        <v>117</v>
      </c>
      <c r="B2" s="454"/>
      <c r="C2" s="454"/>
      <c r="D2" s="454"/>
      <c r="E2" s="454"/>
      <c r="F2" s="454"/>
      <c r="G2" s="454"/>
      <c r="H2" s="454"/>
      <c r="I2" s="455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5" thickBot="1" x14ac:dyDescent="0.2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5" thickBot="1" x14ac:dyDescent="0.2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5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50" t="s">
        <v>119</v>
      </c>
      <c r="B11" s="451"/>
      <c r="C11" s="451"/>
      <c r="D11" s="451"/>
      <c r="E11" s="451"/>
      <c r="F11" s="451"/>
      <c r="G11" s="451"/>
      <c r="H11" s="451"/>
      <c r="I11" s="452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3" t="s">
        <v>117</v>
      </c>
      <c r="B12" s="454"/>
      <c r="C12" s="454"/>
      <c r="D12" s="454"/>
      <c r="E12" s="454"/>
      <c r="F12" s="454"/>
      <c r="G12" s="454"/>
      <c r="H12" s="454"/>
      <c r="I12" s="455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5" thickBot="1" x14ac:dyDescent="0.2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5" thickBot="1" x14ac:dyDescent="0.2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zoomScale="120" zoomScaleNormal="120" zoomScaleSheetLayoutView="100" zoomScalePageLayoutView="120" workbookViewId="0">
      <selection activeCell="B31" sqref="B30:K31"/>
    </sheetView>
  </sheetViews>
  <sheetFormatPr baseColWidth="10" defaultColWidth="8.83203125" defaultRowHeight="14" x14ac:dyDescent="0.2"/>
  <cols>
    <col min="1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7" t="s">
        <v>93</v>
      </c>
      <c r="B29" s="457"/>
      <c r="C29" s="457"/>
      <c r="D29" s="457"/>
      <c r="E29" s="457"/>
      <c r="F29" s="457"/>
    </row>
    <row r="30" spans="1:11" x14ac:dyDescent="0.2">
      <c r="A30" s="230" t="s">
        <v>86</v>
      </c>
      <c r="B30" s="456" t="s">
        <v>90</v>
      </c>
      <c r="C30" s="456"/>
      <c r="D30" s="456"/>
      <c r="E30" s="456"/>
      <c r="F30" s="456"/>
      <c r="G30" s="456"/>
      <c r="H30" s="456"/>
      <c r="I30" s="456"/>
      <c r="J30" s="456"/>
      <c r="K30" s="456"/>
    </row>
    <row r="31" spans="1:11" x14ac:dyDescent="0.2">
      <c r="A31" s="230" t="s">
        <v>87</v>
      </c>
      <c r="B31" s="456" t="str">
        <f>CONCATENATE("Irrigated peanut yield is ",Conventional!$D$7," lbs. and irrigated cotton yield is ",Conventional!$B$7," lbs.")</f>
        <v>Irrigated peanut yield is 4700 lbs. and irrigated cotton yield is 1200 lbs.</v>
      </c>
      <c r="C31" s="456"/>
      <c r="D31" s="456"/>
      <c r="E31" s="456"/>
      <c r="F31" s="456"/>
      <c r="G31" s="456"/>
      <c r="H31" s="456"/>
      <c r="I31" s="174"/>
      <c r="J31" s="174"/>
      <c r="K31" s="174"/>
    </row>
    <row r="32" spans="1:11" x14ac:dyDescent="0.2">
      <c r="A32" s="230" t="s">
        <v>88</v>
      </c>
      <c r="B32" s="456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56"/>
      <c r="D32" s="456"/>
      <c r="E32" s="456"/>
      <c r="F32" s="456"/>
      <c r="G32" s="456"/>
      <c r="H32" s="456"/>
      <c r="I32" s="456"/>
      <c r="J32" s="174"/>
      <c r="K32" s="174"/>
    </row>
    <row r="33" spans="1:13" x14ac:dyDescent="0.2">
      <c r="A33" s="230" t="s">
        <v>89</v>
      </c>
      <c r="B33" s="456" t="s">
        <v>104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</row>
    <row r="63" spans="1:11" x14ac:dyDescent="0.2">
      <c r="A63" s="456" t="s">
        <v>93</v>
      </c>
      <c r="B63" s="456"/>
      <c r="C63" s="456"/>
      <c r="D63" s="456"/>
      <c r="E63" s="456"/>
      <c r="F63" s="456"/>
    </row>
    <row r="64" spans="1:11" x14ac:dyDescent="0.2">
      <c r="A64" s="230" t="s">
        <v>86</v>
      </c>
      <c r="B64" s="456" t="s">
        <v>91</v>
      </c>
      <c r="C64" s="456"/>
      <c r="D64" s="456"/>
      <c r="E64" s="456"/>
      <c r="F64" s="456"/>
      <c r="G64" s="456"/>
      <c r="H64" s="456"/>
      <c r="I64" s="456"/>
      <c r="J64" s="456"/>
      <c r="K64" s="456"/>
    </row>
    <row r="65" spans="1:13" x14ac:dyDescent="0.2">
      <c r="A65" s="230" t="s">
        <v>87</v>
      </c>
      <c r="B65" s="456" t="str">
        <f>CONCATENATE("Irrigated corn yield is ",Conventional!$F$7," bu. and irrigated cotton yield is ",Conventional!$B$7," lbs.")</f>
        <v>Irrigated corn yield is 200 bu. and irrigated cotton yield is 1200 lbs.</v>
      </c>
      <c r="C65" s="456"/>
      <c r="D65" s="456"/>
      <c r="E65" s="456"/>
      <c r="F65" s="456"/>
      <c r="G65" s="456"/>
      <c r="H65" s="456"/>
      <c r="I65" s="174"/>
      <c r="J65" s="174"/>
      <c r="K65" s="174"/>
    </row>
    <row r="66" spans="1:13" x14ac:dyDescent="0.2">
      <c r="A66" s="230" t="s">
        <v>88</v>
      </c>
      <c r="B66" s="456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56"/>
      <c r="D66" s="456"/>
      <c r="E66" s="456"/>
      <c r="F66" s="456"/>
      <c r="G66" s="456"/>
      <c r="H66" s="456"/>
      <c r="I66" s="456"/>
      <c r="J66" s="174"/>
      <c r="K66" s="174"/>
    </row>
    <row r="67" spans="1:13" x14ac:dyDescent="0.2">
      <c r="A67" s="230" t="s">
        <v>89</v>
      </c>
      <c r="B67" s="456" t="s">
        <v>104</v>
      </c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</row>
    <row r="97" spans="1:13" x14ac:dyDescent="0.2">
      <c r="A97" s="456" t="s">
        <v>93</v>
      </c>
      <c r="B97" s="456"/>
      <c r="C97" s="456"/>
      <c r="D97" s="456"/>
      <c r="E97" s="456"/>
      <c r="F97" s="456"/>
    </row>
    <row r="98" spans="1:13" x14ac:dyDescent="0.2">
      <c r="A98" s="230" t="s">
        <v>86</v>
      </c>
      <c r="B98" s="456" t="s">
        <v>92</v>
      </c>
      <c r="C98" s="456"/>
      <c r="D98" s="456"/>
      <c r="E98" s="456"/>
      <c r="F98" s="456"/>
      <c r="G98" s="456"/>
      <c r="H98" s="456"/>
      <c r="I98" s="456"/>
      <c r="J98" s="456"/>
      <c r="K98" s="456"/>
      <c r="L98" s="456"/>
    </row>
    <row r="99" spans="1:13" x14ac:dyDescent="0.2">
      <c r="A99" s="230" t="s">
        <v>87</v>
      </c>
      <c r="B99" s="456" t="str">
        <f>CONCATENATE("Irrigated soybean yield is ",Conventional!$H$7," bu. and irrigated cotton yield is ",Conventional!$B$7," lbs.")</f>
        <v>Irrigated soybean yield is 60 bu. and irrigated cotton yield is 1200 lbs.</v>
      </c>
      <c r="C99" s="456"/>
      <c r="D99" s="456"/>
      <c r="E99" s="456"/>
      <c r="F99" s="456"/>
      <c r="G99" s="456"/>
      <c r="H99" s="456"/>
      <c r="I99" s="174"/>
      <c r="J99" s="174"/>
      <c r="K99" s="174"/>
    </row>
    <row r="100" spans="1:13" x14ac:dyDescent="0.2">
      <c r="A100" s="230" t="s">
        <v>88</v>
      </c>
      <c r="B100" s="456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56"/>
      <c r="D100" s="456"/>
      <c r="E100" s="456"/>
      <c r="F100" s="456"/>
      <c r="G100" s="456"/>
      <c r="H100" s="456"/>
      <c r="I100" s="456"/>
      <c r="J100" s="174"/>
      <c r="K100" s="174"/>
    </row>
    <row r="101" spans="1:13" x14ac:dyDescent="0.2">
      <c r="A101" s="230" t="s">
        <v>89</v>
      </c>
      <c r="B101" s="456" t="s">
        <v>104</v>
      </c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</row>
    <row r="131" spans="1:13" x14ac:dyDescent="0.2">
      <c r="A131" s="457" t="s">
        <v>93</v>
      </c>
      <c r="B131" s="457"/>
      <c r="C131" s="457"/>
      <c r="D131" s="457"/>
      <c r="E131" s="457"/>
      <c r="F131" s="457"/>
    </row>
    <row r="132" spans="1:13" x14ac:dyDescent="0.2">
      <c r="A132" s="230" t="s">
        <v>86</v>
      </c>
      <c r="B132" s="456" t="s">
        <v>94</v>
      </c>
      <c r="C132" s="456"/>
      <c r="D132" s="456"/>
      <c r="E132" s="456"/>
      <c r="F132" s="456"/>
      <c r="G132" s="456"/>
      <c r="H132" s="456"/>
      <c r="I132" s="456"/>
      <c r="J132" s="456"/>
      <c r="K132" s="456"/>
    </row>
    <row r="133" spans="1:13" x14ac:dyDescent="0.2">
      <c r="A133" s="230" t="s">
        <v>87</v>
      </c>
      <c r="B133" s="456" t="str">
        <f>CONCATENATE("Irrigated cotton yield is ",Conventional!$B$7," lbs. and irrigated peanut yield is ",Conventional!$D$7," lbs.")</f>
        <v>Irrigated cotton yield is 1200 lbs. and irrigated peanut yield is 4700 lbs.</v>
      </c>
      <c r="C133" s="456"/>
      <c r="D133" s="456"/>
      <c r="E133" s="456"/>
      <c r="F133" s="456"/>
      <c r="G133" s="456"/>
      <c r="H133" s="456"/>
      <c r="I133" s="174"/>
      <c r="J133" s="174"/>
      <c r="K133" s="174"/>
    </row>
    <row r="134" spans="1:13" x14ac:dyDescent="0.2">
      <c r="A134" s="230" t="s">
        <v>88</v>
      </c>
      <c r="B134" s="456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56"/>
      <c r="D134" s="456"/>
      <c r="E134" s="456"/>
      <c r="F134" s="456"/>
      <c r="G134" s="456"/>
      <c r="H134" s="456"/>
      <c r="I134" s="456"/>
      <c r="J134" s="174"/>
      <c r="K134" s="174"/>
    </row>
    <row r="135" spans="1:13" x14ac:dyDescent="0.2">
      <c r="A135" s="230" t="s">
        <v>89</v>
      </c>
      <c r="B135" s="456" t="s">
        <v>104</v>
      </c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</row>
    <row r="165" spans="1:13" x14ac:dyDescent="0.2">
      <c r="A165" s="456" t="s">
        <v>93</v>
      </c>
      <c r="B165" s="456"/>
      <c r="C165" s="456"/>
      <c r="D165" s="456"/>
      <c r="E165" s="456"/>
      <c r="F165" s="456"/>
    </row>
    <row r="166" spans="1:13" x14ac:dyDescent="0.2">
      <c r="A166" s="230" t="s">
        <v>86</v>
      </c>
      <c r="B166" s="456" t="s">
        <v>95</v>
      </c>
      <c r="C166" s="456"/>
      <c r="D166" s="456"/>
      <c r="E166" s="456"/>
      <c r="F166" s="456"/>
      <c r="G166" s="456"/>
      <c r="H166" s="456"/>
      <c r="I166" s="456"/>
      <c r="J166" s="456"/>
      <c r="K166" s="456"/>
    </row>
    <row r="167" spans="1:13" x14ac:dyDescent="0.2">
      <c r="A167" s="230" t="s">
        <v>87</v>
      </c>
      <c r="B167" s="456" t="str">
        <f>CONCATENATE("Irrigated corn yield is ",Conventional!$F$7," bu. and irrigated peanut yield is ",Conventional!$D$7," lbs.")</f>
        <v>Irrigated corn yield is 200 bu. and irrigated peanut yield is 4700 lbs.</v>
      </c>
      <c r="C167" s="456"/>
      <c r="D167" s="456"/>
      <c r="E167" s="456"/>
      <c r="F167" s="456"/>
      <c r="G167" s="456"/>
      <c r="H167" s="456"/>
      <c r="I167" s="174"/>
      <c r="J167" s="174"/>
      <c r="K167" s="174"/>
    </row>
    <row r="168" spans="1:13" x14ac:dyDescent="0.2">
      <c r="A168" s="230" t="s">
        <v>88</v>
      </c>
      <c r="B168" s="456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56"/>
      <c r="D168" s="456"/>
      <c r="E168" s="456"/>
      <c r="F168" s="456"/>
      <c r="G168" s="456"/>
      <c r="H168" s="456"/>
      <c r="I168" s="456"/>
      <c r="J168" s="174"/>
      <c r="K168" s="174"/>
    </row>
    <row r="169" spans="1:13" x14ac:dyDescent="0.2">
      <c r="A169" s="230" t="s">
        <v>89</v>
      </c>
      <c r="B169" s="456" t="s">
        <v>104</v>
      </c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</row>
    <row r="199" spans="1:13" x14ac:dyDescent="0.2">
      <c r="A199" s="456" t="s">
        <v>93</v>
      </c>
      <c r="B199" s="456"/>
      <c r="C199" s="456"/>
      <c r="D199" s="456"/>
      <c r="E199" s="456"/>
      <c r="F199" s="456"/>
    </row>
    <row r="200" spans="1:13" x14ac:dyDescent="0.2">
      <c r="A200" s="230" t="s">
        <v>86</v>
      </c>
      <c r="B200" s="456" t="s">
        <v>96</v>
      </c>
      <c r="C200" s="456"/>
      <c r="D200" s="456"/>
      <c r="E200" s="456"/>
      <c r="F200" s="456"/>
      <c r="G200" s="456"/>
      <c r="H200" s="456"/>
      <c r="I200" s="456"/>
      <c r="J200" s="456"/>
      <c r="K200" s="456"/>
      <c r="L200" s="456"/>
    </row>
    <row r="201" spans="1:13" x14ac:dyDescent="0.2">
      <c r="A201" s="230" t="s">
        <v>87</v>
      </c>
      <c r="B201" s="456" t="str">
        <f>CONCATENATE("Irrigated soybean yield is ",Conventional!$H$7," bu. and irrigated peanut yield is ",Conventional!$D$7," lbs.")</f>
        <v>Irrigated soybean yield is 60 bu. and irrigated peanut yield is 4700 lbs.</v>
      </c>
      <c r="C201" s="456"/>
      <c r="D201" s="456"/>
      <c r="E201" s="456"/>
      <c r="F201" s="456"/>
      <c r="G201" s="456"/>
      <c r="H201" s="456"/>
      <c r="I201" s="174"/>
      <c r="J201" s="174"/>
      <c r="K201" s="174"/>
    </row>
    <row r="202" spans="1:13" x14ac:dyDescent="0.2">
      <c r="A202" s="230" t="s">
        <v>88</v>
      </c>
      <c r="B202" s="456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56"/>
      <c r="D202" s="456"/>
      <c r="E202" s="456"/>
      <c r="F202" s="456"/>
      <c r="G202" s="456"/>
      <c r="H202" s="456"/>
      <c r="I202" s="456"/>
      <c r="J202" s="174"/>
      <c r="K202" s="174"/>
    </row>
    <row r="203" spans="1:13" x14ac:dyDescent="0.2">
      <c r="A203" s="230" t="s">
        <v>89</v>
      </c>
      <c r="B203" s="456" t="s">
        <v>104</v>
      </c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</row>
    <row r="233" spans="1:13" x14ac:dyDescent="0.2">
      <c r="A233" s="457" t="s">
        <v>93</v>
      </c>
      <c r="B233" s="457"/>
      <c r="C233" s="457"/>
      <c r="D233" s="457"/>
      <c r="E233" s="457"/>
      <c r="F233" s="457"/>
    </row>
    <row r="234" spans="1:13" x14ac:dyDescent="0.2">
      <c r="A234" s="230" t="s">
        <v>86</v>
      </c>
      <c r="B234" s="456" t="s">
        <v>97</v>
      </c>
      <c r="C234" s="456"/>
      <c r="D234" s="456"/>
      <c r="E234" s="456"/>
      <c r="F234" s="456"/>
      <c r="G234" s="456"/>
      <c r="H234" s="456"/>
      <c r="I234" s="456"/>
      <c r="J234" s="456"/>
      <c r="K234" s="456"/>
    </row>
    <row r="235" spans="1:13" x14ac:dyDescent="0.2">
      <c r="A235" s="230" t="s">
        <v>87</v>
      </c>
      <c r="B235" s="456" t="str">
        <f>CONCATENATE("Irrigated cotton yield is ",Conventional!$B$7," lbs. and irrigated corn yield is ",Conventional!$F$7," bu.")</f>
        <v>Irrigated cotton yield is 1200 lbs. and irrigated corn yield is 200 bu.</v>
      </c>
      <c r="C235" s="456"/>
      <c r="D235" s="456"/>
      <c r="E235" s="456"/>
      <c r="F235" s="456"/>
      <c r="G235" s="456"/>
      <c r="H235" s="456"/>
      <c r="I235" s="174"/>
      <c r="J235" s="174"/>
      <c r="K235" s="174"/>
    </row>
    <row r="236" spans="1:13" x14ac:dyDescent="0.2">
      <c r="A236" s="230" t="s">
        <v>88</v>
      </c>
      <c r="B236" s="456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56"/>
      <c r="D236" s="456"/>
      <c r="E236" s="456"/>
      <c r="F236" s="456"/>
      <c r="G236" s="456"/>
      <c r="H236" s="456"/>
      <c r="I236" s="456"/>
      <c r="J236" s="174"/>
      <c r="K236" s="174"/>
    </row>
    <row r="237" spans="1:13" x14ac:dyDescent="0.2">
      <c r="A237" s="230" t="s">
        <v>89</v>
      </c>
      <c r="B237" s="456" t="s">
        <v>104</v>
      </c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</row>
    <row r="267" spans="1:13" x14ac:dyDescent="0.2">
      <c r="A267" s="456" t="s">
        <v>93</v>
      </c>
      <c r="B267" s="456"/>
      <c r="C267" s="456"/>
      <c r="D267" s="456"/>
      <c r="E267" s="456"/>
      <c r="F267" s="456"/>
    </row>
    <row r="268" spans="1:13" x14ac:dyDescent="0.2">
      <c r="A268" s="230" t="s">
        <v>86</v>
      </c>
      <c r="B268" s="456" t="s">
        <v>98</v>
      </c>
      <c r="C268" s="456"/>
      <c r="D268" s="456"/>
      <c r="E268" s="456"/>
      <c r="F268" s="456"/>
      <c r="G268" s="456"/>
      <c r="H268" s="456"/>
      <c r="I268" s="456"/>
      <c r="J268" s="456"/>
      <c r="K268" s="456"/>
    </row>
    <row r="269" spans="1:13" x14ac:dyDescent="0.2">
      <c r="A269" s="230" t="s">
        <v>87</v>
      </c>
      <c r="B269" s="456" t="str">
        <f>CONCATENATE("Irrigated peanut yield is ",Conventional!$D$7," lbs. and irrigated corn yield is ",Conventional!$F$7," bu.")</f>
        <v>Irrigated peanut yield is 4700 lbs. and irrigated corn yield is 200 bu.</v>
      </c>
      <c r="C269" s="456"/>
      <c r="D269" s="456"/>
      <c r="E269" s="456"/>
      <c r="F269" s="456"/>
      <c r="G269" s="456"/>
      <c r="H269" s="456"/>
      <c r="I269" s="174"/>
      <c r="J269" s="174"/>
      <c r="K269" s="174"/>
    </row>
    <row r="270" spans="1:13" x14ac:dyDescent="0.2">
      <c r="A270" s="230" t="s">
        <v>88</v>
      </c>
      <c r="B270" s="456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56"/>
      <c r="D270" s="456"/>
      <c r="E270" s="456"/>
      <c r="F270" s="456"/>
      <c r="G270" s="456"/>
      <c r="H270" s="456"/>
      <c r="I270" s="456"/>
      <c r="J270" s="174"/>
      <c r="K270" s="174"/>
    </row>
    <row r="271" spans="1:13" x14ac:dyDescent="0.2">
      <c r="A271" s="230" t="s">
        <v>89</v>
      </c>
      <c r="B271" s="456" t="s">
        <v>104</v>
      </c>
      <c r="C271" s="456"/>
      <c r="D271" s="456"/>
      <c r="E271" s="456"/>
      <c r="F271" s="456"/>
      <c r="G271" s="456"/>
      <c r="H271" s="456"/>
      <c r="I271" s="456"/>
      <c r="J271" s="456"/>
      <c r="K271" s="456"/>
      <c r="L271" s="456"/>
      <c r="M271" s="456"/>
    </row>
    <row r="301" spans="1:12" x14ac:dyDescent="0.2">
      <c r="A301" s="456" t="s">
        <v>93</v>
      </c>
      <c r="B301" s="456"/>
      <c r="C301" s="456"/>
      <c r="D301" s="456"/>
      <c r="E301" s="456"/>
      <c r="F301" s="456"/>
    </row>
    <row r="302" spans="1:12" x14ac:dyDescent="0.2">
      <c r="A302" s="230" t="s">
        <v>86</v>
      </c>
      <c r="B302" s="456" t="s">
        <v>99</v>
      </c>
      <c r="C302" s="456"/>
      <c r="D302" s="456"/>
      <c r="E302" s="456"/>
      <c r="F302" s="456"/>
      <c r="G302" s="456"/>
      <c r="H302" s="456"/>
      <c r="I302" s="456"/>
      <c r="J302" s="456"/>
      <c r="K302" s="456"/>
      <c r="L302" s="456"/>
    </row>
    <row r="303" spans="1:12" x14ac:dyDescent="0.2">
      <c r="A303" s="230" t="s">
        <v>87</v>
      </c>
      <c r="B303" s="456" t="str">
        <f>CONCATENATE("Irrigated soybean yield is ",Conventional!$H$7," bu. and irrigated corn yield is ",Conventional!$F$7," bu.")</f>
        <v>Irrigated soybean yield is 60 bu. and irrigated corn yield is 200 bu.</v>
      </c>
      <c r="C303" s="456"/>
      <c r="D303" s="456"/>
      <c r="E303" s="456"/>
      <c r="F303" s="456"/>
      <c r="G303" s="456"/>
      <c r="H303" s="456"/>
      <c r="I303" s="174"/>
      <c r="J303" s="174"/>
      <c r="K303" s="174"/>
    </row>
    <row r="304" spans="1:12" x14ac:dyDescent="0.2">
      <c r="A304" s="230" t="s">
        <v>88</v>
      </c>
      <c r="B304" s="456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56"/>
      <c r="D304" s="456"/>
      <c r="E304" s="456"/>
      <c r="F304" s="456"/>
      <c r="G304" s="456"/>
      <c r="H304" s="456"/>
      <c r="I304" s="456"/>
      <c r="J304" s="174"/>
      <c r="K304" s="174"/>
    </row>
    <row r="305" spans="1:13" x14ac:dyDescent="0.2">
      <c r="A305" s="230" t="s">
        <v>89</v>
      </c>
      <c r="B305" s="456" t="s">
        <v>104</v>
      </c>
      <c r="C305" s="456"/>
      <c r="D305" s="456"/>
      <c r="E305" s="456"/>
      <c r="F305" s="456"/>
      <c r="G305" s="456"/>
      <c r="H305" s="456"/>
      <c r="I305" s="456"/>
      <c r="J305" s="456"/>
      <c r="K305" s="456"/>
      <c r="L305" s="456"/>
      <c r="M305" s="456"/>
    </row>
    <row r="334" spans="1:12" x14ac:dyDescent="0.2">
      <c r="A334" s="457" t="s">
        <v>93</v>
      </c>
      <c r="B334" s="457"/>
      <c r="C334" s="457"/>
      <c r="D334" s="457"/>
      <c r="E334" s="457"/>
      <c r="F334" s="457"/>
    </row>
    <row r="335" spans="1:12" x14ac:dyDescent="0.2">
      <c r="A335" s="230" t="s">
        <v>86</v>
      </c>
      <c r="B335" s="456" t="s">
        <v>100</v>
      </c>
      <c r="C335" s="456"/>
      <c r="D335" s="456"/>
      <c r="E335" s="456"/>
      <c r="F335" s="456"/>
      <c r="G335" s="456"/>
      <c r="H335" s="456"/>
      <c r="I335" s="456"/>
      <c r="J335" s="456"/>
      <c r="K335" s="456"/>
      <c r="L335" s="456"/>
    </row>
    <row r="336" spans="1:12" x14ac:dyDescent="0.2">
      <c r="A336" s="230" t="s">
        <v>87</v>
      </c>
      <c r="B336" s="456" t="str">
        <f>CONCATENATE("Irrigated cotton yield is ",Conventional!$B$7," lbs. and irrigated soybean yield is ",Conventional!$H$7," bu.")</f>
        <v>Irrigated cotton yield is 1200 lbs. and irrigated soybean yield is 60 bu.</v>
      </c>
      <c r="C336" s="456"/>
      <c r="D336" s="456"/>
      <c r="E336" s="456"/>
      <c r="F336" s="456"/>
      <c r="G336" s="456"/>
      <c r="H336" s="456"/>
      <c r="I336" s="174"/>
      <c r="J336" s="174"/>
      <c r="K336" s="174"/>
    </row>
    <row r="337" spans="1:13" x14ac:dyDescent="0.2">
      <c r="A337" s="230" t="s">
        <v>88</v>
      </c>
      <c r="B337" s="456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56"/>
      <c r="D337" s="456"/>
      <c r="E337" s="456"/>
      <c r="F337" s="456"/>
      <c r="G337" s="456"/>
      <c r="H337" s="456"/>
      <c r="I337" s="456"/>
      <c r="J337" s="174"/>
      <c r="K337" s="174"/>
    </row>
    <row r="338" spans="1:13" x14ac:dyDescent="0.2">
      <c r="A338" s="230" t="s">
        <v>89</v>
      </c>
      <c r="B338" s="456" t="s">
        <v>104</v>
      </c>
      <c r="C338" s="456"/>
      <c r="D338" s="456"/>
      <c r="E338" s="456"/>
      <c r="F338" s="456"/>
      <c r="G338" s="456"/>
      <c r="H338" s="456"/>
      <c r="I338" s="456"/>
      <c r="J338" s="456"/>
      <c r="K338" s="456"/>
      <c r="L338" s="456"/>
      <c r="M338" s="456"/>
    </row>
    <row r="369" spans="1:13" x14ac:dyDescent="0.2">
      <c r="A369" s="456" t="s">
        <v>93</v>
      </c>
      <c r="B369" s="456"/>
      <c r="C369" s="456"/>
      <c r="D369" s="456"/>
      <c r="E369" s="456"/>
      <c r="F369" s="456"/>
    </row>
    <row r="370" spans="1:13" x14ac:dyDescent="0.2">
      <c r="A370" s="230" t="s">
        <v>86</v>
      </c>
      <c r="B370" s="456" t="s">
        <v>101</v>
      </c>
      <c r="C370" s="456"/>
      <c r="D370" s="456"/>
      <c r="E370" s="456"/>
      <c r="F370" s="456"/>
      <c r="G370" s="456"/>
      <c r="H370" s="456"/>
      <c r="I370" s="456"/>
      <c r="J370" s="456"/>
      <c r="K370" s="456"/>
      <c r="L370" s="456"/>
    </row>
    <row r="371" spans="1:13" x14ac:dyDescent="0.2">
      <c r="A371" s="230" t="s">
        <v>87</v>
      </c>
      <c r="B371" s="456" t="str">
        <f>CONCATENATE("Irrigated peanut yield is ",Conventional!$D$7," lbs. and irrigated soybean yield is ",Conventional!$H$7," bu.")</f>
        <v>Irrigated peanut yield is 4700 lbs. and irrigated soybean yield is 60 bu.</v>
      </c>
      <c r="C371" s="456"/>
      <c r="D371" s="456"/>
      <c r="E371" s="456"/>
      <c r="F371" s="456"/>
      <c r="G371" s="456"/>
      <c r="H371" s="456"/>
      <c r="I371" s="174"/>
      <c r="J371" s="174"/>
      <c r="K371" s="174"/>
    </row>
    <row r="372" spans="1:13" x14ac:dyDescent="0.2">
      <c r="A372" s="230" t="s">
        <v>88</v>
      </c>
      <c r="B372" s="456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56"/>
      <c r="D372" s="456"/>
      <c r="E372" s="456"/>
      <c r="F372" s="456"/>
      <c r="G372" s="456"/>
      <c r="H372" s="456"/>
      <c r="I372" s="456"/>
      <c r="J372" s="174"/>
      <c r="K372" s="174"/>
    </row>
    <row r="373" spans="1:13" x14ac:dyDescent="0.2">
      <c r="A373" s="230" t="s">
        <v>89</v>
      </c>
      <c r="B373" s="456" t="s">
        <v>104</v>
      </c>
      <c r="C373" s="456"/>
      <c r="D373" s="456"/>
      <c r="E373" s="456"/>
      <c r="F373" s="456"/>
      <c r="G373" s="456"/>
      <c r="H373" s="456"/>
      <c r="I373" s="456"/>
      <c r="J373" s="456"/>
      <c r="K373" s="456"/>
      <c r="L373" s="456"/>
      <c r="M373" s="456"/>
    </row>
    <row r="403" spans="1:13" x14ac:dyDescent="0.2">
      <c r="A403" s="456" t="s">
        <v>93</v>
      </c>
      <c r="B403" s="456"/>
      <c r="C403" s="456"/>
      <c r="D403" s="456"/>
      <c r="E403" s="456"/>
      <c r="F403" s="456"/>
    </row>
    <row r="404" spans="1:13" x14ac:dyDescent="0.2">
      <c r="A404" s="230" t="s">
        <v>86</v>
      </c>
      <c r="B404" s="456" t="s">
        <v>102</v>
      </c>
      <c r="C404" s="456"/>
      <c r="D404" s="456"/>
      <c r="E404" s="456"/>
      <c r="F404" s="456"/>
      <c r="G404" s="456"/>
      <c r="H404" s="456"/>
      <c r="I404" s="456"/>
      <c r="J404" s="456"/>
      <c r="K404" s="456"/>
      <c r="L404" s="456"/>
    </row>
    <row r="405" spans="1:13" x14ac:dyDescent="0.2">
      <c r="A405" s="230" t="s">
        <v>87</v>
      </c>
      <c r="B405" s="456" t="str">
        <f>CONCATENATE("Irrigated corn yield is ",Conventional!$F$7," bu. and irrigated soybean yield is ",Conventional!$H$7," bu.")</f>
        <v>Irrigated corn yield is 200 bu. and irrigated soybean yield is 60 bu.</v>
      </c>
      <c r="C405" s="456"/>
      <c r="D405" s="456"/>
      <c r="E405" s="456"/>
      <c r="F405" s="456"/>
      <c r="G405" s="456"/>
      <c r="H405" s="456"/>
      <c r="I405" s="174"/>
      <c r="J405" s="174"/>
      <c r="K405" s="174"/>
    </row>
    <row r="406" spans="1:13" x14ac:dyDescent="0.2">
      <c r="A406" s="230" t="s">
        <v>88</v>
      </c>
      <c r="B406" s="456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56"/>
      <c r="D406" s="456"/>
      <c r="E406" s="456"/>
      <c r="F406" s="456"/>
      <c r="G406" s="456"/>
      <c r="H406" s="456"/>
      <c r="I406" s="456"/>
      <c r="J406" s="174"/>
      <c r="K406" s="174"/>
    </row>
    <row r="407" spans="1:13" x14ac:dyDescent="0.2">
      <c r="A407" s="230" t="s">
        <v>89</v>
      </c>
      <c r="B407" s="456" t="s">
        <v>104</v>
      </c>
      <c r="C407" s="456"/>
      <c r="D407" s="456"/>
      <c r="E407" s="456"/>
      <c r="F407" s="456"/>
      <c r="G407" s="456"/>
      <c r="H407" s="456"/>
      <c r="I407" s="456"/>
      <c r="J407" s="456"/>
      <c r="K407" s="456"/>
      <c r="L407" s="456"/>
      <c r="M407" s="456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 and Yangxuan Liu&amp;RAg and Applied Economics, 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>
      <selection activeCell="B30" sqref="B30:K30"/>
    </sheetView>
  </sheetViews>
  <sheetFormatPr baseColWidth="10" defaultColWidth="8.83203125" defaultRowHeight="14" x14ac:dyDescent="0.2"/>
  <cols>
    <col min="1" max="1" width="8.83203125" style="100"/>
    <col min="2" max="2" width="8.83203125" style="174"/>
    <col min="3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7" t="s">
        <v>93</v>
      </c>
      <c r="B29" s="457"/>
      <c r="C29" s="457"/>
      <c r="D29" s="457"/>
      <c r="E29" s="457"/>
      <c r="F29" s="457"/>
    </row>
    <row r="30" spans="1:11" x14ac:dyDescent="0.2">
      <c r="A30" s="230" t="s">
        <v>86</v>
      </c>
      <c r="B30" s="456" t="s">
        <v>90</v>
      </c>
      <c r="C30" s="456"/>
      <c r="D30" s="456"/>
      <c r="E30" s="456"/>
      <c r="F30" s="456"/>
      <c r="G30" s="456"/>
      <c r="H30" s="456"/>
      <c r="I30" s="456"/>
      <c r="J30" s="456"/>
      <c r="K30" s="456"/>
    </row>
    <row r="31" spans="1:11" x14ac:dyDescent="0.2">
      <c r="A31" s="230" t="s">
        <v>87</v>
      </c>
      <c r="B31" s="456" t="str">
        <f>CONCATENATE("Irrigated peanut yield is ",'Strip-Till'!$D$7," lbs. and irrigated cotton yield is ",'Strip-Till'!B7," lbs.")</f>
        <v>Irrigated peanut yield is 4700 lbs. and irrigated cotton yield is 1200 lbs.</v>
      </c>
      <c r="C31" s="456"/>
      <c r="D31" s="456"/>
      <c r="E31" s="456"/>
      <c r="F31" s="456"/>
      <c r="G31" s="456"/>
      <c r="H31" s="456"/>
      <c r="I31" s="174"/>
      <c r="J31" s="174"/>
      <c r="K31" s="174"/>
    </row>
    <row r="32" spans="1:11" x14ac:dyDescent="0.2">
      <c r="A32" s="230" t="s">
        <v>88</v>
      </c>
      <c r="B32" s="456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56"/>
      <c r="D32" s="456"/>
      <c r="E32" s="456"/>
      <c r="F32" s="456"/>
      <c r="G32" s="456"/>
      <c r="H32" s="456"/>
      <c r="I32" s="456"/>
      <c r="J32" s="174"/>
      <c r="K32" s="174"/>
    </row>
    <row r="33" spans="1:13" x14ac:dyDescent="0.2">
      <c r="A33" s="230" t="s">
        <v>89</v>
      </c>
      <c r="B33" s="456" t="s">
        <v>103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</row>
    <row r="63" spans="1:11" x14ac:dyDescent="0.2">
      <c r="A63" s="456" t="s">
        <v>93</v>
      </c>
      <c r="B63" s="456"/>
      <c r="C63" s="456"/>
      <c r="D63" s="456"/>
      <c r="E63" s="456"/>
      <c r="F63" s="456"/>
    </row>
    <row r="64" spans="1:11" x14ac:dyDescent="0.2">
      <c r="A64" s="230" t="s">
        <v>86</v>
      </c>
      <c r="B64" s="456" t="s">
        <v>91</v>
      </c>
      <c r="C64" s="456"/>
      <c r="D64" s="456"/>
      <c r="E64" s="456"/>
      <c r="F64" s="456"/>
      <c r="G64" s="456"/>
      <c r="H64" s="456"/>
      <c r="I64" s="456"/>
      <c r="J64" s="456"/>
      <c r="K64" s="456"/>
    </row>
    <row r="65" spans="1:13" x14ac:dyDescent="0.2">
      <c r="A65" s="230" t="s">
        <v>87</v>
      </c>
      <c r="B65" s="456" t="str">
        <f>CONCATENATE("Irrigated corn yield is ",'Strip-Till'!F7," bu. and irrigated cotton yield is ",'Strip-Till'!B7," lbs.")</f>
        <v>Irrigated corn yield is 200 bu. and irrigated cotton yield is 1200 lbs.</v>
      </c>
      <c r="C65" s="456"/>
      <c r="D65" s="456"/>
      <c r="E65" s="456"/>
      <c r="F65" s="456"/>
      <c r="G65" s="456"/>
      <c r="H65" s="456"/>
      <c r="I65" s="174"/>
      <c r="J65" s="174"/>
      <c r="K65" s="174"/>
    </row>
    <row r="66" spans="1:13" x14ac:dyDescent="0.2">
      <c r="A66" s="230" t="s">
        <v>88</v>
      </c>
      <c r="B66" s="456" t="str">
        <f>CONCATENATE("Non-irrigated corn yield is ",'Strip-Till'!P7," bu. and non-irrigated cotton yield is ",'Strip-Till'!L7," lbs.")</f>
        <v>Non-irrigated corn yield is 85 bu. and non-irrigated cotton yield is 750 lbs.</v>
      </c>
      <c r="C66" s="456"/>
      <c r="D66" s="456"/>
      <c r="E66" s="456"/>
      <c r="F66" s="456"/>
      <c r="G66" s="456"/>
      <c r="H66" s="456"/>
      <c r="I66" s="456"/>
      <c r="J66" s="174"/>
      <c r="K66" s="174"/>
    </row>
    <row r="67" spans="1:13" x14ac:dyDescent="0.2">
      <c r="A67" s="230" t="s">
        <v>89</v>
      </c>
      <c r="B67" s="456" t="s">
        <v>103</v>
      </c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</row>
    <row r="97" spans="1:13" x14ac:dyDescent="0.2">
      <c r="A97" s="456" t="s">
        <v>93</v>
      </c>
      <c r="B97" s="456"/>
      <c r="C97" s="456"/>
      <c r="D97" s="456"/>
      <c r="E97" s="456"/>
      <c r="F97" s="456"/>
    </row>
    <row r="98" spans="1:13" x14ac:dyDescent="0.2">
      <c r="A98" s="230" t="s">
        <v>86</v>
      </c>
      <c r="B98" s="456" t="s">
        <v>92</v>
      </c>
      <c r="C98" s="456"/>
      <c r="D98" s="456"/>
      <c r="E98" s="456"/>
      <c r="F98" s="456"/>
      <c r="G98" s="456"/>
      <c r="H98" s="456"/>
      <c r="I98" s="456"/>
      <c r="J98" s="456"/>
      <c r="K98" s="456"/>
      <c r="L98" s="456"/>
    </row>
    <row r="99" spans="1:13" x14ac:dyDescent="0.2">
      <c r="A99" s="230" t="s">
        <v>87</v>
      </c>
      <c r="B99" s="456" t="str">
        <f>CONCATENATE("Irrigated soybean yield is ",'Strip-Till'!H7," bu. and irrigated cotton yield is ",'Strip-Till'!B7," lbs.")</f>
        <v>Irrigated soybean yield is 60 bu. and irrigated cotton yield is 1200 lbs.</v>
      </c>
      <c r="C99" s="456"/>
      <c r="D99" s="456"/>
      <c r="E99" s="456"/>
      <c r="F99" s="456"/>
      <c r="G99" s="456"/>
      <c r="H99" s="456"/>
      <c r="I99" s="174"/>
      <c r="J99" s="174"/>
      <c r="K99" s="174"/>
    </row>
    <row r="100" spans="1:13" x14ac:dyDescent="0.2">
      <c r="A100" s="230" t="s">
        <v>88</v>
      </c>
      <c r="B100" s="456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56"/>
      <c r="D100" s="456"/>
      <c r="E100" s="456"/>
      <c r="F100" s="456"/>
      <c r="G100" s="456"/>
      <c r="H100" s="456"/>
      <c r="I100" s="456"/>
      <c r="J100" s="174"/>
      <c r="K100" s="174"/>
    </row>
    <row r="101" spans="1:13" x14ac:dyDescent="0.2">
      <c r="A101" s="230" t="s">
        <v>89</v>
      </c>
      <c r="B101" s="456" t="s">
        <v>103</v>
      </c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</row>
    <row r="131" spans="1:13" x14ac:dyDescent="0.2">
      <c r="A131" s="457" t="s">
        <v>93</v>
      </c>
      <c r="B131" s="457"/>
      <c r="C131" s="457"/>
      <c r="D131" s="457"/>
      <c r="E131" s="457"/>
      <c r="F131" s="457"/>
    </row>
    <row r="132" spans="1:13" x14ac:dyDescent="0.2">
      <c r="A132" s="230" t="s">
        <v>86</v>
      </c>
      <c r="B132" s="456" t="s">
        <v>94</v>
      </c>
      <c r="C132" s="456"/>
      <c r="D132" s="456"/>
      <c r="E132" s="456"/>
      <c r="F132" s="456"/>
      <c r="G132" s="456"/>
      <c r="H132" s="456"/>
      <c r="I132" s="456"/>
      <c r="J132" s="456"/>
      <c r="K132" s="456"/>
    </row>
    <row r="133" spans="1:13" x14ac:dyDescent="0.2">
      <c r="A133" s="230" t="s">
        <v>87</v>
      </c>
      <c r="B133" s="456" t="str">
        <f>CONCATENATE("Irrigated cotton yield is ",'Strip-Till'!B7," lbs. and irrigated peanut yield is ",'Strip-Till'!D7," lbs.")</f>
        <v>Irrigated cotton yield is 1200 lbs. and irrigated peanut yield is 4700 lbs.</v>
      </c>
      <c r="C133" s="456"/>
      <c r="D133" s="456"/>
      <c r="E133" s="456"/>
      <c r="F133" s="456"/>
      <c r="G133" s="456"/>
      <c r="H133" s="456"/>
      <c r="I133" s="174"/>
      <c r="J133" s="174"/>
      <c r="K133" s="174"/>
    </row>
    <row r="134" spans="1:13" x14ac:dyDescent="0.2">
      <c r="A134" s="230" t="s">
        <v>88</v>
      </c>
      <c r="B134" s="456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56"/>
      <c r="D134" s="456"/>
      <c r="E134" s="456"/>
      <c r="F134" s="456"/>
      <c r="G134" s="456"/>
      <c r="H134" s="456"/>
      <c r="I134" s="456"/>
      <c r="J134" s="174"/>
      <c r="K134" s="174"/>
    </row>
    <row r="135" spans="1:13" x14ac:dyDescent="0.2">
      <c r="A135" s="230" t="s">
        <v>89</v>
      </c>
      <c r="B135" s="456" t="s">
        <v>103</v>
      </c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</row>
    <row r="165" spans="1:13" x14ac:dyDescent="0.2">
      <c r="A165" s="456" t="s">
        <v>93</v>
      </c>
      <c r="B165" s="456"/>
      <c r="C165" s="456"/>
      <c r="D165" s="456"/>
      <c r="E165" s="456"/>
      <c r="F165" s="456"/>
    </row>
    <row r="166" spans="1:13" x14ac:dyDescent="0.2">
      <c r="A166" s="230" t="s">
        <v>86</v>
      </c>
      <c r="B166" s="456" t="s">
        <v>95</v>
      </c>
      <c r="C166" s="456"/>
      <c r="D166" s="456"/>
      <c r="E166" s="456"/>
      <c r="F166" s="456"/>
      <c r="G166" s="456"/>
      <c r="H166" s="456"/>
      <c r="I166" s="456"/>
      <c r="J166" s="456"/>
      <c r="K166" s="456"/>
    </row>
    <row r="167" spans="1:13" x14ac:dyDescent="0.2">
      <c r="A167" s="230" t="s">
        <v>87</v>
      </c>
      <c r="B167" s="456" t="str">
        <f>CONCATENATE("Irrigated corn yield is ",'Strip-Till'!$F$7," bu. and irrigated peanut yield is ",'Strip-Till'!$D$7," lbs.")</f>
        <v>Irrigated corn yield is 200 bu. and irrigated peanut yield is 4700 lbs.</v>
      </c>
      <c r="C167" s="456"/>
      <c r="D167" s="456"/>
      <c r="E167" s="456"/>
      <c r="F167" s="456"/>
      <c r="G167" s="456"/>
      <c r="H167" s="456"/>
      <c r="I167" s="174"/>
      <c r="J167" s="174"/>
      <c r="K167" s="174"/>
    </row>
    <row r="168" spans="1:13" x14ac:dyDescent="0.2">
      <c r="A168" s="230" t="s">
        <v>88</v>
      </c>
      <c r="B168" s="456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56"/>
      <c r="D168" s="456"/>
      <c r="E168" s="456"/>
      <c r="F168" s="456"/>
      <c r="G168" s="456"/>
      <c r="H168" s="456"/>
      <c r="I168" s="456"/>
      <c r="J168" s="174"/>
      <c r="K168" s="174"/>
    </row>
    <row r="169" spans="1:13" x14ac:dyDescent="0.2">
      <c r="A169" s="230" t="s">
        <v>89</v>
      </c>
      <c r="B169" s="456" t="s">
        <v>103</v>
      </c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</row>
    <row r="199" spans="1:13" x14ac:dyDescent="0.2">
      <c r="A199" s="456" t="s">
        <v>93</v>
      </c>
      <c r="B199" s="456"/>
      <c r="C199" s="456"/>
      <c r="D199" s="456"/>
      <c r="E199" s="456"/>
      <c r="F199" s="456"/>
    </row>
    <row r="200" spans="1:13" x14ac:dyDescent="0.2">
      <c r="A200" s="230" t="s">
        <v>86</v>
      </c>
      <c r="B200" s="456" t="s">
        <v>96</v>
      </c>
      <c r="C200" s="456"/>
      <c r="D200" s="456"/>
      <c r="E200" s="456"/>
      <c r="F200" s="456"/>
      <c r="G200" s="456"/>
      <c r="H200" s="456"/>
      <c r="I200" s="456"/>
      <c r="J200" s="456"/>
      <c r="K200" s="456"/>
      <c r="L200" s="456"/>
    </row>
    <row r="201" spans="1:13" x14ac:dyDescent="0.2">
      <c r="A201" s="230" t="s">
        <v>87</v>
      </c>
      <c r="B201" s="456" t="str">
        <f>CONCATENATE("Irrigated soybean yield is ",'Strip-Till'!$H$7," bu. and irrigated peanut yield is ",'Strip-Till'!$D$7," lbs.")</f>
        <v>Irrigated soybean yield is 60 bu. and irrigated peanut yield is 4700 lbs.</v>
      </c>
      <c r="C201" s="456"/>
      <c r="D201" s="456"/>
      <c r="E201" s="456"/>
      <c r="F201" s="456"/>
      <c r="G201" s="456"/>
      <c r="H201" s="456"/>
      <c r="I201" s="174"/>
      <c r="J201" s="174"/>
      <c r="K201" s="174"/>
    </row>
    <row r="202" spans="1:13" x14ac:dyDescent="0.2">
      <c r="A202" s="230" t="s">
        <v>88</v>
      </c>
      <c r="B202" s="456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56"/>
      <c r="D202" s="456"/>
      <c r="E202" s="456"/>
      <c r="F202" s="456"/>
      <c r="G202" s="456"/>
      <c r="H202" s="456"/>
      <c r="I202" s="456"/>
      <c r="J202" s="174"/>
      <c r="K202" s="174"/>
    </row>
    <row r="203" spans="1:13" x14ac:dyDescent="0.2">
      <c r="A203" s="230" t="s">
        <v>89</v>
      </c>
      <c r="B203" s="456" t="s">
        <v>103</v>
      </c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</row>
    <row r="233" spans="1:13" x14ac:dyDescent="0.2">
      <c r="A233" s="457" t="s">
        <v>93</v>
      </c>
      <c r="B233" s="457"/>
      <c r="C233" s="457"/>
      <c r="D233" s="457"/>
      <c r="E233" s="457"/>
      <c r="F233" s="457"/>
    </row>
    <row r="234" spans="1:13" x14ac:dyDescent="0.2">
      <c r="A234" s="230" t="s">
        <v>86</v>
      </c>
      <c r="B234" s="456" t="s">
        <v>97</v>
      </c>
      <c r="C234" s="456"/>
      <c r="D234" s="456"/>
      <c r="E234" s="456"/>
      <c r="F234" s="456"/>
      <c r="G234" s="456"/>
      <c r="H234" s="456"/>
      <c r="I234" s="456"/>
      <c r="J234" s="456"/>
      <c r="K234" s="456"/>
    </row>
    <row r="235" spans="1:13" x14ac:dyDescent="0.2">
      <c r="A235" s="230" t="s">
        <v>87</v>
      </c>
      <c r="B235" s="456" t="str">
        <f>CONCATENATE("Irrigated cotton yield is ",'Strip-Till'!$B$7," lbs. and irrigated corn yield is ",'Strip-Till'!$F$7," bu.")</f>
        <v>Irrigated cotton yield is 1200 lbs. and irrigated corn yield is 200 bu.</v>
      </c>
      <c r="C235" s="456"/>
      <c r="D235" s="456"/>
      <c r="E235" s="456"/>
      <c r="F235" s="456"/>
      <c r="G235" s="456"/>
      <c r="H235" s="456"/>
      <c r="I235" s="174"/>
      <c r="J235" s="174"/>
      <c r="K235" s="174"/>
    </row>
    <row r="236" spans="1:13" x14ac:dyDescent="0.2">
      <c r="A236" s="230" t="s">
        <v>88</v>
      </c>
      <c r="B236" s="456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56"/>
      <c r="D236" s="456"/>
      <c r="E236" s="456"/>
      <c r="F236" s="456"/>
      <c r="G236" s="456"/>
      <c r="H236" s="456"/>
      <c r="I236" s="456"/>
      <c r="J236" s="174"/>
      <c r="K236" s="174"/>
    </row>
    <row r="237" spans="1:13" x14ac:dyDescent="0.2">
      <c r="A237" s="230" t="s">
        <v>89</v>
      </c>
      <c r="B237" s="456" t="s">
        <v>103</v>
      </c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</row>
    <row r="267" spans="1:13" x14ac:dyDescent="0.2">
      <c r="A267" s="456" t="s">
        <v>93</v>
      </c>
      <c r="B267" s="456"/>
      <c r="C267" s="456"/>
      <c r="D267" s="456"/>
      <c r="E267" s="456"/>
      <c r="F267" s="456"/>
    </row>
    <row r="268" spans="1:13" x14ac:dyDescent="0.2">
      <c r="A268" s="230" t="s">
        <v>86</v>
      </c>
      <c r="B268" s="456" t="s">
        <v>98</v>
      </c>
      <c r="C268" s="456"/>
      <c r="D268" s="456"/>
      <c r="E268" s="456"/>
      <c r="F268" s="456"/>
      <c r="G268" s="456"/>
      <c r="H268" s="456"/>
      <c r="I268" s="456"/>
      <c r="J268" s="456"/>
      <c r="K268" s="456"/>
    </row>
    <row r="269" spans="1:13" x14ac:dyDescent="0.2">
      <c r="A269" s="230" t="s">
        <v>87</v>
      </c>
      <c r="B269" s="456" t="str">
        <f>CONCATENATE("Irrigated peanut yield is ",'Strip-Till'!$D$7," lbs. and irrigated corn yield is ",'Strip-Till'!$F$7," bu.")</f>
        <v>Irrigated peanut yield is 4700 lbs. and irrigated corn yield is 200 bu.</v>
      </c>
      <c r="C269" s="456"/>
      <c r="D269" s="456"/>
      <c r="E269" s="456"/>
      <c r="F269" s="456"/>
      <c r="G269" s="456"/>
      <c r="H269" s="456"/>
      <c r="I269" s="174"/>
      <c r="J269" s="174"/>
      <c r="K269" s="174"/>
    </row>
    <row r="270" spans="1:13" x14ac:dyDescent="0.2">
      <c r="A270" s="230" t="s">
        <v>88</v>
      </c>
      <c r="B270" s="456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56"/>
      <c r="D270" s="456"/>
      <c r="E270" s="456"/>
      <c r="F270" s="456"/>
      <c r="G270" s="456"/>
      <c r="H270" s="456"/>
      <c r="I270" s="456"/>
      <c r="J270" s="174"/>
      <c r="K270" s="174"/>
    </row>
    <row r="271" spans="1:13" x14ac:dyDescent="0.2">
      <c r="A271" s="230" t="s">
        <v>89</v>
      </c>
      <c r="B271" s="456" t="s">
        <v>103</v>
      </c>
      <c r="C271" s="456"/>
      <c r="D271" s="456"/>
      <c r="E271" s="456"/>
      <c r="F271" s="456"/>
      <c r="G271" s="456"/>
      <c r="H271" s="456"/>
      <c r="I271" s="456"/>
      <c r="J271" s="456"/>
      <c r="K271" s="456"/>
      <c r="L271" s="456"/>
      <c r="M271" s="456"/>
    </row>
    <row r="301" spans="1:12" x14ac:dyDescent="0.2">
      <c r="A301" s="456" t="s">
        <v>93</v>
      </c>
      <c r="B301" s="456"/>
      <c r="C301" s="456"/>
      <c r="D301" s="456"/>
      <c r="E301" s="456"/>
      <c r="F301" s="456"/>
    </row>
    <row r="302" spans="1:12" x14ac:dyDescent="0.2">
      <c r="A302" s="230" t="s">
        <v>86</v>
      </c>
      <c r="B302" s="456" t="s">
        <v>99</v>
      </c>
      <c r="C302" s="456"/>
      <c r="D302" s="456"/>
      <c r="E302" s="456"/>
      <c r="F302" s="456"/>
      <c r="G302" s="456"/>
      <c r="H302" s="456"/>
      <c r="I302" s="456"/>
      <c r="J302" s="456"/>
      <c r="K302" s="456"/>
      <c r="L302" s="456"/>
    </row>
    <row r="303" spans="1:12" x14ac:dyDescent="0.2">
      <c r="A303" s="230" t="s">
        <v>87</v>
      </c>
      <c r="B303" s="456" t="str">
        <f>CONCATENATE("Irrigated soybean yield is ",'Strip-Till'!$H$7," bu. and irrigated corn yield is ",'Strip-Till'!$F$7," bu.")</f>
        <v>Irrigated soybean yield is 60 bu. and irrigated corn yield is 200 bu.</v>
      </c>
      <c r="C303" s="456"/>
      <c r="D303" s="456"/>
      <c r="E303" s="456"/>
      <c r="F303" s="456"/>
      <c r="G303" s="456"/>
      <c r="H303" s="456"/>
      <c r="I303" s="174"/>
      <c r="J303" s="174"/>
      <c r="K303" s="174"/>
    </row>
    <row r="304" spans="1:12" x14ac:dyDescent="0.2">
      <c r="A304" s="230" t="s">
        <v>88</v>
      </c>
      <c r="B304" s="456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56"/>
      <c r="D304" s="456"/>
      <c r="E304" s="456"/>
      <c r="F304" s="456"/>
      <c r="G304" s="456"/>
      <c r="H304" s="456"/>
      <c r="I304" s="456"/>
      <c r="J304" s="174"/>
      <c r="K304" s="174"/>
    </row>
    <row r="305" spans="1:13" x14ac:dyDescent="0.2">
      <c r="A305" s="230" t="s">
        <v>89</v>
      </c>
      <c r="B305" s="456" t="s">
        <v>103</v>
      </c>
      <c r="C305" s="456"/>
      <c r="D305" s="456"/>
      <c r="E305" s="456"/>
      <c r="F305" s="456"/>
      <c r="G305" s="456"/>
      <c r="H305" s="456"/>
      <c r="I305" s="456"/>
      <c r="J305" s="456"/>
      <c r="K305" s="456"/>
      <c r="L305" s="456"/>
      <c r="M305" s="456"/>
    </row>
    <row r="334" spans="1:12" x14ac:dyDescent="0.2">
      <c r="A334" s="457" t="s">
        <v>93</v>
      </c>
      <c r="B334" s="457"/>
      <c r="C334" s="457"/>
      <c r="D334" s="457"/>
      <c r="E334" s="457"/>
      <c r="F334" s="457"/>
    </row>
    <row r="335" spans="1:12" x14ac:dyDescent="0.2">
      <c r="A335" s="230" t="s">
        <v>86</v>
      </c>
      <c r="B335" s="456" t="s">
        <v>100</v>
      </c>
      <c r="C335" s="456"/>
      <c r="D335" s="456"/>
      <c r="E335" s="456"/>
      <c r="F335" s="456"/>
      <c r="G335" s="456"/>
      <c r="H335" s="456"/>
      <c r="I335" s="456"/>
      <c r="J335" s="456"/>
      <c r="K335" s="456"/>
      <c r="L335" s="456"/>
    </row>
    <row r="336" spans="1:12" x14ac:dyDescent="0.2">
      <c r="A336" s="230" t="s">
        <v>87</v>
      </c>
      <c r="B336" s="456" t="str">
        <f>CONCATENATE("Irrigated cotton yield is ",'Strip-Till'!$B$7," lbs. and irrigated soybean yield is ",'Strip-Till'!$H$7," bu.")</f>
        <v>Irrigated cotton yield is 1200 lbs. and irrigated soybean yield is 60 bu.</v>
      </c>
      <c r="C336" s="456"/>
      <c r="D336" s="456"/>
      <c r="E336" s="456"/>
      <c r="F336" s="456"/>
      <c r="G336" s="456"/>
      <c r="H336" s="456"/>
      <c r="I336" s="174"/>
      <c r="J336" s="174"/>
      <c r="K336" s="174"/>
    </row>
    <row r="337" spans="1:13" x14ac:dyDescent="0.2">
      <c r="A337" s="230" t="s">
        <v>88</v>
      </c>
      <c r="B337" s="456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56"/>
      <c r="D337" s="456"/>
      <c r="E337" s="456"/>
      <c r="F337" s="456"/>
      <c r="G337" s="456"/>
      <c r="H337" s="456"/>
      <c r="I337" s="456"/>
      <c r="J337" s="174"/>
      <c r="K337" s="174"/>
    </row>
    <row r="338" spans="1:13" x14ac:dyDescent="0.2">
      <c r="A338" s="230" t="s">
        <v>89</v>
      </c>
      <c r="B338" s="456" t="s">
        <v>103</v>
      </c>
      <c r="C338" s="456"/>
      <c r="D338" s="456"/>
      <c r="E338" s="456"/>
      <c r="F338" s="456"/>
      <c r="G338" s="456"/>
      <c r="H338" s="456"/>
      <c r="I338" s="456"/>
      <c r="J338" s="456"/>
      <c r="K338" s="456"/>
      <c r="L338" s="456"/>
      <c r="M338" s="456"/>
    </row>
    <row r="369" spans="1:13" x14ac:dyDescent="0.2">
      <c r="A369" s="456" t="s">
        <v>93</v>
      </c>
      <c r="B369" s="456"/>
      <c r="C369" s="456"/>
      <c r="D369" s="456"/>
      <c r="E369" s="456"/>
      <c r="F369" s="456"/>
    </row>
    <row r="370" spans="1:13" x14ac:dyDescent="0.2">
      <c r="A370" s="230" t="s">
        <v>86</v>
      </c>
      <c r="B370" s="456" t="s">
        <v>101</v>
      </c>
      <c r="C370" s="456"/>
      <c r="D370" s="456"/>
      <c r="E370" s="456"/>
      <c r="F370" s="456"/>
      <c r="G370" s="456"/>
      <c r="H370" s="456"/>
      <c r="I370" s="456"/>
      <c r="J370" s="456"/>
      <c r="K370" s="456"/>
      <c r="L370" s="456"/>
    </row>
    <row r="371" spans="1:13" x14ac:dyDescent="0.2">
      <c r="A371" s="230" t="s">
        <v>87</v>
      </c>
      <c r="B371" s="456" t="str">
        <f>CONCATENATE("Irrigated peanut yield is ",'Strip-Till'!$D$7," lbs. and irrigated soybean yield is ",'Strip-Till'!$H$7," bu.")</f>
        <v>Irrigated peanut yield is 4700 lbs. and irrigated soybean yield is 60 bu.</v>
      </c>
      <c r="C371" s="456"/>
      <c r="D371" s="456"/>
      <c r="E371" s="456"/>
      <c r="F371" s="456"/>
      <c r="G371" s="456"/>
      <c r="H371" s="456"/>
      <c r="I371" s="174"/>
      <c r="J371" s="174"/>
      <c r="K371" s="174"/>
    </row>
    <row r="372" spans="1:13" x14ac:dyDescent="0.2">
      <c r="A372" s="230" t="s">
        <v>88</v>
      </c>
      <c r="B372" s="456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56"/>
      <c r="D372" s="456"/>
      <c r="E372" s="456"/>
      <c r="F372" s="456"/>
      <c r="G372" s="456"/>
      <c r="H372" s="456"/>
      <c r="I372" s="456"/>
      <c r="J372" s="174"/>
      <c r="K372" s="174"/>
    </row>
    <row r="373" spans="1:13" x14ac:dyDescent="0.2">
      <c r="A373" s="230" t="s">
        <v>89</v>
      </c>
      <c r="B373" s="456" t="s">
        <v>103</v>
      </c>
      <c r="C373" s="456"/>
      <c r="D373" s="456"/>
      <c r="E373" s="456"/>
      <c r="F373" s="456"/>
      <c r="G373" s="456"/>
      <c r="H373" s="456"/>
      <c r="I373" s="456"/>
      <c r="J373" s="456"/>
      <c r="K373" s="456"/>
      <c r="L373" s="456"/>
      <c r="M373" s="456"/>
    </row>
    <row r="403" spans="1:13" x14ac:dyDescent="0.2">
      <c r="A403" s="456" t="s">
        <v>93</v>
      </c>
      <c r="B403" s="456"/>
      <c r="C403" s="456"/>
      <c r="D403" s="456"/>
      <c r="E403" s="456"/>
      <c r="F403" s="456"/>
    </row>
    <row r="404" spans="1:13" x14ac:dyDescent="0.2">
      <c r="A404" s="230" t="s">
        <v>86</v>
      </c>
      <c r="B404" s="456" t="s">
        <v>102</v>
      </c>
      <c r="C404" s="456"/>
      <c r="D404" s="456"/>
      <c r="E404" s="456"/>
      <c r="F404" s="456"/>
      <c r="G404" s="456"/>
      <c r="H404" s="456"/>
      <c r="I404" s="456"/>
      <c r="J404" s="456"/>
      <c r="K404" s="456"/>
      <c r="L404" s="456"/>
    </row>
    <row r="405" spans="1:13" x14ac:dyDescent="0.2">
      <c r="A405" s="230" t="s">
        <v>87</v>
      </c>
      <c r="B405" s="456" t="str">
        <f>CONCATENATE("Irrigated corn yield is ",'Strip-Till'!$F$7," bu. and irrigated soybean yield is ",'Strip-Till'!$H$7," bu.")</f>
        <v>Irrigated corn yield is 200 bu. and irrigated soybean yield is 60 bu.</v>
      </c>
      <c r="C405" s="456"/>
      <c r="D405" s="456"/>
      <c r="E405" s="456"/>
      <c r="F405" s="456"/>
      <c r="G405" s="456"/>
      <c r="H405" s="456"/>
      <c r="I405" s="174"/>
      <c r="J405" s="174"/>
      <c r="K405" s="174"/>
    </row>
    <row r="406" spans="1:13" x14ac:dyDescent="0.2">
      <c r="A406" s="230" t="s">
        <v>88</v>
      </c>
      <c r="B406" s="456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56"/>
      <c r="D406" s="456"/>
      <c r="E406" s="456"/>
      <c r="F406" s="456"/>
      <c r="G406" s="456"/>
      <c r="H406" s="456"/>
      <c r="I406" s="456"/>
      <c r="J406" s="174"/>
      <c r="K406" s="174"/>
    </row>
    <row r="407" spans="1:13" x14ac:dyDescent="0.2">
      <c r="A407" s="230" t="s">
        <v>89</v>
      </c>
      <c r="B407" s="456" t="s">
        <v>103</v>
      </c>
      <c r="C407" s="456"/>
      <c r="D407" s="456"/>
      <c r="E407" s="456"/>
      <c r="F407" s="456"/>
      <c r="G407" s="456"/>
      <c r="H407" s="456"/>
      <c r="I407" s="456"/>
      <c r="J407" s="456"/>
      <c r="K407" s="456"/>
      <c r="L407" s="456"/>
      <c r="M407" s="456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 and Yangxuan Liu&amp;RAg and Applied Economics,11/2021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8" width="9.33203125" style="75" customWidth="1"/>
    <col min="9" max="16384" width="9.33203125" style="75"/>
  </cols>
  <sheetData>
    <row r="1" spans="1:13" s="62" customFormat="1" ht="12" hidden="1" x14ac:dyDescent="0.15">
      <c r="A1" s="61"/>
      <c r="B1" s="463" t="s">
        <v>45</v>
      </c>
      <c r="C1" s="463"/>
      <c r="D1" s="463"/>
      <c r="E1" s="463"/>
      <c r="F1" s="463"/>
      <c r="G1" s="463"/>
      <c r="H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15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15">
      <c r="A4" s="62" t="s">
        <v>42</v>
      </c>
      <c r="B4" s="67">
        <f>Conventional!B8</f>
        <v>0.85</v>
      </c>
      <c r="C4" s="68">
        <f>Conventional!D8</f>
        <v>440</v>
      </c>
      <c r="D4" s="69">
        <f>Conventional!F8</f>
        <v>5.5</v>
      </c>
      <c r="E4" s="69">
        <f>Conventional!H8</f>
        <v>11</v>
      </c>
      <c r="F4" s="69">
        <f>Conventional!J8</f>
        <v>5</v>
      </c>
      <c r="G4" s="69">
        <f>Conventional!V8</f>
        <v>7</v>
      </c>
      <c r="H4" s="69"/>
    </row>
    <row r="5" spans="1:13" s="62" customFormat="1" ht="12" hidden="1" x14ac:dyDescent="0.15">
      <c r="A5" s="70" t="s">
        <v>44</v>
      </c>
      <c r="B5" s="71">
        <f>B3*B4</f>
        <v>1020</v>
      </c>
      <c r="C5" s="71">
        <f>C3*C4/2000</f>
        <v>1034</v>
      </c>
      <c r="D5" s="71">
        <f>D3*D4</f>
        <v>1100</v>
      </c>
      <c r="E5" s="71">
        <f>E3*E4</f>
        <v>660</v>
      </c>
      <c r="F5" s="71">
        <f>F3*F4</f>
        <v>500</v>
      </c>
      <c r="G5" s="71">
        <f>G3*G4</f>
        <v>525</v>
      </c>
      <c r="H5" s="72"/>
    </row>
    <row r="6" spans="1:13" s="62" customFormat="1" ht="12" hidden="1" x14ac:dyDescent="0.15">
      <c r="A6" s="70" t="s">
        <v>43</v>
      </c>
      <c r="B6" s="73">
        <f>Conventional!B30</f>
        <v>708.80933481818181</v>
      </c>
      <c r="C6" s="73">
        <f>Conventional!D30</f>
        <v>735.729691</v>
      </c>
      <c r="D6" s="73">
        <f>Conventional!F30</f>
        <v>857.51891300000023</v>
      </c>
      <c r="E6" s="73">
        <f>Conventional!H30</f>
        <v>352.8997453500001</v>
      </c>
      <c r="F6" s="73">
        <f>Conventional!J30</f>
        <v>465.24084399999992</v>
      </c>
      <c r="G6" s="73">
        <f>Conventional!V30</f>
        <v>436.14704606250007</v>
      </c>
      <c r="H6" s="68"/>
    </row>
    <row r="7" spans="1:13" s="62" customFormat="1" ht="16" x14ac:dyDescent="0.2">
      <c r="A7" s="464" t="s">
        <v>127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5" t="s">
        <v>153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13" x14ac:dyDescent="0.15">
      <c r="A10" s="459" t="s">
        <v>47</v>
      </c>
      <c r="B10" s="459"/>
      <c r="C10" s="459"/>
      <c r="D10" s="459"/>
      <c r="E10" s="459"/>
      <c r="F10" s="459"/>
      <c r="H10" s="459" t="s">
        <v>50</v>
      </c>
      <c r="I10" s="459"/>
      <c r="J10" s="459"/>
      <c r="K10" s="459"/>
      <c r="L10" s="459"/>
      <c r="M10" s="459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62" t="s">
        <v>36</v>
      </c>
      <c r="I11" s="462"/>
      <c r="J11" s="462"/>
      <c r="K11" s="462"/>
      <c r="L11" s="462"/>
      <c r="M11" s="462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A16*0.7</f>
        <v>3.8499999999999996</v>
      </c>
      <c r="B14" s="85">
        <f>$A$14*B$13-$D$6</f>
        <v>-280.01891300000023</v>
      </c>
      <c r="C14" s="85">
        <f>$A$14*C$13-$D$6</f>
        <v>-164.51891300000034</v>
      </c>
      <c r="D14" s="85">
        <f>$A$14*D$13-$D$6</f>
        <v>-87.518913000000339</v>
      </c>
      <c r="E14" s="85">
        <f>$A$14*E$13-$D$6</f>
        <v>-10.518913000000225</v>
      </c>
      <c r="F14" s="85">
        <f>$A$14*F$13-$D$6</f>
        <v>104.98108699999966</v>
      </c>
      <c r="H14" s="84">
        <f>H16*0.7</f>
        <v>0.59499999999999997</v>
      </c>
      <c r="I14" s="87">
        <f>$H$14*$I$13-$B$6</f>
        <v>-173.30933481818181</v>
      </c>
      <c r="J14" s="87">
        <f>$H$14*J13-$B$6</f>
        <v>-66.209334818181787</v>
      </c>
      <c r="K14" s="87">
        <f>$H$14*K13-$B$6</f>
        <v>5.1906651818181899</v>
      </c>
      <c r="L14" s="87">
        <f>$H$14*L13-$B$6</f>
        <v>76.590665181818167</v>
      </c>
      <c r="M14" s="87">
        <f>$H$14*M13-$B$6</f>
        <v>183.69066518181819</v>
      </c>
    </row>
    <row r="15" spans="1:13" x14ac:dyDescent="0.15">
      <c r="A15" s="86">
        <f>A16*0.85</f>
        <v>4.6749999999999998</v>
      </c>
      <c r="B15" s="87">
        <f>$A$15*B$13-$D$6</f>
        <v>-156.26891300000023</v>
      </c>
      <c r="C15" s="87">
        <f>$A$15*C$13-$D$6</f>
        <v>-16.018913000000225</v>
      </c>
      <c r="D15" s="87">
        <f>$A$15*D$13-$D$6</f>
        <v>77.481086999999775</v>
      </c>
      <c r="E15" s="87">
        <f>$A$15*E$13-$D$6</f>
        <v>170.98108699999977</v>
      </c>
      <c r="F15" s="87">
        <f>$A$15*F$13-$D$6</f>
        <v>311.23108699999977</v>
      </c>
      <c r="H15" s="86">
        <f>H16*0.85</f>
        <v>0.72249999999999992</v>
      </c>
      <c r="I15" s="87">
        <f>$H$15*$I$13-$B$6</f>
        <v>-58.559334818181924</v>
      </c>
      <c r="J15" s="87">
        <f>$H$15*J13-$B$6</f>
        <v>71.490665181818144</v>
      </c>
      <c r="K15" s="87">
        <f>$H$15*K13-$B$6</f>
        <v>158.19066518181808</v>
      </c>
      <c r="L15" s="87">
        <f>$H$15*L13-$B$6</f>
        <v>244.89066518181812</v>
      </c>
      <c r="M15" s="87">
        <f>$H$15*M13-$B$6</f>
        <v>374.94066518181796</v>
      </c>
    </row>
    <row r="16" spans="1:13" x14ac:dyDescent="0.15">
      <c r="A16" s="86">
        <f>D4</f>
        <v>5.5</v>
      </c>
      <c r="B16" s="87">
        <f>$A$16*B$13-$D$6</f>
        <v>-32.518913000000225</v>
      </c>
      <c r="C16" s="87">
        <f>$A$16*C$13-$D$6</f>
        <v>132.48108699999977</v>
      </c>
      <c r="D16" s="87">
        <f>$A$16*D$13-$D$6</f>
        <v>242.48108699999977</v>
      </c>
      <c r="E16" s="87">
        <f>$A$16*E$13-$D$6</f>
        <v>352.481087</v>
      </c>
      <c r="F16" s="87">
        <f>$A$16*F$13-$D$6</f>
        <v>517.48108699999977</v>
      </c>
      <c r="H16" s="86">
        <f>B4</f>
        <v>0.85</v>
      </c>
      <c r="I16" s="87">
        <f>$H$16*$I$13-$B$6</f>
        <v>56.19066518181819</v>
      </c>
      <c r="J16" s="87">
        <f>$H$16*J13-$B$6</f>
        <v>209.19066518181819</v>
      </c>
      <c r="K16" s="87">
        <f>$H$16*K13-$B$6</f>
        <v>311.19066518181819</v>
      </c>
      <c r="L16" s="87">
        <f>$H$16*L13-$B$6</f>
        <v>413.19066518181819</v>
      </c>
      <c r="M16" s="87">
        <f>$H$16*M13-$B$6</f>
        <v>566.19066518181819</v>
      </c>
    </row>
    <row r="17" spans="1:13" x14ac:dyDescent="0.15">
      <c r="A17" s="86">
        <f>A16*1.15</f>
        <v>6.3249999999999993</v>
      </c>
      <c r="B17" s="87">
        <f>$A$17*B$13-$D$6</f>
        <v>91.231086999999661</v>
      </c>
      <c r="C17" s="87">
        <f>$A$17*C$13-$D$6</f>
        <v>280.98108699999955</v>
      </c>
      <c r="D17" s="87">
        <f>$A$17*D$13-$D$6</f>
        <v>407.48108699999955</v>
      </c>
      <c r="E17" s="87">
        <f>$A$17*E$13-$D$6</f>
        <v>533.98108699999977</v>
      </c>
      <c r="F17" s="87">
        <f>$A$17*F$13-$D$6</f>
        <v>723.73108699999955</v>
      </c>
      <c r="H17" s="86">
        <f>H16*1.15</f>
        <v>0.97749999999999992</v>
      </c>
      <c r="I17" s="87">
        <f>$H$17*$I$13-$B$6</f>
        <v>170.94066518181808</v>
      </c>
      <c r="J17" s="87">
        <f>$H$17*J13-$B$6</f>
        <v>346.89066518181801</v>
      </c>
      <c r="K17" s="87">
        <f>$H$17*K13-$B$6</f>
        <v>464.19066518181819</v>
      </c>
      <c r="L17" s="87">
        <f>$H$17*L13-$B$6</f>
        <v>581.49066518181814</v>
      </c>
      <c r="M17" s="87">
        <f>$H$17*M13-$B$6</f>
        <v>757.44066518181819</v>
      </c>
    </row>
    <row r="18" spans="1:13" x14ac:dyDescent="0.15">
      <c r="A18" s="88">
        <f>A16*1.3</f>
        <v>7.15</v>
      </c>
      <c r="B18" s="89">
        <f>$A$18*B$13-$D$6</f>
        <v>214.98108699999977</v>
      </c>
      <c r="C18" s="89">
        <f>$A$18*C$13-$D$6</f>
        <v>429.48108699999977</v>
      </c>
      <c r="D18" s="89">
        <f>$A$18*D$13-$D$6</f>
        <v>572.48108699999977</v>
      </c>
      <c r="E18" s="89">
        <f>$A$18*E$13-$D$6</f>
        <v>715.481087</v>
      </c>
      <c r="F18" s="89">
        <f>$A$18*F$13-$D$6</f>
        <v>929.98108699999977</v>
      </c>
      <c r="H18" s="88">
        <f>H16*1.3</f>
        <v>1.105</v>
      </c>
      <c r="I18" s="89">
        <f>$H$18*$I$13-$B$6</f>
        <v>285.69066518181819</v>
      </c>
      <c r="J18" s="89">
        <f>$H$18*J13-$B$6</f>
        <v>484.59066518181828</v>
      </c>
      <c r="K18" s="89">
        <f>$H$18*K13-$B$6</f>
        <v>617.19066518181819</v>
      </c>
      <c r="L18" s="89">
        <f>$H$18*L13-$B$6</f>
        <v>749.7906651818181</v>
      </c>
      <c r="M18" s="89">
        <f>$H$18*M13-$B$6</f>
        <v>948.69066518181819</v>
      </c>
    </row>
    <row r="20" spans="1:13" x14ac:dyDescent="0.15">
      <c r="A20" s="459" t="s">
        <v>48</v>
      </c>
      <c r="B20" s="459"/>
      <c r="C20" s="459"/>
      <c r="D20" s="459"/>
      <c r="E20" s="459"/>
      <c r="F20" s="459"/>
      <c r="H20" s="460" t="s">
        <v>120</v>
      </c>
      <c r="I20" s="460"/>
      <c r="J20" s="460"/>
      <c r="K20" s="460"/>
      <c r="L20" s="460"/>
      <c r="M20" s="460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1" t="s">
        <v>36</v>
      </c>
      <c r="I21" s="461"/>
      <c r="J21" s="461"/>
      <c r="K21" s="461"/>
      <c r="L21" s="461"/>
      <c r="M21" s="461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A26*0.7</f>
        <v>3.5</v>
      </c>
      <c r="B24" s="85">
        <f>$A$24*B$23-$F$6</f>
        <v>-202.74084399999992</v>
      </c>
      <c r="C24" s="85">
        <f>$A$24*C$23-$F$6</f>
        <v>-150.24084399999992</v>
      </c>
      <c r="D24" s="85">
        <f>$A$24*D$23-$F$6</f>
        <v>-115.24084399999992</v>
      </c>
      <c r="E24" s="85">
        <f>$A$24*E$23-$F$6</f>
        <v>-80.240843999999868</v>
      </c>
      <c r="F24" s="85">
        <f>$A$24*F$23-$F$6</f>
        <v>-27.740843999999925</v>
      </c>
      <c r="H24" s="90">
        <f>H26*0.7</f>
        <v>308</v>
      </c>
      <c r="I24" s="85">
        <f>$H$24*I$23/2000-$C$6</f>
        <v>-192.87969099999998</v>
      </c>
      <c r="J24" s="85">
        <f>$H$24*J$23/2000-$C$6</f>
        <v>-84.309691000000043</v>
      </c>
      <c r="K24" s="85">
        <f>$H$24*K$23/2000-$C$6</f>
        <v>-11.929691000000048</v>
      </c>
      <c r="L24" s="85">
        <f>$H$24*L$23/2000-$C$6</f>
        <v>60.450308999999947</v>
      </c>
      <c r="M24" s="85">
        <f>$H$24*M$23/2000-$C$6</f>
        <v>169.020309</v>
      </c>
    </row>
    <row r="25" spans="1:13" x14ac:dyDescent="0.15">
      <c r="A25" s="86">
        <f>A26*0.85</f>
        <v>4.25</v>
      </c>
      <c r="B25" s="87">
        <f>$A$25*B$23-$F$6</f>
        <v>-146.49084399999992</v>
      </c>
      <c r="C25" s="87">
        <f>$A$25*C$23-$F$6</f>
        <v>-82.740843999999925</v>
      </c>
      <c r="D25" s="87">
        <f>$A$25*D$23-$F$6</f>
        <v>-40.240843999999925</v>
      </c>
      <c r="E25" s="87">
        <f>$A$25*E$23-$F$6</f>
        <v>2.2591560000001323</v>
      </c>
      <c r="F25" s="87">
        <f>$A$25*F$23-$F$6</f>
        <v>66.009156000000075</v>
      </c>
      <c r="H25" s="91">
        <f>H26*0.85</f>
        <v>374</v>
      </c>
      <c r="I25" s="87">
        <f>$H$25*I$23/2000-$C$6</f>
        <v>-76.554691000000048</v>
      </c>
      <c r="J25" s="87">
        <f>$H$25*J$23/2000-$C$6</f>
        <v>55.280308999999988</v>
      </c>
      <c r="K25" s="87">
        <f>$H$25*K$23/2000-$C$6</f>
        <v>143.17030899999997</v>
      </c>
      <c r="L25" s="87">
        <f>$H$25*L$23/2000-$C$6</f>
        <v>231.06030899999996</v>
      </c>
      <c r="M25" s="87">
        <f>$H$25*M$23/2000-$C$6</f>
        <v>362.895309</v>
      </c>
    </row>
    <row r="26" spans="1:13" x14ac:dyDescent="0.15">
      <c r="A26" s="86">
        <f>F4</f>
        <v>5</v>
      </c>
      <c r="B26" s="87">
        <f>$A$26*B$23-$F$6</f>
        <v>-90.240843999999925</v>
      </c>
      <c r="C26" s="87">
        <f>$A$26*C$23-$F$6</f>
        <v>-15.240843999999925</v>
      </c>
      <c r="D26" s="87">
        <f>$A$26*D$23-$F$6</f>
        <v>34.759156000000075</v>
      </c>
      <c r="E26" s="87">
        <f>$A$26*E$23-$F$6</f>
        <v>84.759156000000189</v>
      </c>
      <c r="F26" s="87">
        <f>$A$26*F$23-$F$6</f>
        <v>159.75915600000008</v>
      </c>
      <c r="H26" s="91">
        <f>C4</f>
        <v>440</v>
      </c>
      <c r="I26" s="87">
        <f>$H$26*I$23/2000-$C$6</f>
        <v>39.770308999999997</v>
      </c>
      <c r="J26" s="87">
        <f>$H$26*J$23/2000-$C$6</f>
        <v>194.87030900000002</v>
      </c>
      <c r="K26" s="87">
        <f>$H$26*K$23/2000-$C$6</f>
        <v>298.270309</v>
      </c>
      <c r="L26" s="87">
        <f>$H$26*L$23/2000-$C$6</f>
        <v>401.67030900000009</v>
      </c>
      <c r="M26" s="87">
        <f>$H$26*M$23/2000-$C$6</f>
        <v>556.770309</v>
      </c>
    </row>
    <row r="27" spans="1:13" x14ac:dyDescent="0.15">
      <c r="A27" s="86">
        <f>A26*1.15</f>
        <v>5.75</v>
      </c>
      <c r="B27" s="87">
        <f>$A$27*B$23-$F$6</f>
        <v>-33.990843999999925</v>
      </c>
      <c r="C27" s="87">
        <f>$A$27*C$23-$F$6</f>
        <v>52.259156000000075</v>
      </c>
      <c r="D27" s="87">
        <f>$A$27*D$23-$F$6</f>
        <v>109.75915600000008</v>
      </c>
      <c r="E27" s="87">
        <f>$A$27*E$23-$F$6</f>
        <v>167.25915600000019</v>
      </c>
      <c r="F27" s="87">
        <f>$A$27*F$23-$F$6</f>
        <v>253.50915600000008</v>
      </c>
      <c r="H27" s="91">
        <f>H26*1.15</f>
        <v>505.99999999999994</v>
      </c>
      <c r="I27" s="87">
        <f>$H$27*I$23/2000-$C$6</f>
        <v>156.09530899999993</v>
      </c>
      <c r="J27" s="87">
        <f>$H$27*J$23/2000-$C$6</f>
        <v>334.46030899999982</v>
      </c>
      <c r="K27" s="87">
        <f>$H$27*K$23/2000-$C$6</f>
        <v>453.37030899999968</v>
      </c>
      <c r="L27" s="87">
        <f>$H$27*L$23/2000-$C$6</f>
        <v>572.28030899999976</v>
      </c>
      <c r="M27" s="87">
        <f>$H$27*M$23/2000-$C$6</f>
        <v>750.64530899999977</v>
      </c>
    </row>
    <row r="28" spans="1:13" x14ac:dyDescent="0.15">
      <c r="A28" s="88">
        <f>A26*1.3</f>
        <v>6.5</v>
      </c>
      <c r="B28" s="89">
        <f>$A$28*B$23-$F$6</f>
        <v>22.259156000000075</v>
      </c>
      <c r="C28" s="89">
        <f>$A$28*C$23-$F$6</f>
        <v>119.75915600000008</v>
      </c>
      <c r="D28" s="89">
        <f>$A$28*D$23-$F$6</f>
        <v>184.75915600000008</v>
      </c>
      <c r="E28" s="89">
        <f>$A$28*E$23-$F$6</f>
        <v>249.75915600000019</v>
      </c>
      <c r="F28" s="89">
        <f>$A$28*F$23-$F$6</f>
        <v>347.25915600000008</v>
      </c>
      <c r="H28" s="92">
        <f>H26*1.3</f>
        <v>572</v>
      </c>
      <c r="I28" s="89">
        <f>$H$28*I$23/2000-$C$6</f>
        <v>272.42030899999997</v>
      </c>
      <c r="J28" s="89">
        <f>$H$28*J$23/2000-$C$6</f>
        <v>474.05030899999997</v>
      </c>
      <c r="K28" s="89">
        <f>$H$28*K$23/2000-$C$6</f>
        <v>608.47030900000004</v>
      </c>
      <c r="L28" s="89">
        <f>$H$28*L$23/2000-$C$6</f>
        <v>742.89030899999989</v>
      </c>
      <c r="M28" s="89">
        <f>$H$28*M$23/2000-$C$6</f>
        <v>944.520309</v>
      </c>
    </row>
    <row r="30" spans="1:13" x14ac:dyDescent="0.15">
      <c r="A30" s="459" t="s">
        <v>49</v>
      </c>
      <c r="B30" s="459"/>
      <c r="C30" s="459"/>
      <c r="D30" s="459"/>
      <c r="E30" s="459"/>
      <c r="F30" s="459"/>
      <c r="H30" s="459" t="s">
        <v>64</v>
      </c>
      <c r="I30" s="459"/>
      <c r="J30" s="459"/>
      <c r="K30" s="459"/>
      <c r="L30" s="459"/>
      <c r="M30" s="459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15">
      <c r="A34" s="84">
        <f>A36*0.7</f>
        <v>7.6999999999999993</v>
      </c>
      <c r="B34" s="85">
        <f>$A$34*B$33-$E$6</f>
        <v>-6.3997453500001598</v>
      </c>
      <c r="C34" s="85">
        <f>$A$34*C$33-$E$6</f>
        <v>62.900254649999852</v>
      </c>
      <c r="D34" s="85">
        <f>$A$34*D$33-$E$6</f>
        <v>109.10025464999984</v>
      </c>
      <c r="E34" s="85">
        <f>$A$34*E$33-$E$6</f>
        <v>155.30025464999983</v>
      </c>
      <c r="F34" s="85">
        <f>$A$34*F$33-$E$6</f>
        <v>224.6002546499999</v>
      </c>
      <c r="H34" s="84">
        <f>H36*0.7</f>
        <v>4.8999999999999995</v>
      </c>
      <c r="I34" s="85">
        <f>$H$34*I$33-$G$6</f>
        <v>-160.52204606250012</v>
      </c>
      <c r="J34" s="85">
        <f>$H$34*J$33-$G$6</f>
        <v>-105.39704606250012</v>
      </c>
      <c r="K34" s="85">
        <f>$H$34*K$33-$G$6</f>
        <v>-68.647046062500124</v>
      </c>
      <c r="L34" s="85">
        <f>$H$34*L$33-$G$6</f>
        <v>-31.897046062500124</v>
      </c>
      <c r="M34" s="85">
        <f>$H$34*M$33-$G$6</f>
        <v>23.227953937499876</v>
      </c>
    </row>
    <row r="35" spans="1:13" x14ac:dyDescent="0.15">
      <c r="A35" s="86">
        <f>A36*0.85</f>
        <v>9.35</v>
      </c>
      <c r="B35" s="87">
        <f>$A$35*B$33-$E$6</f>
        <v>67.850254649999897</v>
      </c>
      <c r="C35" s="87">
        <f>$A$35*C$33-$E$6</f>
        <v>152.00025464999987</v>
      </c>
      <c r="D35" s="87">
        <f>$A$35*D$33-$E$6</f>
        <v>208.1002546499999</v>
      </c>
      <c r="E35" s="87">
        <f>$A$35*E$33-$E$6</f>
        <v>264.20025464999992</v>
      </c>
      <c r="F35" s="87">
        <f>$A$35*F$33-$E$6</f>
        <v>348.3502546499999</v>
      </c>
      <c r="H35" s="86">
        <f>H36*0.85</f>
        <v>5.95</v>
      </c>
      <c r="I35" s="87">
        <f>$H$35*I$33-$G$6</f>
        <v>-101.45954606250007</v>
      </c>
      <c r="J35" s="87">
        <f>$H$35*J$33-$G$6</f>
        <v>-34.522046062500067</v>
      </c>
      <c r="K35" s="87">
        <f>$H$35*K$33-$G$6</f>
        <v>10.102953937499933</v>
      </c>
      <c r="L35" s="87">
        <f>$H$35*L$33-$G$6</f>
        <v>54.727953937499933</v>
      </c>
      <c r="M35" s="87">
        <f>$H$35*M$33-$G$6</f>
        <v>121.66545393749993</v>
      </c>
    </row>
    <row r="36" spans="1:13" x14ac:dyDescent="0.15">
      <c r="A36" s="86">
        <f>E4</f>
        <v>11</v>
      </c>
      <c r="B36" s="87">
        <f>$A$36*B$33-$E$6</f>
        <v>142.1002546499999</v>
      </c>
      <c r="C36" s="87">
        <f>$A$36*C$33-$E$6</f>
        <v>241.1002546499999</v>
      </c>
      <c r="D36" s="87">
        <f>$A$36*D$33-$E$6</f>
        <v>307.1002546499999</v>
      </c>
      <c r="E36" s="87">
        <f>$A$36*E$33-$E$6</f>
        <v>373.1002546499999</v>
      </c>
      <c r="F36" s="87">
        <f>$A$36*F$33-$E$6</f>
        <v>472.1002546499999</v>
      </c>
      <c r="H36" s="86">
        <f>G4</f>
        <v>7</v>
      </c>
      <c r="I36" s="87">
        <f>$H$36*I$33-$G$6</f>
        <v>-42.397046062500067</v>
      </c>
      <c r="J36" s="87">
        <f>$H$36*J$33-$G$6</f>
        <v>36.352953937499933</v>
      </c>
      <c r="K36" s="87">
        <f>$H$36*K$33-$G$6</f>
        <v>88.852953937499933</v>
      </c>
      <c r="L36" s="87">
        <f>$H$36*L$33-$G$6</f>
        <v>141.35295393749993</v>
      </c>
      <c r="M36" s="87">
        <f>$H$36*M$33-$G$6</f>
        <v>220.10295393749993</v>
      </c>
    </row>
    <row r="37" spans="1:13" x14ac:dyDescent="0.15">
      <c r="A37" s="86">
        <f>A36*1.15</f>
        <v>12.649999999999999</v>
      </c>
      <c r="B37" s="87">
        <f>$A$37*B$33-$E$6</f>
        <v>216.35025464999978</v>
      </c>
      <c r="C37" s="87">
        <f>$A$37*C$33-$E$6</f>
        <v>330.20025464999981</v>
      </c>
      <c r="D37" s="87">
        <f>$A$37*D$33-$E$6</f>
        <v>406.10025464999978</v>
      </c>
      <c r="E37" s="87">
        <f>$A$37*E$33-$E$6</f>
        <v>482.00025464999976</v>
      </c>
      <c r="F37" s="87">
        <f>$A$37*F$33-$E$6</f>
        <v>595.85025464999978</v>
      </c>
      <c r="H37" s="86">
        <f>H36*1.15</f>
        <v>8.0499999999999989</v>
      </c>
      <c r="I37" s="87">
        <f>$H$37*I$33-$G$6</f>
        <v>16.665453937499876</v>
      </c>
      <c r="J37" s="87">
        <f>$H$37*J$33-$G$6</f>
        <v>107.22795393749982</v>
      </c>
      <c r="K37" s="87">
        <f>$H$37*K$33-$G$6</f>
        <v>167.60295393749982</v>
      </c>
      <c r="L37" s="87">
        <f>$H$37*L$33-$G$6</f>
        <v>227.97795393749982</v>
      </c>
      <c r="M37" s="87">
        <f>$H$37*M$33-$G$6</f>
        <v>318.54045393749982</v>
      </c>
    </row>
    <row r="38" spans="1:13" x14ac:dyDescent="0.15">
      <c r="A38" s="88">
        <f>A36*1.3</f>
        <v>14.3</v>
      </c>
      <c r="B38" s="89">
        <f>$A$38*B$33-$E$6</f>
        <v>290.6002546499999</v>
      </c>
      <c r="C38" s="89">
        <f>$A$38*C$33-$E$6</f>
        <v>419.30025464999994</v>
      </c>
      <c r="D38" s="89">
        <f>$A$38*D$33-$E$6</f>
        <v>505.1002546499999</v>
      </c>
      <c r="E38" s="89">
        <f>$A$38*E$33-$E$6</f>
        <v>590.90025464999997</v>
      </c>
      <c r="F38" s="89">
        <f>$A$38*F$33-$E$6</f>
        <v>719.6002546499999</v>
      </c>
      <c r="H38" s="88">
        <f>H36*1.3</f>
        <v>9.1</v>
      </c>
      <c r="I38" s="89">
        <f>$H$38*I$33-$G$6</f>
        <v>75.727953937499933</v>
      </c>
      <c r="J38" s="89">
        <f>$H$38*J$33-$G$6</f>
        <v>178.10295393749993</v>
      </c>
      <c r="K38" s="89">
        <f>$H$38*K$33-$G$6</f>
        <v>246.35295393749993</v>
      </c>
      <c r="L38" s="89">
        <f>$H$38*L$33-$G$6</f>
        <v>314.60295393749993</v>
      </c>
      <c r="M38" s="89">
        <f>$H$38*M$33-$G$6</f>
        <v>416.97795393749993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Microsoft Office User</cp:lastModifiedBy>
  <cp:lastPrinted>2019-03-04T16:28:48Z</cp:lastPrinted>
  <dcterms:created xsi:type="dcterms:W3CDTF">2007-11-26T00:37:18Z</dcterms:created>
  <dcterms:modified xsi:type="dcterms:W3CDTF">2021-11-17T02:08:20Z</dcterms:modified>
</cp:coreProperties>
</file>