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codeName="ThisWorkbook"/>
  <bookViews>
    <workbookView xWindow="0" yWindow="0" windowWidth="12120" windowHeight="8700" tabRatio="767" activeTab="1"/>
  </bookViews>
  <sheets>
    <sheet name="Instructions" sheetId="6" r:id="rId1"/>
    <sheet name="Main" sheetId="1" r:id="rId2"/>
    <sheet name="Winter Grazing" sheetId="14" r:id="rId3"/>
    <sheet name="Feed Cost" sheetId="13" r:id="rId4"/>
    <sheet name="Procurement" sheetId="15" r:id="rId5"/>
    <sheet name="Fixed_Cost" sheetId="4" r:id="rId6"/>
    <sheet name="Fixed_Payment" sheetId="5" r:id="rId7"/>
    <sheet name="G" sheetId="7" r:id="rId8"/>
    <sheet name="H" sheetId="8" r:id="rId9"/>
    <sheet name="I" sheetId="9" r:id="rId10"/>
    <sheet name="J" sheetId="10" r:id="rId11"/>
    <sheet name="K" sheetId="11" r:id="rId12"/>
    <sheet name="L" sheetId="12" r:id="rId13"/>
  </sheets>
  <externalReferences>
    <externalReference r:id="rId14"/>
    <externalReference r:id="rId15"/>
  </externalReferences>
  <definedNames>
    <definedName name="\AUTOEXEC" localSheetId="2">'Winter Grazing'!$U$274:$U$276</definedName>
    <definedName name="\AUTOEXEC">Main!$U$279:$U$281</definedName>
    <definedName name="\P">Main!$U$336:$U$339</definedName>
    <definedName name="\R" localSheetId="2">'Winter Grazing'!$U$301:$U$306</definedName>
    <definedName name="\R">Main!$U$306:$U$311</definedName>
    <definedName name="ACRES">Main!$F$18</definedName>
    <definedName name="ADP">Fixed_Payment!$A$2</definedName>
    <definedName name="AFC">Fixed_Cost!$J$7</definedName>
    <definedName name="AFP">Fixed_Payment!$A$1</definedName>
    <definedName name="AGVAR" localSheetId="2">#N/A</definedName>
    <definedName name="AGVAR">#N/A</definedName>
    <definedName name="ALLDATA" localSheetId="4">[2]Instructions:G!$A$4:$N$5</definedName>
    <definedName name="ALLDATA" localSheetId="2">[1]Instructions:E!$B$4:$O$5</definedName>
    <definedName name="ALLDATA">Instructions:G!$A$4:$N$5</definedName>
    <definedName name="BERR" localSheetId="2">'Winter Grazing'!$B$49:$J$96</definedName>
    <definedName name="BERR">Main!$B$70:$J$107</definedName>
    <definedName name="BREAKEVEN">#N/A</definedName>
    <definedName name="bsm">Main!$J$20</definedName>
    <definedName name="BUD" localSheetId="2">'Winter Grazing'!$B$10:$J$49</definedName>
    <definedName name="BUD">Main!$B$13:$J$70</definedName>
    <definedName name="bud_type">Main!$U$1</definedName>
    <definedName name="BUTTON1">#N/A</definedName>
    <definedName name="BUTTON2">#N/A</definedName>
    <definedName name="CAF">Fixed_Payment!$B$3:$J$44</definedName>
    <definedName name="cattle_fixed">Fixed_Cost!$J$45</definedName>
    <definedName name="cf_bud">Main!$Z$7</definedName>
    <definedName name="cf_total">Fixed_Payment!$J$41</definedName>
    <definedName name="CUMPGPH" localSheetId="4">[2]Instructions:G!$A$4:$A$4</definedName>
    <definedName name="CUMPGPH" localSheetId="2">[1]Instructions:E!$B$4:$B$4</definedName>
    <definedName name="CUMPGPH">Instructions:G!$A$4:$A$4</definedName>
    <definedName name="CUMPGPH2" localSheetId="4">[2]Instructions:G!$A$5:$A$5</definedName>
    <definedName name="CUMPGPH2" localSheetId="2">[1]Instructions:E!$B$5:$B$5</definedName>
    <definedName name="CUMPGPH2">Instructions:G!$A$5:$A$5</definedName>
    <definedName name="days">'Winter Grazing'!$F$18</definedName>
    <definedName name="ENR" localSheetId="2">'Winter Grazing'!$P$146:$P$146</definedName>
    <definedName name="ENR">Main!$U$207:$U$207</definedName>
    <definedName name="ENR_MNR" localSheetId="2">'Winter Grazing'!$R$140:$R$140</definedName>
    <definedName name="ENR_MNR">Main!$W$201:$W$201</definedName>
    <definedName name="ETR" localSheetId="2">'Winter Grazing'!$P$145:$P$145</definedName>
    <definedName name="ETR">Main!$U$206:$U$206</definedName>
    <definedName name="EXPDATA" localSheetId="2">'Winter Grazing'!$P$160:$Y$160</definedName>
    <definedName name="EXPDATA">Main!$U$220:$AD$220</definedName>
    <definedName name="EXPP" localSheetId="2">'Winter Grazing'!$R$115:$R$115</definedName>
    <definedName name="EXPP">Main!$W$168:$W$168</definedName>
    <definedName name="EXPY" localSheetId="2">'Winter Grazing'!$P$115:$P$115</definedName>
    <definedName name="EXPY">Main!$U$168:$U$168</definedName>
    <definedName name="FXC">Fixed_Cost!$B$3:$J$47</definedName>
    <definedName name="_GPH7" localSheetId="4">[2]Instructions:G!$H$4:$H$4</definedName>
    <definedName name="_GPH7" localSheetId="2">[1]Instructions:E!$I$4:$I$4</definedName>
    <definedName name="_GPH7">Instructions:G!$H$4:$H$4</definedName>
    <definedName name="_GPH72" localSheetId="4">[2]Instructions:G!$H$5:$H$5</definedName>
    <definedName name="_GPH72" localSheetId="2">[1]Instructions:E!$I$5:$I$5</definedName>
    <definedName name="_GPH72">Instructions:G!$H$5:$H$5</definedName>
    <definedName name="GPHDATA1" localSheetId="2">'Winter Grazing'!$D$87:$J$87</definedName>
    <definedName name="GPHDATA1">Main!$D$98:$J$98</definedName>
    <definedName name="GPHDATA2" localSheetId="2">'Winter Grazing'!$D$89:$J$89</definedName>
    <definedName name="GPHDATA2">Main!$D$100:$J$100</definedName>
    <definedName name="GPHDATA3" localSheetId="4">[2]Instructions:G!$A$4:$N$4</definedName>
    <definedName name="GPHDATA3" localSheetId="2">[1]Instructions:E!$B$4:$O$4</definedName>
    <definedName name="GPHDATA3">Instructions:G!$A$4:$N$4</definedName>
    <definedName name="GPHINS" localSheetId="2">'Winter Grazing'!#REF!</definedName>
    <definedName name="GPHINS">Main!$S$27:$S$27</definedName>
    <definedName name="in_price">Main!$H$36</definedName>
    <definedName name="mach_fixed">Fixed_Cost!$J$46</definedName>
    <definedName name="mktng_cst">Procurement!$H$20</definedName>
    <definedName name="MNR" localSheetId="2">'Winter Grazing'!$P$144:$P$144</definedName>
    <definedName name="MNR">Main!$U$205:$U$205</definedName>
    <definedName name="MTC" localSheetId="2">'Winter Grazing'!$P$143:$P$143</definedName>
    <definedName name="MTC">Main!$U$204:$U$204</definedName>
    <definedName name="MTR" localSheetId="2">'Winter Grazing'!$P$142:$P$142</definedName>
    <definedName name="MTR">Main!$U$203:$U$203</definedName>
    <definedName name="_NUM1" localSheetId="2">'Winter Grazing'!$D$87:$D$87</definedName>
    <definedName name="_NUM1">Main!$D$98:$D$98</definedName>
    <definedName name="_NUM2" localSheetId="2">'Winter Grazing'!$E$87:$E$87</definedName>
    <definedName name="_NUM2">Main!$E$98:$E$98</definedName>
    <definedName name="_NUM3" localSheetId="2">'Winter Grazing'!$F$87:$F$87</definedName>
    <definedName name="_NUM3">Main!$F$98:$F$98</definedName>
    <definedName name="_NUM4" localSheetId="2">'Winter Grazing'!$G$87:$G$87</definedName>
    <definedName name="_NUM4">Main!$G$98:$G$98</definedName>
    <definedName name="_NUM5" localSheetId="2">'Winter Grazing'!$H$87:$H$87</definedName>
    <definedName name="_NUM5">Main!$H$98:$H$98</definedName>
    <definedName name="_NUM6" localSheetId="2">'Winter Grazing'!$I$87:$I$87</definedName>
    <definedName name="_NUM6">Main!$I$98:$I$98</definedName>
    <definedName name="_NUM7" localSheetId="2">'Winter Grazing'!$J$87:$J$87</definedName>
    <definedName name="_NUM7">Main!$J$98:$J$98</definedName>
    <definedName name="payment">[1]Fixed_Payment!$J$45</definedName>
    <definedName name="placed">Main!$F$20</definedName>
    <definedName name="RISK" localSheetId="2">#N/A</definedName>
    <definedName name="RISK">#N/A</definedName>
    <definedName name="rr_VC">Main!$Z$16:$AD$16</definedName>
    <definedName name="sold">Main!$F$22</definedName>
    <definedName name="stocking">'Winter Grazing'!$F$17</definedName>
    <definedName name="STRHH" localSheetId="2">'Winter Grazing'!$R$141:$R$141</definedName>
    <definedName name="STRHH">Main!$W$202:$W$202</definedName>
    <definedName name="STRHL" localSheetId="2">'Winter Grazing'!$R$143:$R$143</definedName>
    <definedName name="STRHL">Main!$W$204:$W$204</definedName>
    <definedName name="STRLH" localSheetId="2">'Winter Grazing'!$R$144:$R$144</definedName>
    <definedName name="STRLH">Main!$W$205:$W$205</definedName>
    <definedName name="STRLL" localSheetId="2">'Winter Grazing'!$R$142:$R$142</definedName>
    <definedName name="STRLL">Main!$W$203:$W$203</definedName>
    <definedName name="STRO" localSheetId="2">'Winter Grazing'!$R$145:$R$145</definedName>
    <definedName name="STRO">Main!$W$206:$W$206</definedName>
    <definedName name="STRP" localSheetId="2">'Winter Grazing'!$R$146:$R$146</definedName>
    <definedName name="STRP">Main!$W$207:$W$207</definedName>
    <definedName name="TEP" localSheetId="2">'Winter Grazing'!$F$76:$F$76</definedName>
    <definedName name="TEP">Main!$D$88:$D$88</definedName>
    <definedName name="TFC">[1]Fixed_Cost!$J$44</definedName>
    <definedName name="TITLE1">#N/A</definedName>
    <definedName name="TITLE2" localSheetId="2">#N/A</definedName>
    <definedName name="TITLE2">#N/A</definedName>
    <definedName name="TITLE3" localSheetId="2">#N/A</definedName>
    <definedName name="TITLE3">#N/A</definedName>
    <definedName name="TITLE4" localSheetId="2">#N/A</definedName>
    <definedName name="TITLE4">#N/A</definedName>
    <definedName name="TOP">#N/A</definedName>
    <definedName name="TotalBud">Main!$Z$6</definedName>
    <definedName name="tvc_grazing">'Winter Grazing'!$J$41</definedName>
    <definedName name="UNIT" localSheetId="2">'Winter Grazing'!$P$100:$P$100</definedName>
    <definedName name="UNIT">Main!$U$155:$U$155</definedName>
    <definedName name="UNITCOST" localSheetId="2">'Winter Grazing'!$I$67:$I$67</definedName>
    <definedName name="UNITCOST">Main!$I$80:$I$80</definedName>
    <definedName name="vc_bud">Main!$Z$8</definedName>
    <definedName name="WGPC" localSheetId="2">'Winter Grazing'!$B$101:$J$139</definedName>
    <definedName name="WGPC">Main!$B$112:$J$146</definedName>
  </definedNames>
  <calcPr calcId="145621" calcMode="autoNoTable"/>
</workbook>
</file>

<file path=xl/calcChain.xml><?xml version="1.0" encoding="utf-8"?>
<calcChain xmlns="http://schemas.openxmlformats.org/spreadsheetml/2006/main">
  <c r="F39" i="1" l="1"/>
  <c r="H18" i="15"/>
  <c r="H8" i="15"/>
  <c r="F40" i="1"/>
  <c r="F41" i="1"/>
  <c r="J28" i="14"/>
  <c r="I55" i="1"/>
  <c r="F75" i="1" s="1"/>
  <c r="H75" i="1" s="1"/>
  <c r="H55" i="1"/>
  <c r="F55" i="1"/>
  <c r="F57" i="1"/>
  <c r="I57" i="1"/>
  <c r="F77" i="1" s="1"/>
  <c r="I56" i="1"/>
  <c r="F76" i="1" s="1"/>
  <c r="W160" i="1"/>
  <c r="W156" i="1"/>
  <c r="H29" i="1"/>
  <c r="F58" i="1"/>
  <c r="I58" i="1"/>
  <c r="F78" i="1" s="1"/>
  <c r="F59" i="1"/>
  <c r="I59" i="1"/>
  <c r="F79" i="1" s="1"/>
  <c r="F7" i="15"/>
  <c r="H7" i="15"/>
  <c r="H10" i="15" s="1"/>
  <c r="H37" i="1" s="1"/>
  <c r="H26" i="14"/>
  <c r="J26" i="14" s="1"/>
  <c r="J27" i="14"/>
  <c r="F16" i="14"/>
  <c r="H31" i="14" s="1"/>
  <c r="J31" i="14" s="1"/>
  <c r="F42" i="1"/>
  <c r="H17" i="15"/>
  <c r="E59" i="1"/>
  <c r="E56" i="1"/>
  <c r="E58" i="1"/>
  <c r="E57" i="1"/>
  <c r="H56" i="1"/>
  <c r="F56" i="1"/>
  <c r="E55" i="1"/>
  <c r="D23" i="5"/>
  <c r="F23" i="5" s="1"/>
  <c r="J23" i="5" s="1"/>
  <c r="J39" i="5"/>
  <c r="B55" i="1"/>
  <c r="G27" i="1"/>
  <c r="G29" i="1" s="1"/>
  <c r="U157" i="1" s="1"/>
  <c r="F27" i="1"/>
  <c r="F29" i="1" s="1"/>
  <c r="U156" i="1" s="1"/>
  <c r="I27" i="1"/>
  <c r="I29" i="1" s="1"/>
  <c r="U159" i="1" s="1"/>
  <c r="F20" i="1"/>
  <c r="G44" i="1" s="1"/>
  <c r="I44" i="1" s="1"/>
  <c r="B58" i="1"/>
  <c r="B59" i="1"/>
  <c r="B57" i="1"/>
  <c r="B56" i="1"/>
  <c r="B54" i="1"/>
  <c r="D10" i="13"/>
  <c r="E9" i="13"/>
  <c r="F9" i="13" s="1"/>
  <c r="C9" i="13"/>
  <c r="F38" i="1"/>
  <c r="F46" i="1"/>
  <c r="G46" i="1" s="1"/>
  <c r="I46" i="1" s="1"/>
  <c r="J43" i="14"/>
  <c r="J44" i="14"/>
  <c r="J45" i="14"/>
  <c r="J46" i="14"/>
  <c r="B17" i="13"/>
  <c r="E17" i="13" s="1"/>
  <c r="C6" i="13"/>
  <c r="E6" i="13"/>
  <c r="F6" i="13" s="1"/>
  <c r="F10" i="13" s="1"/>
  <c r="F11" i="13" s="1"/>
  <c r="C7" i="13"/>
  <c r="E7" i="13"/>
  <c r="F7" i="13"/>
  <c r="B43" i="14"/>
  <c r="H43" i="14"/>
  <c r="I43" i="14"/>
  <c r="B44" i="14"/>
  <c r="F44" i="14"/>
  <c r="H44" i="14"/>
  <c r="I44" i="14"/>
  <c r="B45" i="14"/>
  <c r="F45" i="14"/>
  <c r="H45" i="14"/>
  <c r="I45" i="14"/>
  <c r="B46" i="14"/>
  <c r="F46" i="14"/>
  <c r="H46" i="14"/>
  <c r="I46" i="14"/>
  <c r="C75" i="14"/>
  <c r="C76" i="14" s="1"/>
  <c r="C77" i="14" s="1"/>
  <c r="C78" i="14" s="1"/>
  <c r="P100" i="14"/>
  <c r="P160" i="14" s="1"/>
  <c r="P101" i="14"/>
  <c r="R101" i="14"/>
  <c r="R115" i="14" s="1"/>
  <c r="P102" i="14"/>
  <c r="R102" i="14"/>
  <c r="P103" i="14"/>
  <c r="R103" i="14"/>
  <c r="P104" i="14"/>
  <c r="R104" i="14"/>
  <c r="P106" i="14"/>
  <c r="R106" i="14"/>
  <c r="R117" i="14"/>
  <c r="R119" i="14" s="1"/>
  <c r="P140" i="14"/>
  <c r="P141" i="14"/>
  <c r="S160" i="14"/>
  <c r="B20" i="13"/>
  <c r="E20" i="13" s="1"/>
  <c r="B19" i="13"/>
  <c r="C19" i="13" s="1"/>
  <c r="D19" i="13" s="1"/>
  <c r="E19" i="13"/>
  <c r="B18" i="13"/>
  <c r="E18" i="13" s="1"/>
  <c r="B16" i="13"/>
  <c r="C16" i="13" s="1"/>
  <c r="D16" i="13" s="1"/>
  <c r="E16" i="13"/>
  <c r="B15" i="13"/>
  <c r="E15" i="13" s="1"/>
  <c r="B14" i="13"/>
  <c r="C14" i="13" s="1"/>
  <c r="D14" i="13" s="1"/>
  <c r="E14" i="13"/>
  <c r="E8" i="13"/>
  <c r="C8" i="13"/>
  <c r="F8" i="13"/>
  <c r="C17" i="13"/>
  <c r="D17" i="13" s="1"/>
  <c r="C15" i="13"/>
  <c r="D15" i="13" s="1"/>
  <c r="C20" i="13"/>
  <c r="D20" i="13" s="1"/>
  <c r="C18" i="13"/>
  <c r="D18" i="13" s="1"/>
  <c r="I21" i="4"/>
  <c r="I22" i="4"/>
  <c r="G23" i="4"/>
  <c r="G24" i="4"/>
  <c r="I24" i="4" s="1"/>
  <c r="I25" i="4"/>
  <c r="I26" i="4"/>
  <c r="I27" i="4"/>
  <c r="F31" i="4"/>
  <c r="F13" i="4"/>
  <c r="I13" i="4"/>
  <c r="I14" i="4"/>
  <c r="I15" i="4"/>
  <c r="I16" i="4"/>
  <c r="I17" i="4"/>
  <c r="I18" i="4"/>
  <c r="I19" i="4"/>
  <c r="F30" i="4"/>
  <c r="J36" i="4" s="1"/>
  <c r="G30" i="4"/>
  <c r="F15" i="5"/>
  <c r="J15" i="5" s="1"/>
  <c r="J17" i="5"/>
  <c r="J19" i="5"/>
  <c r="J20" i="5"/>
  <c r="J21" i="5"/>
  <c r="B79" i="1"/>
  <c r="B78" i="1"/>
  <c r="B77" i="1"/>
  <c r="B76" i="1"/>
  <c r="B75" i="1"/>
  <c r="J19" i="1"/>
  <c r="I30" i="1" l="1"/>
  <c r="W159" i="1" s="1"/>
  <c r="G38" i="1"/>
  <c r="F22" i="1"/>
  <c r="E84" i="1" s="1"/>
  <c r="I60" i="1"/>
  <c r="U155" i="1"/>
  <c r="U220" i="1" s="1"/>
  <c r="J47" i="14"/>
  <c r="G40" i="1"/>
  <c r="I40" i="1" s="1"/>
  <c r="G47" i="1"/>
  <c r="I47" i="1" s="1"/>
  <c r="G50" i="1"/>
  <c r="G39" i="1"/>
  <c r="I39" i="1" s="1"/>
  <c r="G42" i="1"/>
  <c r="I42" i="1" s="1"/>
  <c r="J39" i="4"/>
  <c r="P115" i="14"/>
  <c r="F16" i="15"/>
  <c r="H16" i="15" s="1"/>
  <c r="H20" i="15" s="1"/>
  <c r="H50" i="1" s="1"/>
  <c r="U158" i="1"/>
  <c r="U202" i="1" s="1"/>
  <c r="P145" i="14"/>
  <c r="R160" i="14"/>
  <c r="R118" i="14"/>
  <c r="R120" i="14" s="1"/>
  <c r="I78" i="1"/>
  <c r="I79" i="1"/>
  <c r="W158" i="1"/>
  <c r="U201" i="1" s="1"/>
  <c r="J33" i="4"/>
  <c r="I23" i="4"/>
  <c r="J34" i="4" s="1"/>
  <c r="G31" i="4"/>
  <c r="J37" i="4" s="1"/>
  <c r="G7" i="5"/>
  <c r="F18" i="5" s="1"/>
  <c r="J18" i="5" s="1"/>
  <c r="J25" i="5" s="1"/>
  <c r="J37" i="5" s="1"/>
  <c r="J41" i="5" s="1"/>
  <c r="J42" i="5" s="1"/>
  <c r="G30" i="1"/>
  <c r="W157" i="1" s="1"/>
  <c r="G45" i="1"/>
  <c r="G43" i="1"/>
  <c r="I43" i="1" s="1"/>
  <c r="H39" i="14"/>
  <c r="J39" i="14" s="1"/>
  <c r="H37" i="14"/>
  <c r="J37" i="14" s="1"/>
  <c r="H35" i="14"/>
  <c r="J35" i="14" s="1"/>
  <c r="H32" i="14"/>
  <c r="J32" i="14" s="1"/>
  <c r="H29" i="14"/>
  <c r="J29" i="14" s="1"/>
  <c r="J27" i="1"/>
  <c r="J29" i="1" s="1"/>
  <c r="U160" i="1" s="1"/>
  <c r="G41" i="1"/>
  <c r="I41" i="1" s="1"/>
  <c r="G37" i="1"/>
  <c r="I37" i="1" s="1"/>
  <c r="G36" i="1"/>
  <c r="I36" i="1" s="1"/>
  <c r="H38" i="14"/>
  <c r="J38" i="14" s="1"/>
  <c r="H36" i="14"/>
  <c r="J36" i="14" s="1"/>
  <c r="H33" i="14"/>
  <c r="J33" i="14" s="1"/>
  <c r="W168" i="1" l="1"/>
  <c r="W170" i="1" s="1"/>
  <c r="W181" i="1" s="1"/>
  <c r="I50" i="1"/>
  <c r="I75" i="1"/>
  <c r="I76" i="1"/>
  <c r="I77" i="1"/>
  <c r="H40" i="14"/>
  <c r="J40" i="14" s="1"/>
  <c r="F88" i="1"/>
  <c r="W220" i="1"/>
  <c r="W169" i="1"/>
  <c r="W180" i="1" s="1"/>
  <c r="J41" i="14"/>
  <c r="G48" i="1"/>
  <c r="I48" i="1" s="1"/>
  <c r="J40" i="4"/>
  <c r="J46" i="4" s="1"/>
  <c r="I46" i="4" s="1"/>
  <c r="H45" i="1"/>
  <c r="I45" i="1"/>
  <c r="J45" i="4"/>
  <c r="I45" i="4" s="1"/>
  <c r="P118" i="14"/>
  <c r="P120" i="14" s="1"/>
  <c r="P123" i="14"/>
  <c r="P126" i="14" s="1"/>
  <c r="R143" i="14" s="1"/>
  <c r="W160" i="14" s="1"/>
  <c r="P117" i="14"/>
  <c r="P119" i="14" s="1"/>
  <c r="P122" i="14" s="1"/>
  <c r="P124" i="14" s="1"/>
  <c r="R122" i="14"/>
  <c r="R124" i="14" s="1"/>
  <c r="Q160" i="14"/>
  <c r="U168" i="1"/>
  <c r="R141" i="14" l="1"/>
  <c r="V160" i="14" s="1"/>
  <c r="R142" i="14"/>
  <c r="X160" i="14" s="1"/>
  <c r="R127" i="14"/>
  <c r="R146" i="14" s="1"/>
  <c r="B88" i="1"/>
  <c r="D88" i="1" s="1"/>
  <c r="H77" i="1"/>
  <c r="W183" i="1"/>
  <c r="W185" i="1" s="1"/>
  <c r="H76" i="1"/>
  <c r="H79" i="1"/>
  <c r="U170" i="1"/>
  <c r="U181" i="1" s="1"/>
  <c r="U184" i="1"/>
  <c r="U187" i="1" s="1"/>
  <c r="W204" i="1" s="1"/>
  <c r="AB220" i="1" s="1"/>
  <c r="V220" i="1"/>
  <c r="U206" i="1"/>
  <c r="H78" i="1"/>
  <c r="U169" i="1"/>
  <c r="U180" i="1" s="1"/>
  <c r="W184" i="1" s="1"/>
  <c r="W187" i="1" s="1"/>
  <c r="W205" i="1" s="1"/>
  <c r="AD220" i="1" s="1"/>
  <c r="R123" i="14"/>
  <c r="R126" i="14" s="1"/>
  <c r="R144" i="14" s="1"/>
  <c r="Y160" i="14" s="1"/>
  <c r="J42" i="4"/>
  <c r="F62" i="14"/>
  <c r="J49" i="14"/>
  <c r="H38" i="1"/>
  <c r="I38" i="1" s="1"/>
  <c r="H88" i="1"/>
  <c r="U183" i="1" l="1"/>
  <c r="U185" i="1" s="1"/>
  <c r="U188" i="1" s="1"/>
  <c r="W206" i="1" s="1"/>
  <c r="Y220" i="1" s="1"/>
  <c r="D62" i="14"/>
  <c r="F65" i="14"/>
  <c r="F73" i="14"/>
  <c r="E62" i="14"/>
  <c r="F66" i="14"/>
  <c r="G62" i="14"/>
  <c r="F63" i="14"/>
  <c r="F67" i="14"/>
  <c r="F68" i="14"/>
  <c r="H62" i="14"/>
  <c r="F64" i="14"/>
  <c r="U160" i="14"/>
  <c r="W188" i="1"/>
  <c r="W207" i="1" s="1"/>
  <c r="Z220" i="1" s="1"/>
  <c r="W203" i="1"/>
  <c r="AC220" i="1" s="1"/>
  <c r="G49" i="1"/>
  <c r="I64" i="1"/>
  <c r="P127" i="14"/>
  <c r="R145" i="14" s="1"/>
  <c r="T160" i="14" s="1"/>
  <c r="W202" i="1" l="1"/>
  <c r="AA220" i="1" s="1"/>
  <c r="U203" i="1"/>
  <c r="H49" i="1"/>
  <c r="I49" i="1" s="1"/>
  <c r="I52" i="1" s="1"/>
  <c r="E66" i="14"/>
  <c r="E63" i="14"/>
  <c r="E67" i="14"/>
  <c r="E64" i="14"/>
  <c r="E68" i="14"/>
  <c r="E65" i="14"/>
  <c r="E73" i="14"/>
  <c r="P142" i="14"/>
  <c r="F74" i="14"/>
  <c r="F76" i="14"/>
  <c r="F78" i="14"/>
  <c r="F77" i="14"/>
  <c r="F75" i="14"/>
  <c r="H63" i="14"/>
  <c r="H67" i="14"/>
  <c r="H64" i="14"/>
  <c r="H68" i="14"/>
  <c r="H65" i="14"/>
  <c r="H73" i="14"/>
  <c r="H66" i="14"/>
  <c r="G64" i="14"/>
  <c r="G68" i="14"/>
  <c r="G65" i="14"/>
  <c r="G73" i="14"/>
  <c r="G66" i="14"/>
  <c r="G67" i="14"/>
  <c r="G63" i="14"/>
  <c r="D63" i="14"/>
  <c r="D67" i="14"/>
  <c r="D64" i="14"/>
  <c r="D68" i="14"/>
  <c r="D65" i="14"/>
  <c r="D73" i="14"/>
  <c r="D66" i="14"/>
  <c r="P144" i="14" l="1"/>
  <c r="D75" i="14"/>
  <c r="D77" i="14"/>
  <c r="D78" i="14"/>
  <c r="D74" i="14"/>
  <c r="D76" i="14"/>
  <c r="P143" i="14"/>
  <c r="P146" i="14" s="1"/>
  <c r="P108" i="14"/>
  <c r="G75" i="14"/>
  <c r="G77" i="14"/>
  <c r="G74" i="14"/>
  <c r="G76" i="14"/>
  <c r="G78" i="14"/>
  <c r="F74" i="1"/>
  <c r="I65" i="1"/>
  <c r="H75" i="14"/>
  <c r="H77" i="14"/>
  <c r="H76" i="14"/>
  <c r="H78" i="14"/>
  <c r="H74" i="14"/>
  <c r="E74" i="14"/>
  <c r="E76" i="14"/>
  <c r="E78" i="14"/>
  <c r="E75" i="14"/>
  <c r="E77" i="14"/>
  <c r="R140" i="14" l="1"/>
  <c r="I74" i="1"/>
  <c r="F80" i="1"/>
  <c r="H74" i="1"/>
  <c r="V149" i="14"/>
  <c r="W149" i="14" s="1"/>
  <c r="P151" i="14"/>
  <c r="Q151" i="14" s="1"/>
  <c r="AB151" i="14"/>
  <c r="AC151" i="14" s="1"/>
  <c r="V153" i="14"/>
  <c r="W153" i="14" s="1"/>
  <c r="P149" i="14"/>
  <c r="AB149" i="14"/>
  <c r="AC149" i="14" s="1"/>
  <c r="AD150" i="14" s="1"/>
  <c r="V151" i="14"/>
  <c r="W151" i="14" s="1"/>
  <c r="X152" i="14" s="1"/>
  <c r="P153" i="14"/>
  <c r="Q153" i="14" s="1"/>
  <c r="R154" i="14" s="1"/>
  <c r="AD149" i="14" l="1"/>
  <c r="AE149" i="14" s="1"/>
  <c r="Q149" i="14"/>
  <c r="R150" i="14" s="1"/>
  <c r="S150" i="14" s="1"/>
  <c r="R152" i="14"/>
  <c r="R151" i="14"/>
  <c r="X149" i="14"/>
  <c r="X150" i="14"/>
  <c r="T154" i="14"/>
  <c r="S154" i="14"/>
  <c r="X154" i="14"/>
  <c r="X153" i="14"/>
  <c r="AE150" i="14"/>
  <c r="AF150" i="14"/>
  <c r="Z152" i="14"/>
  <c r="Y152" i="14"/>
  <c r="AD151" i="14"/>
  <c r="AD152" i="14"/>
  <c r="R153" i="14"/>
  <c r="I80" i="1"/>
  <c r="X220" i="1" s="1"/>
  <c r="H80" i="1"/>
  <c r="I66" i="1"/>
  <c r="U204" i="1"/>
  <c r="U162" i="1"/>
  <c r="J102" i="1"/>
  <c r="J103" i="1" s="1"/>
  <c r="I68" i="1"/>
  <c r="X151" i="14"/>
  <c r="AG150" i="14" l="1"/>
  <c r="AF149" i="14"/>
  <c r="AG149" i="14" s="1"/>
  <c r="R149" i="14"/>
  <c r="T150" i="14"/>
  <c r="U150" i="14" s="1"/>
  <c r="AF152" i="14"/>
  <c r="AE152" i="14"/>
  <c r="Y150" i="14"/>
  <c r="Z150" i="14"/>
  <c r="T151" i="14"/>
  <c r="S151" i="14"/>
  <c r="AF151" i="14"/>
  <c r="AE151" i="14"/>
  <c r="U154" i="14"/>
  <c r="Z149" i="14"/>
  <c r="Y149" i="14"/>
  <c r="T152" i="14"/>
  <c r="S152" i="14"/>
  <c r="Z153" i="14"/>
  <c r="Y153" i="14"/>
  <c r="Y151" i="14"/>
  <c r="Z151" i="14"/>
  <c r="U207" i="1"/>
  <c r="U205" i="1"/>
  <c r="S153" i="14"/>
  <c r="T153" i="14"/>
  <c r="AA152" i="14"/>
  <c r="Z154" i="14"/>
  <c r="Y154" i="14"/>
  <c r="AA153" i="14" l="1"/>
  <c r="U152" i="14"/>
  <c r="AA150" i="14"/>
  <c r="AA149" i="14"/>
  <c r="T149" i="14"/>
  <c r="S149" i="14"/>
  <c r="W201" i="1"/>
  <c r="J98" i="1"/>
  <c r="I98" i="1"/>
  <c r="H98" i="1"/>
  <c r="G98" i="1"/>
  <c r="F98" i="1"/>
  <c r="E98" i="1"/>
  <c r="D98" i="1"/>
  <c r="AA154" i="14"/>
  <c r="AA214" i="1"/>
  <c r="AB214" i="1" s="1"/>
  <c r="AG151" i="14"/>
  <c r="U153" i="14"/>
  <c r="AA151" i="14"/>
  <c r="U151" i="14"/>
  <c r="AG152" i="14"/>
  <c r="U149" i="14" l="1"/>
  <c r="AC214" i="1"/>
  <c r="AC215" i="1"/>
  <c r="AG210" i="1"/>
  <c r="AH210" i="1" s="1"/>
  <c r="U214" i="1"/>
  <c r="V214" i="1" s="1"/>
  <c r="U212" i="1"/>
  <c r="V212" i="1" s="1"/>
  <c r="U210" i="1"/>
  <c r="V210" i="1" s="1"/>
  <c r="AA212" i="1"/>
  <c r="AB212" i="1" s="1"/>
  <c r="AA210" i="1"/>
  <c r="AB210" i="1" s="1"/>
  <c r="AG212" i="1"/>
  <c r="AH212" i="1" s="1"/>
  <c r="AC211" i="1" l="1"/>
  <c r="W214" i="1"/>
  <c r="W215" i="1"/>
  <c r="AC213" i="1"/>
  <c r="AI211" i="1"/>
  <c r="W211" i="1"/>
  <c r="AI213" i="1"/>
  <c r="W213" i="1"/>
  <c r="W210" i="1"/>
  <c r="AI212" i="1"/>
  <c r="AC210" i="1"/>
  <c r="AC212" i="1"/>
  <c r="W212" i="1"/>
  <c r="AI210" i="1"/>
  <c r="AD215" i="1"/>
  <c r="AE215" i="1"/>
  <c r="AE214" i="1"/>
  <c r="AD214" i="1"/>
  <c r="AF215" i="1" l="1"/>
  <c r="AK210" i="1"/>
  <c r="AJ210" i="1"/>
  <c r="AK212" i="1"/>
  <c r="AJ212" i="1"/>
  <c r="X211" i="1"/>
  <c r="Y211" i="1"/>
  <c r="AF214" i="1"/>
  <c r="Y212" i="1"/>
  <c r="X212" i="1"/>
  <c r="X210" i="1"/>
  <c r="Y210" i="1"/>
  <c r="AJ213" i="1"/>
  <c r="AK213" i="1"/>
  <c r="X215" i="1"/>
  <c r="Y215" i="1"/>
  <c r="AD211" i="1"/>
  <c r="AE211" i="1"/>
  <c r="AE212" i="1"/>
  <c r="AD212" i="1"/>
  <c r="Y213" i="1"/>
  <c r="X213" i="1"/>
  <c r="AD213" i="1"/>
  <c r="AE213" i="1"/>
  <c r="Y214" i="1"/>
  <c r="X214" i="1"/>
  <c r="AE210" i="1"/>
  <c r="AD210" i="1"/>
  <c r="AK211" i="1"/>
  <c r="AJ211" i="1"/>
  <c r="E102" i="1" l="1"/>
  <c r="AL211" i="1"/>
  <c r="AF210" i="1"/>
  <c r="AF212" i="1"/>
  <c r="Z211" i="1"/>
  <c r="Z214" i="1"/>
  <c r="Z213" i="1"/>
  <c r="Z212" i="1"/>
  <c r="AF213" i="1"/>
  <c r="Z215" i="1"/>
  <c r="Z210" i="1"/>
  <c r="AL212" i="1"/>
  <c r="AF211" i="1"/>
  <c r="AL213" i="1"/>
  <c r="AL210" i="1"/>
  <c r="H100" i="1" l="1"/>
  <c r="G99" i="1"/>
  <c r="H99" i="1"/>
  <c r="E100" i="1"/>
  <c r="G100" i="1"/>
  <c r="J99" i="1"/>
  <c r="E99" i="1"/>
  <c r="F100" i="1"/>
  <c r="F99" i="1"/>
  <c r="D99" i="1"/>
  <c r="D100" i="1"/>
  <c r="I100" i="1"/>
  <c r="I99" i="1"/>
  <c r="J100" i="1"/>
</calcChain>
</file>

<file path=xl/comments1.xml><?xml version="1.0" encoding="utf-8"?>
<comments xmlns="http://schemas.openxmlformats.org/spreadsheetml/2006/main">
  <authors>
    <author>Curt Lacy</author>
  </authors>
  <commentList>
    <comment ref="G7" authorId="0">
      <text>
        <r>
          <rPr>
            <b/>
            <sz val="10"/>
            <color indexed="81"/>
            <rFont val="Tahoma"/>
            <family val="2"/>
          </rPr>
          <t xml:space="preserve">Number of stockers and/or cows that utilize these facilities.  </t>
        </r>
        <r>
          <rPr>
            <sz val="10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<sst xmlns="http://schemas.openxmlformats.org/spreadsheetml/2006/main" count="734" uniqueCount="340">
  <si>
    <t/>
  </si>
  <si>
    <t>-</t>
  </si>
  <si>
    <t xml:space="preserve"> </t>
  </si>
  <si>
    <t xml:space="preserve">  </t>
  </si>
  <si>
    <t xml:space="preserve">          </t>
  </si>
  <si>
    <t xml:space="preserve">           </t>
  </si>
  <si>
    <t xml:space="preserve">      COST OF GAIN SUMMARY AND MAX. BREAKEVEN CALF PRICE</t>
  </si>
  <si>
    <t xml:space="preserve">     ITEM</t>
  </si>
  <si>
    <t xml:space="preserve">    $/HD.</t>
  </si>
  <si>
    <t xml:space="preserve">    (%)</t>
  </si>
  <si>
    <t xml:space="preserve">    (Yr.)</t>
  </si>
  <si>
    <t xml:space="preserve">    Must match budget Entries</t>
  </si>
  <si>
    <t xml:space="preserve">   $/CWT.</t>
  </si>
  <si>
    <t xml:space="preserve">   -------FINANCING-------</t>
  </si>
  <si>
    <t xml:space="preserve">  ($/cwt.)</t>
  </si>
  <si>
    <t xml:space="preserve">  (cwt.)</t>
  </si>
  <si>
    <t xml:space="preserve">  (units)</t>
  </si>
  <si>
    <t xml:space="preserve">  Best P</t>
  </si>
  <si>
    <t xml:space="preserve">  Best Y</t>
  </si>
  <si>
    <t xml:space="preserve">  CHANCE FOR PROFIT </t>
  </si>
  <si>
    <t xml:space="preserve">  ENR</t>
  </si>
  <si>
    <t xml:space="preserve">  ETR</t>
  </si>
  <si>
    <t xml:space="preserve">  Exp. P</t>
  </si>
  <si>
    <t xml:space="preserve">  Exp. Y</t>
  </si>
  <si>
    <t xml:space="preserve">  FACILITIES:</t>
  </si>
  <si>
    <t xml:space="preserve">  H&amp;MC</t>
  </si>
  <si>
    <t xml:space="preserve">  ITEM</t>
  </si>
  <si>
    <t xml:space="preserve">  Med. P</t>
  </si>
  <si>
    <t xml:space="preserve">  Med. Y</t>
  </si>
  <si>
    <t xml:space="preserve">  MNR</t>
  </si>
  <si>
    <t xml:space="preserve">  MP</t>
  </si>
  <si>
    <t xml:space="preserve">  MTC</t>
  </si>
  <si>
    <t xml:space="preserve">  MTR</t>
  </si>
  <si>
    <t xml:space="preserve">  MY</t>
  </si>
  <si>
    <t xml:space="preserve">  Opt. P</t>
  </si>
  <si>
    <t xml:space="preserve">  Opt. Y</t>
  </si>
  <si>
    <t xml:space="preserve">  Pess. P</t>
  </si>
  <si>
    <t xml:space="preserve">  Pess. Y</t>
  </si>
  <si>
    <t xml:space="preserve">  Pessimistic</t>
  </si>
  <si>
    <t xml:space="preserve">  SPO</t>
  </si>
  <si>
    <t xml:space="preserve">  SPP</t>
  </si>
  <si>
    <t xml:space="preserve">  STRHH</t>
  </si>
  <si>
    <t xml:space="preserve">  STRHL</t>
  </si>
  <si>
    <t xml:space="preserve">  STRLH</t>
  </si>
  <si>
    <t xml:space="preserve">  STRLL</t>
  </si>
  <si>
    <t xml:space="preserve">  STRO</t>
  </si>
  <si>
    <t xml:space="preserve">  STRP</t>
  </si>
  <si>
    <t xml:space="preserve">  SYO</t>
  </si>
  <si>
    <t xml:space="preserve">  SYP</t>
  </si>
  <si>
    <t xml:space="preserve">  T.C.</t>
  </si>
  <si>
    <t xml:space="preserve">  VPO</t>
  </si>
  <si>
    <t xml:space="preserve">  VPP</t>
  </si>
  <si>
    <t xml:space="preserve">  VTRHH</t>
  </si>
  <si>
    <t xml:space="preserve">  VTRHL</t>
  </si>
  <si>
    <t xml:space="preserve">  VTRLH</t>
  </si>
  <si>
    <t xml:space="preserve">  VTRLL</t>
  </si>
  <si>
    <t xml:space="preserve">  VYO</t>
  </si>
  <si>
    <t xml:space="preserve">  VYP</t>
  </si>
  <si>
    <t xml:space="preserve">  Worst P</t>
  </si>
  <si>
    <t xml:space="preserve">  Worst Y</t>
  </si>
  <si>
    <t xml:space="preserve"> ($/hd.)</t>
  </si>
  <si>
    <t xml:space="preserve"> ($/unit)</t>
  </si>
  <si>
    <t xml:space="preserve"> ($/yr.)</t>
  </si>
  <si>
    <t xml:space="preserve"> AVE. INV. TIMES</t>
  </si>
  <si>
    <t xml:space="preserve"> head sold</t>
  </si>
  <si>
    <t xml:space="preserve"> TOTAL AMOUNT</t>
  </si>
  <si>
    <t xml:space="preserve"> Type</t>
  </si>
  <si>
    <t xml:space="preserve"> UNITS</t>
  </si>
  <si>
    <t xml:space="preserve"> VARIABLE </t>
  </si>
  <si>
    <t>$ / CWT.</t>
  </si>
  <si>
    <t>%</t>
  </si>
  <si>
    <t>% OF TIME FOR</t>
  </si>
  <si>
    <t>(Check All Higlighted Entries this Page)</t>
  </si>
  <si>
    <t>(cwt./hd.)</t>
  </si>
  <si>
    <t>(For Use In Calculating Debt Payments on New Investment)</t>
  </si>
  <si>
    <t>(For Use In Totaling Debt Payments on Existing Investment)</t>
  </si>
  <si>
    <t>*</t>
  </si>
  <si>
    <t>:</t>
  </si>
  <si>
    <t>ACRE</t>
  </si>
  <si>
    <t>AMOUNT</t>
  </si>
  <si>
    <t>ANNUAL ENTERPRISE FIXED OUTLAYS</t>
  </si>
  <si>
    <t>AUCTION AND HAULING</t>
  </si>
  <si>
    <t>BEST</t>
  </si>
  <si>
    <t>Budget</t>
  </si>
  <si>
    <t>CALC.</t>
  </si>
  <si>
    <t>CALCULATED TOTAL ANNUAL DEBT PAYMENT</t>
  </si>
  <si>
    <t>Calculation of NR and for Z values</t>
  </si>
  <si>
    <t>Calculations</t>
  </si>
  <si>
    <t>CALF</t>
  </si>
  <si>
    <t xml:space="preserve">CASH </t>
  </si>
  <si>
    <t>CATTLE EQUIP. TAX &amp; INS.,</t>
  </si>
  <si>
    <t>CATTLE EQUIP:</t>
  </si>
  <si>
    <t>Chances</t>
  </si>
  <si>
    <t>Check All Highlighted Entries this Page)</t>
  </si>
  <si>
    <t>CORRAL &amp;</t>
  </si>
  <si>
    <t>CORRAL &amp; LOADING CHUTE</t>
  </si>
  <si>
    <t>COST</t>
  </si>
  <si>
    <t>CURRENT ANNUAL DEBT PAYMENTS:</t>
  </si>
  <si>
    <t>CWT.</t>
  </si>
  <si>
    <t>DAILY GAIN (LBS./DAY)</t>
  </si>
  <si>
    <t>DEATH LOSS</t>
  </si>
  <si>
    <t>DEATH LOSS (%)</t>
  </si>
  <si>
    <t>DEBT PAYMENT CALCULATION ON NEW INVESTMENT:</t>
  </si>
  <si>
    <t>DEPR.</t>
  </si>
  <si>
    <t>DIRECT FIXED COST</t>
  </si>
  <si>
    <t>DISK</t>
  </si>
  <si>
    <t>ENR_MNR</t>
  </si>
  <si>
    <t>EXP. PRICE</t>
  </si>
  <si>
    <t>EXP. WEIGHT</t>
  </si>
  <si>
    <t>EXPDATA:</t>
  </si>
  <si>
    <t>Expected</t>
  </si>
  <si>
    <t>EXPECTED BREAKEVEN TABLE</t>
  </si>
  <si>
    <t>EXPECTED RETURN TABLE</t>
  </si>
  <si>
    <t>Ext. Ag. Econ. Dept., Univ. of Ga.</t>
  </si>
  <si>
    <t>FEED BUNK</t>
  </si>
  <si>
    <t>FEED BUNKS</t>
  </si>
  <si>
    <t>FEED ONLY COST OF GAIN ($/CWT.)</t>
  </si>
  <si>
    <t>FEEDING COST OF GAIN ($/CWT.)</t>
  </si>
  <si>
    <t>FEEDING PERIOD (DAYS)</t>
  </si>
  <si>
    <t>FENCE (MILES)</t>
  </si>
  <si>
    <t>FENCING</t>
  </si>
  <si>
    <t>FLOW</t>
  </si>
  <si>
    <t>GRAIN BIN (2000 BU.)</t>
  </si>
  <si>
    <t>GRAIN DRILL</t>
  </si>
  <si>
    <t>GRINDERMIXER</t>
  </si>
  <si>
    <t>GROW.STIMULANT</t>
  </si>
  <si>
    <t>HAY</t>
  </si>
  <si>
    <t>HEAD</t>
  </si>
  <si>
    <t>HRS.</t>
  </si>
  <si>
    <t>IMPLANT</t>
  </si>
  <si>
    <t>INPUT DATA: Your values in the unprotected or highlighted cells</t>
  </si>
  <si>
    <t>INT.RATE</t>
  </si>
  <si>
    <t>INTEREST ON CATTLE INVEST. (AVE. INV. TIMES INT. RATE)</t>
  </si>
  <si>
    <t>INTEREST ON MACH. &amp; EQUIP. INVEST. (AVE. INV. TIMES INT. RATE)</t>
  </si>
  <si>
    <t>INTEREST ON OP. CAP.</t>
  </si>
  <si>
    <t>INTEREST RATE:</t>
  </si>
  <si>
    <t>INVESTMENT AND ANNUAL FIXED COST</t>
  </si>
  <si>
    <t>ITEM</t>
  </si>
  <si>
    <t>LABOR</t>
  </si>
  <si>
    <t>LAND</t>
  </si>
  <si>
    <t>LAND RENTAL</t>
  </si>
  <si>
    <t>LBS.</t>
  </si>
  <si>
    <t>LIFE</t>
  </si>
  <si>
    <t>LIME</t>
  </si>
  <si>
    <t>LOADING CHUTE</t>
  </si>
  <si>
    <t>LOAN # 1</t>
  </si>
  <si>
    <t>LOAN # 2</t>
  </si>
  <si>
    <t>LOAN # 3</t>
  </si>
  <si>
    <t>LOAN # 4</t>
  </si>
  <si>
    <t>LOAN # 5</t>
  </si>
  <si>
    <t>MACH &amp; EQUIP. TAX &amp; INS.,</t>
  </si>
  <si>
    <t>MACHINERY &amp; EQUIPMENT:</t>
  </si>
  <si>
    <t>MARKETING SHRINK(%)</t>
  </si>
  <si>
    <t>MAX. BREAKEVEN PURCHASE PRICE OF CALF</t>
  </si>
  <si>
    <t>MAY ENTER YOUR OWN VALUES.</t>
  </si>
  <si>
    <t>MEDIAN</t>
  </si>
  <si>
    <t>MEDICATION,WORM,VAC.</t>
  </si>
  <si>
    <t>MILES</t>
  </si>
  <si>
    <t>MISC. EQUIP.</t>
  </si>
  <si>
    <t>MISC. EQUIPMENT</t>
  </si>
  <si>
    <t>Net return levels (TOP ROW);</t>
  </si>
  <si>
    <t>NET SELLING WEIGHT (CWT.)</t>
  </si>
  <si>
    <t>NO. OF ACRES:</t>
  </si>
  <si>
    <t>NO. OF CALVES STOCKERED:</t>
  </si>
  <si>
    <t>NO. OF HEAD:</t>
  </si>
  <si>
    <t>NUMBER</t>
  </si>
  <si>
    <t>NUMBER OF ACRES</t>
  </si>
  <si>
    <t>NUMBER OF CALVES PLACED</t>
  </si>
  <si>
    <t>NUMBER OF CALVES SOLD</t>
  </si>
  <si>
    <t>OPT.</t>
  </si>
  <si>
    <t>Optimistic</t>
  </si>
  <si>
    <t>OTHER</t>
  </si>
  <si>
    <t>OTHER SEEDING EQUIP.</t>
  </si>
  <si>
    <t>PAYMENT</t>
  </si>
  <si>
    <t>PAYWEIGHT TO PAYWEIGHT</t>
  </si>
  <si>
    <t>PESS.</t>
  </si>
  <si>
    <t>PLOW</t>
  </si>
  <si>
    <t>PRICE</t>
  </si>
  <si>
    <t>PROCUREMENT COST</t>
  </si>
  <si>
    <t>PROFIT IS RETURN TO RISK AND ALL "ZERO" ITEMS IN THE BUDGET.</t>
  </si>
  <si>
    <t>QUANTITY</t>
  </si>
  <si>
    <t>RECEIVING RATION</t>
  </si>
  <si>
    <t>REPAIRS</t>
  </si>
  <si>
    <t>RISK RATED RETURNS OVER TOTAL COST</t>
  </si>
  <si>
    <t>SALVAGE</t>
  </si>
  <si>
    <t>SELLING PRICE ($/CWT.)</t>
  </si>
  <si>
    <t>STOCKING RATE (HEAD/ACRE)</t>
  </si>
  <si>
    <t>STRHH</t>
  </si>
  <si>
    <t>STRHL</t>
  </si>
  <si>
    <t>STRLH</t>
  </si>
  <si>
    <t>STRLL</t>
  </si>
  <si>
    <t>TAXES AND INSURANCE</t>
  </si>
  <si>
    <t>The chances of obtaining this level or less (BOTTOM ROW).</t>
  </si>
  <si>
    <t>The chances of obtaining this level or more (MIDDLE ROW); and</t>
  </si>
  <si>
    <t>THIS ENTERPRISE</t>
  </si>
  <si>
    <t>TON</t>
  </si>
  <si>
    <t>TONS</t>
  </si>
  <si>
    <t>TOTAL</t>
  </si>
  <si>
    <t>TOTAL ANNUAL DEBT PAYMENT</t>
  </si>
  <si>
    <t>TOTAL ANNUAL FIXED COST</t>
  </si>
  <si>
    <t>TOTAL ANNUAL FIXED OUTLAY</t>
  </si>
  <si>
    <t>TOTAL ANNUAL FIXED OUTLAY PER HEAD</t>
  </si>
  <si>
    <t>TOTAL ANNUAL MACHINERY &amp; EQUIPMENT FIXED COST PER ACRE</t>
  </si>
  <si>
    <t>TOTAL CATTLE EQUIP. DEPRECIATION</t>
  </si>
  <si>
    <t>TOTAL CATTLE INVESTMENT</t>
  </si>
  <si>
    <t>TOTAL COST</t>
  </si>
  <si>
    <t>TOTAL COST OF GAIN ($/CWT.)</t>
  </si>
  <si>
    <t>TOTAL FIXED COST</t>
  </si>
  <si>
    <t>TOTAL MACH. &amp; EQUIP. DEPRECIATION</t>
  </si>
  <si>
    <t>TOTAL MACH. &amp; EQUIP. INVEST.</t>
  </si>
  <si>
    <t>TOTAL PROCUREMENT COST</t>
  </si>
  <si>
    <t>TOTAL RETURN</t>
  </si>
  <si>
    <t>TOTAL VARIABLE COST</t>
  </si>
  <si>
    <t>TOTAL WEIGHT</t>
  </si>
  <si>
    <t>TRACTOR</t>
  </si>
  <si>
    <t>UNIT</t>
  </si>
  <si>
    <t>VALUE</t>
  </si>
  <si>
    <t>VARIABLE COST</t>
  </si>
  <si>
    <t>VARIABLE COSTS:</t>
  </si>
  <si>
    <t>WINTER GRAZING</t>
  </si>
  <si>
    <t>WORST</t>
  </si>
  <si>
    <t>YEARS</t>
  </si>
  <si>
    <t>YRS. OF</t>
  </si>
  <si>
    <t>Button</t>
  </si>
  <si>
    <t>REMEMBER</t>
  </si>
  <si>
    <t xml:space="preserve">  In order to Print a specific budget</t>
  </si>
  <si>
    <t xml:space="preserve">  you must Calculate before you</t>
  </si>
  <si>
    <t xml:space="preserve">  Print that particular budget.</t>
  </si>
  <si>
    <t>Returns</t>
  </si>
  <si>
    <t>(Total Cost Budget)</t>
  </si>
  <si>
    <t>(Cash Flow Budget)</t>
  </si>
  <si>
    <t>(Variable Cost Budget)</t>
  </si>
  <si>
    <t>ANNUAL FIXED PAYMENT</t>
  </si>
  <si>
    <t>RISK RATED RETURNS OVER CASH FLOW COST</t>
  </si>
  <si>
    <t>RISK RATED RETURNS OVER VARIABLE COST</t>
  </si>
  <si>
    <t>Note: Be sure to enable all</t>
  </si>
  <si>
    <t>macros on start-up.</t>
  </si>
  <si>
    <t>Calf weight</t>
  </si>
  <si>
    <t>Days fed</t>
  </si>
  <si>
    <t>$/ton</t>
  </si>
  <si>
    <t>$/#</t>
  </si>
  <si>
    <t>% of Ration</t>
  </si>
  <si>
    <t>#/ton</t>
  </si>
  <si>
    <t>Cost/ton</t>
  </si>
  <si>
    <t>corn</t>
  </si>
  <si>
    <t>whole cottonseed</t>
  </si>
  <si>
    <t>gin trash</t>
  </si>
  <si>
    <t>Total</t>
  </si>
  <si>
    <t>Total $/#</t>
  </si>
  <si>
    <t>Consumption</t>
  </si>
  <si>
    <t># fed/day</t>
  </si>
  <si>
    <t>Cost/day</t>
  </si>
  <si>
    <t>Total cost</t>
  </si>
  <si>
    <t>total # fed</t>
  </si>
  <si>
    <t>Animal Type</t>
  </si>
  <si>
    <t>Gain Target</t>
  </si>
  <si>
    <t>Steer</t>
  </si>
  <si>
    <t>Acre</t>
  </si>
  <si>
    <t>In Date</t>
  </si>
  <si>
    <t>Out Date</t>
  </si>
  <si>
    <t>Expected Buy-Sell Margin</t>
  </si>
  <si>
    <t>Total Cost</t>
  </si>
  <si>
    <t>Cash Flow</t>
  </si>
  <si>
    <t>Return to Budget</t>
  </si>
  <si>
    <t>ANNUAL CATTLE EQUIP. FIXED COST</t>
  </si>
  <si>
    <t>SUPPLEMENTAL FEED</t>
  </si>
  <si>
    <t>Winter Grazing Detail</t>
  </si>
  <si>
    <t>Winter Annual Grazing Budget</t>
  </si>
  <si>
    <t>Revised 2003</t>
  </si>
  <si>
    <t>Number of Acres</t>
  </si>
  <si>
    <t>Number of 1,000 # Animal Units/acre</t>
  </si>
  <si>
    <t>Expected number of grazing days/acre</t>
  </si>
  <si>
    <t>YOUR</t>
  </si>
  <si>
    <t xml:space="preserve">    ITEM</t>
  </si>
  <si>
    <t>PER ACRE</t>
  </si>
  <si>
    <t>FARM</t>
  </si>
  <si>
    <t>SEED</t>
  </si>
  <si>
    <t xml:space="preserve"> Wheat</t>
  </si>
  <si>
    <t>BU</t>
  </si>
  <si>
    <t xml:space="preserve"> Rye</t>
  </si>
  <si>
    <t>LB.</t>
  </si>
  <si>
    <t>FERTILIZER:</t>
  </si>
  <si>
    <t xml:space="preserve">  NITROGEN</t>
  </si>
  <si>
    <t xml:space="preserve">  PHOSPHATE</t>
  </si>
  <si>
    <t xml:space="preserve">  POTASH</t>
  </si>
  <si>
    <t>MACHINERY</t>
  </si>
  <si>
    <t xml:space="preserve">  FUEL</t>
  </si>
  <si>
    <t>GAL.</t>
  </si>
  <si>
    <t xml:space="preserve">  REPAIRS &amp; MAINT.</t>
  </si>
  <si>
    <t>Custom Planting</t>
  </si>
  <si>
    <t>Calculate Fixed Cost</t>
  </si>
  <si>
    <t>Calculate Fixed Payment</t>
  </si>
  <si>
    <t>TOTAL  FIXED COST</t>
  </si>
  <si>
    <t xml:space="preserve">TOTAL COST </t>
  </si>
  <si>
    <t>SENSITIVITY ANALYSIS-VARIABLE COSTS</t>
  </si>
  <si>
    <t xml:space="preserve">Cost Per Grazing Day at Various Combinations of Grazing Days &amp; Costs Per Acre </t>
  </si>
  <si>
    <t>+10%</t>
  </si>
  <si>
    <t>+25%</t>
  </si>
  <si>
    <t>Grazing Days</t>
  </si>
  <si>
    <t>Grazing Days Required to Breakeven at Various Dollars Per Day Drylot Cost &amp; Per Acre Cost</t>
  </si>
  <si>
    <t>$/Day Drylot Costs</t>
  </si>
  <si>
    <t>EXPDATA</t>
  </si>
  <si>
    <t>ALTB for calculation and return to breakeven table;</t>
  </si>
  <si>
    <t>ALTR for calculation and return to risk rated return table;</t>
  </si>
  <si>
    <t>ALTI for return to Instructions;</t>
  </si>
  <si>
    <t>HOME for return to beginning of budget.</t>
  </si>
  <si>
    <t>$/Cwt</t>
  </si>
  <si>
    <t xml:space="preserve">BASE BUDGETED NET REVENUE </t>
  </si>
  <si>
    <t>Profit (Loss) Per Head Placed</t>
  </si>
  <si>
    <t>MINERAL + IONOPHORE</t>
  </si>
  <si>
    <t>PERCENT</t>
  </si>
  <si>
    <t>Stockering Steers On Temporary Winter Grazing, Hay &amp; Supplement</t>
  </si>
  <si>
    <t>Agricultural &amp; Applied Economics and Animal &amp; Dairy Science Departments</t>
  </si>
  <si>
    <t>Return to Main Budget</t>
  </si>
  <si>
    <t>Procurement Cost Detail</t>
  </si>
  <si>
    <t>Auction &amp; Hauling Cost Detail</t>
  </si>
  <si>
    <t>Commission</t>
  </si>
  <si>
    <t>Yardage</t>
  </si>
  <si>
    <t>Day</t>
  </si>
  <si>
    <t>Hauling</t>
  </si>
  <si>
    <t>Total Auction &amp; Hauling Cost</t>
  </si>
  <si>
    <t>Procurement Detail</t>
  </si>
  <si>
    <t>Auction &amp; Hauling Detail</t>
  </si>
  <si>
    <t>Soybean Meal</t>
  </si>
  <si>
    <t xml:space="preserve"> Units Per Head</t>
  </si>
  <si>
    <t>Item</t>
  </si>
  <si>
    <t>Unit</t>
  </si>
  <si>
    <t>Total Quantity (units)</t>
  </si>
  <si>
    <t xml:space="preserve"> Unit Price ($/Unit)</t>
  </si>
  <si>
    <t>Total Amount</t>
  </si>
  <si>
    <t>Per Head Marketed</t>
  </si>
  <si>
    <t xml:space="preserve"> Oats</t>
  </si>
  <si>
    <t>Stockering Lightweight Steers On Cover Crop Temporary Winter Grazing, Hay &amp; Supplement</t>
  </si>
  <si>
    <t>Cover Crop Temporary Winter Grazing</t>
  </si>
  <si>
    <t>Return to Main budget</t>
  </si>
  <si>
    <t>University of Georgia Cooperative Extension Service</t>
  </si>
  <si>
    <t>Miles</t>
  </si>
  <si>
    <t>Order Buying</t>
  </si>
  <si>
    <t>R. Curt Lacy and Lawton Stewart</t>
  </si>
  <si>
    <t>October 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</si>
</sst>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5" formatCode="&quot;$&quot;#,##0_);\(&quot;$&quot;#,##0\)"/>
    <numFmt numFmtId="7" formatCode="&quot;$&quot;#,##0.00_);\(&quot;$&quot;#,##0.00\)"/>
    <numFmt numFmtId="44" formatCode="_(&quot;$&quot;* #,##0.00_);_(&quot;$&quot;* \(#,##0.00\);_(&quot;$&quot;* &quot;-&quot;??_);_(@_)"/>
    <numFmt numFmtId="164" formatCode="0.0%"/>
    <numFmt numFmtId="165" formatCode="&quot;$&quot;#,##0.00"/>
    <numFmt numFmtId="166" formatCode="&quot;$&quot;#,##0"/>
    <numFmt numFmtId="167" formatCode="mm/dd/yy"/>
    <numFmt numFmtId="168" formatCode="0.000"/>
    <numFmt numFmtId="171" formatCode="_(&quot;$&quot;* #,##0_);_(&quot;$&quot;* \(#,##0\);_(&quot;$&quot;* &quot;-&quot;??_);_(@_)"/>
  </numFmts>
  <fonts count="45" x14ac:knownFonts="1">
    <font>
      <sz val="10"/>
      <name val="Arial"/>
    </font>
    <font>
      <b/>
      <sz val="18"/>
      <name val="Arial"/>
    </font>
    <font>
      <b/>
      <sz val="12"/>
      <name val="Arial"/>
    </font>
    <font>
      <b/>
      <sz val="10"/>
      <name val="Arial"/>
    </font>
    <font>
      <sz val="8"/>
      <name val="Helv"/>
    </font>
    <font>
      <i/>
      <sz val="10"/>
      <name val="Arial"/>
      <family val="2"/>
    </font>
    <font>
      <b/>
      <u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62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sz val="10"/>
      <name val="Bookman Old Style"/>
      <family val="1"/>
    </font>
    <font>
      <b/>
      <sz val="10"/>
      <name val="Bookman Old Style"/>
      <family val="1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1"/>
      <name val="Tahoma"/>
      <family val="2"/>
    </font>
    <font>
      <b/>
      <sz val="10"/>
      <color indexed="81"/>
      <name val="Tahoma"/>
      <family val="2"/>
    </font>
    <font>
      <b/>
      <sz val="10"/>
      <color indexed="16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0"/>
      <color indexed="13"/>
      <name val="Arial"/>
      <family val="2"/>
    </font>
    <font>
      <b/>
      <sz val="12"/>
      <color indexed="13"/>
      <name val="Arial"/>
      <family val="2"/>
    </font>
    <font>
      <b/>
      <sz val="11"/>
      <color indexed="13"/>
      <name val="Arial"/>
      <family val="2"/>
    </font>
    <font>
      <sz val="10"/>
      <color indexed="10"/>
      <name val="Arial"/>
      <family val="2"/>
    </font>
    <font>
      <sz val="10"/>
      <name val="Bookman Old Style"/>
      <family val="1"/>
    </font>
    <font>
      <u/>
      <sz val="10"/>
      <color indexed="12"/>
      <name val="Bookman Old Style"/>
      <family val="1"/>
    </font>
    <font>
      <sz val="10"/>
      <color indexed="12"/>
      <name val="Bookman Old Style"/>
      <family val="1"/>
    </font>
    <font>
      <b/>
      <i/>
      <sz val="10"/>
      <name val="Bookman Old Style"/>
      <family val="1"/>
    </font>
    <font>
      <b/>
      <sz val="10"/>
      <color indexed="10"/>
      <name val="Bookman Old Style"/>
      <family val="1"/>
    </font>
    <font>
      <b/>
      <sz val="10"/>
      <color indexed="8"/>
      <name val="Bookman Old Style"/>
      <family val="1"/>
    </font>
    <font>
      <b/>
      <u/>
      <sz val="10"/>
      <name val="Bookman Old Style"/>
      <family val="1"/>
    </font>
    <font>
      <sz val="10"/>
      <name val="Arial"/>
      <family val="2"/>
    </font>
    <font>
      <sz val="10"/>
      <color rgb="FF0070C0"/>
      <name val="Bookman Old Style"/>
      <family val="1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15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9"/>
      </patternFill>
    </fill>
    <fill>
      <patternFill patternType="solid">
        <fgColor indexed="48"/>
        <bgColor indexed="9"/>
      </patternFill>
    </fill>
    <fill>
      <patternFill patternType="solid">
        <fgColor indexed="22"/>
      </patternFill>
    </fill>
    <fill>
      <patternFill patternType="solid">
        <fgColor indexed="41"/>
        <bgColor indexed="9"/>
      </patternFill>
    </fill>
  </fills>
  <borders count="5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4" fillId="2" borderId="0"/>
    <xf numFmtId="3" fontId="43" fillId="2" borderId="0"/>
    <xf numFmtId="7" fontId="43" fillId="2" borderId="0"/>
    <xf numFmtId="44" fontId="13" fillId="0" borderId="0" applyFont="0" applyFill="0" applyBorder="0" applyAlignment="0" applyProtection="0"/>
    <xf numFmtId="5" fontId="43" fillId="2" borderId="0"/>
    <xf numFmtId="0" fontId="43" fillId="2" borderId="0"/>
    <xf numFmtId="2" fontId="43" fillId="2" borderId="0"/>
    <xf numFmtId="0" fontId="1" fillId="2" borderId="0"/>
    <xf numFmtId="0" fontId="2" fillId="2" borderId="0"/>
    <xf numFmtId="0" fontId="15" fillId="0" borderId="0" applyNumberFormat="0" applyFill="0" applyBorder="0" applyAlignment="0" applyProtection="0">
      <alignment vertical="top"/>
      <protection locked="0"/>
    </xf>
    <xf numFmtId="0" fontId="13" fillId="0" borderId="0"/>
    <xf numFmtId="10" fontId="43" fillId="2" borderId="0"/>
    <xf numFmtId="9" fontId="13" fillId="0" borderId="0" applyFont="0" applyFill="0" applyBorder="0" applyAlignment="0" applyProtection="0"/>
    <xf numFmtId="0" fontId="43" fillId="2" borderId="1"/>
  </cellStyleXfs>
  <cellXfs count="236">
    <xf numFmtId="2" fontId="0" fillId="2" borderId="0" xfId="0" applyNumberFormat="1" applyFill="1"/>
    <xf numFmtId="9" fontId="0" fillId="2" borderId="0" xfId="0" applyNumberFormat="1" applyFill="1"/>
    <xf numFmtId="3" fontId="0" fillId="2" borderId="0" xfId="0" applyNumberFormat="1" applyFill="1"/>
    <xf numFmtId="0" fontId="0" fillId="2" borderId="0" xfId="0" applyFill="1"/>
    <xf numFmtId="2" fontId="3" fillId="3" borderId="0" xfId="0" applyNumberFormat="1" applyFont="1" applyFill="1" applyBorder="1" applyAlignment="1">
      <alignment horizontal="centerContinuous"/>
    </xf>
    <xf numFmtId="0" fontId="3" fillId="3" borderId="0" xfId="0" applyFont="1" applyFill="1" applyBorder="1" applyAlignment="1">
      <alignment horizontal="centerContinuous"/>
    </xf>
    <xf numFmtId="2" fontId="0" fillId="2" borderId="0" xfId="0" applyNumberFormat="1" applyFill="1" applyBorder="1"/>
    <xf numFmtId="0" fontId="13" fillId="0" borderId="0" xfId="11"/>
    <xf numFmtId="44" fontId="13" fillId="0" borderId="0" xfId="4"/>
    <xf numFmtId="9" fontId="13" fillId="0" borderId="0" xfId="13"/>
    <xf numFmtId="10" fontId="13" fillId="0" borderId="0" xfId="13" applyNumberFormat="1"/>
    <xf numFmtId="44" fontId="13" fillId="0" borderId="0" xfId="11" applyNumberFormat="1"/>
    <xf numFmtId="168" fontId="13" fillId="0" borderId="0" xfId="11" applyNumberFormat="1"/>
    <xf numFmtId="0" fontId="13" fillId="0" borderId="0" xfId="11" applyFont="1"/>
    <xf numFmtId="0" fontId="14" fillId="0" borderId="0" xfId="11" applyFont="1"/>
    <xf numFmtId="2" fontId="3" fillId="2" borderId="0" xfId="0" applyNumberFormat="1" applyFont="1" applyFill="1" applyBorder="1" applyAlignment="1">
      <alignment horizontal="centerContinuous"/>
    </xf>
    <xf numFmtId="2" fontId="10" fillId="2" borderId="0" xfId="0" applyNumberFormat="1" applyFont="1" applyFill="1" applyBorder="1"/>
    <xf numFmtId="9" fontId="0" fillId="2" borderId="0" xfId="0" applyNumberFormat="1" applyFill="1" applyBorder="1"/>
    <xf numFmtId="1" fontId="0" fillId="2" borderId="0" xfId="0" applyNumberFormat="1" applyFill="1" applyBorder="1"/>
    <xf numFmtId="165" fontId="0" fillId="2" borderId="0" xfId="0" applyNumberFormat="1" applyFill="1" applyBorder="1"/>
    <xf numFmtId="2" fontId="3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right"/>
    </xf>
    <xf numFmtId="3" fontId="0" fillId="2" borderId="0" xfId="0" applyNumberFormat="1" applyFill="1" applyBorder="1"/>
    <xf numFmtId="2" fontId="3" fillId="2" borderId="0" xfId="0" applyNumberFormat="1" applyFont="1" applyFill="1" applyBorder="1"/>
    <xf numFmtId="165" fontId="3" fillId="2" borderId="0" xfId="0" applyNumberFormat="1" applyFont="1" applyFill="1" applyBorder="1"/>
    <xf numFmtId="2" fontId="0" fillId="2" borderId="0" xfId="0" applyNumberFormat="1" applyFill="1" applyBorder="1" applyAlignment="1">
      <alignment horizontal="centerContinuous"/>
    </xf>
    <xf numFmtId="0" fontId="0" fillId="2" borderId="0" xfId="0" applyFill="1" applyBorder="1"/>
    <xf numFmtId="2" fontId="15" fillId="2" borderId="0" xfId="10" applyNumberFormat="1" applyFill="1" applyBorder="1" applyAlignment="1" applyProtection="1"/>
    <xf numFmtId="2" fontId="5" fillId="2" borderId="0" xfId="0" applyNumberFormat="1" applyFont="1" applyFill="1" applyBorder="1" applyAlignment="1">
      <alignment horizontal="centerContinuous"/>
    </xf>
    <xf numFmtId="2" fontId="7" fillId="2" borderId="0" xfId="0" applyNumberFormat="1" applyFont="1" applyFill="1" applyBorder="1" applyAlignment="1">
      <alignment horizontal="centerContinuous"/>
    </xf>
    <xf numFmtId="1" fontId="0" fillId="2" borderId="0" xfId="0" applyNumberFormat="1" applyFill="1" applyBorder="1" applyAlignment="1">
      <alignment horizontal="left"/>
    </xf>
    <xf numFmtId="1" fontId="16" fillId="2" borderId="0" xfId="0" applyNumberFormat="1" applyFont="1" applyFill="1" applyBorder="1" applyAlignment="1">
      <alignment horizontal="left"/>
    </xf>
    <xf numFmtId="164" fontId="0" fillId="2" borderId="0" xfId="0" applyNumberFormat="1" applyFill="1" applyBorder="1"/>
    <xf numFmtId="9" fontId="3" fillId="2" borderId="0" xfId="0" applyNumberFormat="1" applyFont="1" applyFill="1" applyBorder="1"/>
    <xf numFmtId="3" fontId="3" fillId="2" borderId="0" xfId="0" applyNumberFormat="1" applyFont="1" applyFill="1" applyBorder="1"/>
    <xf numFmtId="164" fontId="3" fillId="2" borderId="0" xfId="0" applyNumberFormat="1" applyFont="1" applyFill="1" applyBorder="1"/>
    <xf numFmtId="165" fontId="3" fillId="2" borderId="0" xfId="0" applyNumberFormat="1" applyFont="1" applyFill="1" applyBorder="1" applyAlignment="1">
      <alignment horizontal="centerContinuous"/>
    </xf>
    <xf numFmtId="165" fontId="0" fillId="2" borderId="0" xfId="0" applyNumberFormat="1" applyFill="1" applyBorder="1" applyAlignment="1">
      <alignment horizontal="centerContinuous"/>
    </xf>
    <xf numFmtId="165" fontId="9" fillId="2" borderId="0" xfId="0" applyNumberFormat="1" applyFont="1" applyFill="1" applyBorder="1"/>
    <xf numFmtId="2" fontId="11" fillId="2" borderId="0" xfId="0" applyNumberFormat="1" applyFont="1" applyFill="1" applyBorder="1"/>
    <xf numFmtId="165" fontId="12" fillId="2" borderId="0" xfId="0" applyNumberFormat="1" applyFont="1" applyFill="1" applyBorder="1"/>
    <xf numFmtId="2" fontId="0" fillId="2" borderId="2" xfId="0" applyNumberFormat="1" applyFill="1" applyBorder="1"/>
    <xf numFmtId="2" fontId="0" fillId="2" borderId="3" xfId="0" applyNumberFormat="1" applyFill="1" applyBorder="1"/>
    <xf numFmtId="0" fontId="0" fillId="4" borderId="0" xfId="0" applyFill="1" applyProtection="1">
      <protection locked="0"/>
    </xf>
    <xf numFmtId="0" fontId="9" fillId="4" borderId="0" xfId="0" applyFont="1" applyFill="1" applyProtection="1">
      <protection locked="0"/>
    </xf>
    <xf numFmtId="2" fontId="19" fillId="2" borderId="0" xfId="0" applyNumberFormat="1" applyFont="1" applyFill="1" applyBorder="1" applyAlignment="1">
      <alignment horizontal="centerContinuous"/>
    </xf>
    <xf numFmtId="0" fontId="3" fillId="2" borderId="0" xfId="0" applyFont="1" applyFill="1" applyBorder="1" applyAlignment="1">
      <alignment horizontal="centerContinuous"/>
    </xf>
    <xf numFmtId="0" fontId="12" fillId="4" borderId="0" xfId="0" applyFont="1" applyFill="1" applyProtection="1">
      <protection locked="0"/>
    </xf>
    <xf numFmtId="0" fontId="9" fillId="4" borderId="0" xfId="0" applyFont="1" applyFill="1" applyBorder="1" applyProtection="1">
      <protection locked="0"/>
    </xf>
    <xf numFmtId="2" fontId="0" fillId="2" borderId="0" xfId="0" applyNumberFormat="1" applyFill="1" applyBorder="1" applyAlignment="1"/>
    <xf numFmtId="2" fontId="20" fillId="2" borderId="0" xfId="0" applyNumberFormat="1" applyFont="1" applyFill="1" applyBorder="1" applyAlignment="1">
      <alignment horizontal="right"/>
    </xf>
    <xf numFmtId="2" fontId="0" fillId="2" borderId="0" xfId="0" applyNumberFormat="1" applyFill="1" applyBorder="1" applyAlignment="1">
      <alignment horizontal="left"/>
    </xf>
    <xf numFmtId="2" fontId="0" fillId="2" borderId="4" xfId="0" applyNumberFormat="1" applyFill="1" applyBorder="1"/>
    <xf numFmtId="2" fontId="9" fillId="2" borderId="0" xfId="0" applyNumberFormat="1" applyFont="1" applyFill="1" applyBorder="1" applyAlignment="1">
      <alignment horizontal="center"/>
    </xf>
    <xf numFmtId="2" fontId="0" fillId="2" borderId="0" xfId="0" applyNumberFormat="1" applyFill="1" applyBorder="1" applyAlignment="1">
      <alignment horizontal="center"/>
    </xf>
    <xf numFmtId="2" fontId="0" fillId="2" borderId="5" xfId="0" applyNumberFormat="1" applyFill="1" applyBorder="1"/>
    <xf numFmtId="2" fontId="0" fillId="2" borderId="6" xfId="0" applyNumberFormat="1" applyFill="1" applyBorder="1"/>
    <xf numFmtId="10" fontId="21" fillId="2" borderId="0" xfId="12" applyFont="1" applyFill="1" applyBorder="1"/>
    <xf numFmtId="165" fontId="22" fillId="2" borderId="0" xfId="0" applyNumberFormat="1" applyFont="1" applyFill="1" applyBorder="1"/>
    <xf numFmtId="2" fontId="0" fillId="2" borderId="7" xfId="0" applyNumberFormat="1" applyFill="1" applyBorder="1"/>
    <xf numFmtId="2" fontId="0" fillId="5" borderId="8" xfId="0" applyNumberFormat="1" applyFill="1" applyBorder="1"/>
    <xf numFmtId="0" fontId="23" fillId="4" borderId="0" xfId="0" applyFont="1" applyFill="1" applyBorder="1" applyAlignment="1" applyProtection="1">
      <protection locked="0"/>
    </xf>
    <xf numFmtId="165" fontId="23" fillId="4" borderId="0" xfId="0" applyNumberFormat="1" applyFont="1" applyFill="1" applyAlignment="1" applyProtection="1">
      <protection locked="0"/>
    </xf>
    <xf numFmtId="0" fontId="23" fillId="4" borderId="0" xfId="0" applyFont="1" applyFill="1" applyAlignment="1" applyProtection="1">
      <protection locked="0"/>
    </xf>
    <xf numFmtId="2" fontId="15" fillId="2" borderId="0" xfId="10" applyNumberFormat="1" applyFill="1" applyBorder="1" applyAlignment="1" applyProtection="1">
      <alignment wrapText="1"/>
    </xf>
    <xf numFmtId="1" fontId="16" fillId="4" borderId="0" xfId="0" applyNumberFormat="1" applyFont="1" applyFill="1" applyBorder="1" applyAlignment="1" applyProtection="1">
      <protection locked="0"/>
    </xf>
    <xf numFmtId="165" fontId="16" fillId="4" borderId="0" xfId="0" applyNumberFormat="1" applyFont="1" applyFill="1" applyBorder="1" applyAlignment="1" applyProtection="1">
      <protection locked="0"/>
    </xf>
    <xf numFmtId="0" fontId="24" fillId="4" borderId="0" xfId="0" applyFont="1" applyFill="1" applyAlignment="1" applyProtection="1">
      <protection locked="0"/>
    </xf>
    <xf numFmtId="3" fontId="16" fillId="4" borderId="0" xfId="0" applyNumberFormat="1" applyFont="1" applyFill="1" applyBorder="1" applyAlignment="1" applyProtection="1">
      <protection locked="0"/>
    </xf>
    <xf numFmtId="0" fontId="16" fillId="4" borderId="0" xfId="0" applyFont="1" applyFill="1" applyBorder="1" applyAlignment="1" applyProtection="1">
      <protection locked="0"/>
    </xf>
    <xf numFmtId="10" fontId="16" fillId="2" borderId="0" xfId="12" applyFont="1" applyFill="1" applyBorder="1"/>
    <xf numFmtId="2" fontId="25" fillId="2" borderId="0" xfId="0" applyNumberFormat="1" applyFont="1" applyFill="1" applyBorder="1"/>
    <xf numFmtId="165" fontId="25" fillId="2" borderId="0" xfId="0" applyNumberFormat="1" applyFont="1" applyFill="1" applyBorder="1"/>
    <xf numFmtId="2" fontId="22" fillId="2" borderId="2" xfId="0" applyNumberFormat="1" applyFont="1" applyFill="1" applyBorder="1"/>
    <xf numFmtId="2" fontId="26" fillId="2" borderId="0" xfId="0" applyNumberFormat="1" applyFont="1" applyFill="1" applyBorder="1"/>
    <xf numFmtId="2" fontId="0" fillId="2" borderId="9" xfId="0" applyNumberFormat="1" applyFill="1" applyBorder="1"/>
    <xf numFmtId="2" fontId="0" fillId="2" borderId="0" xfId="0" applyNumberFormat="1" applyFill="1" applyBorder="1" applyAlignment="1">
      <alignment wrapText="1"/>
    </xf>
    <xf numFmtId="0" fontId="0" fillId="4" borderId="0" xfId="0" applyFill="1" applyBorder="1"/>
    <xf numFmtId="9" fontId="0" fillId="4" borderId="0" xfId="0" applyNumberFormat="1" applyFill="1" applyBorder="1" applyAlignment="1">
      <alignment horizontal="center"/>
    </xf>
    <xf numFmtId="0" fontId="0" fillId="4" borderId="0" xfId="0" applyFill="1" applyBorder="1" applyAlignment="1">
      <alignment horizontal="center"/>
    </xf>
    <xf numFmtId="9" fontId="0" fillId="4" borderId="0" xfId="0" quotePrefix="1" applyNumberFormat="1" applyFill="1" applyBorder="1" applyAlignment="1">
      <alignment horizontal="center"/>
    </xf>
    <xf numFmtId="0" fontId="0" fillId="4" borderId="0" xfId="0" quotePrefix="1" applyFill="1" applyBorder="1" applyAlignment="1">
      <alignment horizontal="center"/>
    </xf>
    <xf numFmtId="2" fontId="3" fillId="2" borderId="0" xfId="8" applyNumberFormat="1" applyFont="1" applyFill="1" applyBorder="1" applyAlignment="1">
      <alignment horizontal="center"/>
    </xf>
    <xf numFmtId="0" fontId="27" fillId="4" borderId="10" xfId="0" applyFont="1" applyFill="1" applyBorder="1" applyAlignment="1">
      <alignment horizontal="center" wrapText="1"/>
    </xf>
    <xf numFmtId="171" fontId="14" fillId="2" borderId="11" xfId="3" applyNumberFormat="1" applyFont="1" applyFill="1" applyBorder="1" applyAlignment="1"/>
    <xf numFmtId="171" fontId="14" fillId="2" borderId="12" xfId="3" applyNumberFormat="1" applyFont="1" applyFill="1" applyBorder="1" applyAlignment="1"/>
    <xf numFmtId="166" fontId="0" fillId="2" borderId="0" xfId="0" applyNumberFormat="1" applyFill="1" applyBorder="1"/>
    <xf numFmtId="0" fontId="14" fillId="4" borderId="13" xfId="0" applyFont="1" applyFill="1" applyBorder="1"/>
    <xf numFmtId="7" fontId="21" fillId="2" borderId="0" xfId="3" applyFont="1" applyFill="1" applyBorder="1"/>
    <xf numFmtId="7" fontId="21" fillId="2" borderId="0" xfId="3" applyFont="1" applyFill="1"/>
    <xf numFmtId="166" fontId="22" fillId="2" borderId="0" xfId="0" applyNumberFormat="1" applyFont="1" applyFill="1" applyBorder="1"/>
    <xf numFmtId="0" fontId="14" fillId="4" borderId="14" xfId="0" applyFont="1" applyFill="1" applyBorder="1"/>
    <xf numFmtId="0" fontId="14" fillId="4" borderId="0" xfId="0" applyFont="1" applyFill="1" applyBorder="1"/>
    <xf numFmtId="7" fontId="14" fillId="2" borderId="13" xfId="3" applyFont="1" applyFill="1" applyBorder="1"/>
    <xf numFmtId="37" fontId="21" fillId="2" borderId="0" xfId="3" applyNumberFormat="1" applyFont="1" applyFill="1" applyBorder="1"/>
    <xf numFmtId="37" fontId="21" fillId="2" borderId="0" xfId="3" applyNumberFormat="1" applyFont="1" applyFill="1"/>
    <xf numFmtId="7" fontId="14" fillId="2" borderId="14" xfId="3" applyFont="1" applyFill="1" applyBorder="1"/>
    <xf numFmtId="11" fontId="0" fillId="2" borderId="0" xfId="0" applyNumberFormat="1" applyFill="1" applyBorder="1"/>
    <xf numFmtId="2" fontId="0" fillId="2" borderId="15" xfId="0" applyNumberFormat="1" applyFill="1" applyBorder="1"/>
    <xf numFmtId="2" fontId="0" fillId="2" borderId="16" xfId="0" applyNumberFormat="1" applyFill="1" applyBorder="1"/>
    <xf numFmtId="11" fontId="3" fillId="2" borderId="0" xfId="0" applyNumberFormat="1" applyFont="1" applyFill="1" applyBorder="1" applyAlignment="1">
      <alignment horizontal="centerContinuous"/>
    </xf>
    <xf numFmtId="0" fontId="12" fillId="4" borderId="0" xfId="0" applyFont="1" applyFill="1" applyBorder="1" applyProtection="1">
      <protection locked="0"/>
    </xf>
    <xf numFmtId="0" fontId="0" fillId="2" borderId="0" xfId="0" applyFill="1" applyBorder="1" applyAlignment="1">
      <alignment horizontal="centerContinuous"/>
    </xf>
    <xf numFmtId="2" fontId="6" fillId="2" borderId="0" xfId="0" applyNumberFormat="1" applyFont="1" applyFill="1" applyBorder="1"/>
    <xf numFmtId="166" fontId="3" fillId="2" borderId="0" xfId="0" applyNumberFormat="1" applyFont="1" applyFill="1" applyBorder="1" applyAlignment="1">
      <alignment horizontal="centerContinuous"/>
    </xf>
    <xf numFmtId="2" fontId="5" fillId="2" borderId="0" xfId="0" applyNumberFormat="1" applyFont="1" applyFill="1" applyBorder="1"/>
    <xf numFmtId="2" fontId="5" fillId="2" borderId="4" xfId="0" applyNumberFormat="1" applyFont="1" applyFill="1" applyBorder="1"/>
    <xf numFmtId="2" fontId="0" fillId="2" borderId="17" xfId="0" applyNumberFormat="1" applyFill="1" applyBorder="1"/>
    <xf numFmtId="1" fontId="0" fillId="2" borderId="3" xfId="0" applyNumberFormat="1" applyFill="1" applyBorder="1"/>
    <xf numFmtId="7" fontId="9" fillId="2" borderId="0" xfId="3" applyFont="1"/>
    <xf numFmtId="9" fontId="13" fillId="0" borderId="0" xfId="11" applyNumberFormat="1"/>
    <xf numFmtId="9" fontId="0" fillId="2" borderId="0" xfId="0" applyNumberFormat="1" applyFill="1" applyBorder="1" applyAlignment="1">
      <alignment horizontal="left"/>
    </xf>
    <xf numFmtId="165" fontId="11" fillId="2" borderId="0" xfId="0" applyNumberFormat="1" applyFont="1" applyFill="1" applyBorder="1"/>
    <xf numFmtId="2" fontId="9" fillId="2" borderId="0" xfId="0" applyNumberFormat="1" applyFont="1" applyFill="1" applyBorder="1" applyAlignment="1">
      <alignment horizontal="left"/>
    </xf>
    <xf numFmtId="165" fontId="9" fillId="2" borderId="0" xfId="0" applyNumberFormat="1" applyFont="1" applyFill="1" applyBorder="1" applyAlignment="1">
      <alignment horizontal="center" wrapText="1"/>
    </xf>
    <xf numFmtId="0" fontId="32" fillId="6" borderId="18" xfId="0" applyFont="1" applyFill="1" applyBorder="1"/>
    <xf numFmtId="0" fontId="33" fillId="6" borderId="7" xfId="0" applyFont="1" applyFill="1" applyBorder="1" applyAlignment="1">
      <alignment horizontal="center"/>
    </xf>
    <xf numFmtId="0" fontId="32" fillId="6" borderId="19" xfId="0" applyFont="1" applyFill="1" applyBorder="1"/>
    <xf numFmtId="0" fontId="32" fillId="6" borderId="20" xfId="0" applyFont="1" applyFill="1" applyBorder="1"/>
    <xf numFmtId="0" fontId="32" fillId="6" borderId="0" xfId="0" applyFont="1" applyFill="1" applyBorder="1"/>
    <xf numFmtId="0" fontId="32" fillId="6" borderId="21" xfId="0" applyFont="1" applyFill="1" applyBorder="1"/>
    <xf numFmtId="0" fontId="34" fillId="6" borderId="20" xfId="0" applyFont="1" applyFill="1" applyBorder="1"/>
    <xf numFmtId="0" fontId="32" fillId="6" borderId="22" xfId="0" applyFont="1" applyFill="1" applyBorder="1"/>
    <xf numFmtId="0" fontId="32" fillId="6" borderId="5" xfId="0" applyFont="1" applyFill="1" applyBorder="1"/>
    <xf numFmtId="0" fontId="32" fillId="6" borderId="23" xfId="0" applyFont="1" applyFill="1" applyBorder="1"/>
    <xf numFmtId="2" fontId="0" fillId="5" borderId="24" xfId="0" applyNumberFormat="1" applyFill="1" applyBorder="1" applyAlignment="1">
      <alignment horizontal="centerContinuous"/>
    </xf>
    <xf numFmtId="2" fontId="0" fillId="5" borderId="25" xfId="0" applyNumberFormat="1" applyFill="1" applyBorder="1" applyAlignment="1">
      <alignment horizontal="centerContinuous"/>
    </xf>
    <xf numFmtId="2" fontId="0" fillId="5" borderId="26" xfId="0" applyNumberFormat="1" applyFill="1" applyBorder="1"/>
    <xf numFmtId="2" fontId="3" fillId="5" borderId="0" xfId="0" applyNumberFormat="1" applyFont="1" applyFill="1" applyAlignment="1">
      <alignment horizontal="centerContinuous"/>
    </xf>
    <xf numFmtId="2" fontId="0" fillId="5" borderId="27" xfId="0" applyNumberFormat="1" applyFill="1" applyBorder="1"/>
    <xf numFmtId="2" fontId="0" fillId="5" borderId="28" xfId="0" applyNumberFormat="1" applyFill="1" applyBorder="1"/>
    <xf numFmtId="2" fontId="0" fillId="5" borderId="29" xfId="0" applyNumberFormat="1" applyFill="1" applyBorder="1"/>
    <xf numFmtId="2" fontId="0" fillId="5" borderId="30" xfId="0" applyNumberFormat="1" applyFill="1" applyBorder="1"/>
    <xf numFmtId="2" fontId="0" fillId="5" borderId="31" xfId="0" applyNumberFormat="1" applyFill="1" applyBorder="1"/>
    <xf numFmtId="2" fontId="0" fillId="5" borderId="32" xfId="0" applyNumberFormat="1" applyFill="1" applyBorder="1"/>
    <xf numFmtId="0" fontId="0" fillId="7" borderId="28" xfId="0" applyFill="1" applyBorder="1" applyAlignment="1" applyProtection="1">
      <protection locked="0"/>
    </xf>
    <xf numFmtId="0" fontId="0" fillId="7" borderId="0" xfId="0" applyFill="1" applyBorder="1" applyAlignment="1" applyProtection="1">
      <protection locked="0"/>
    </xf>
    <xf numFmtId="0" fontId="0" fillId="5" borderId="27" xfId="0" applyFill="1" applyBorder="1" applyProtection="1">
      <protection locked="0"/>
    </xf>
    <xf numFmtId="0" fontId="8" fillId="5" borderId="28" xfId="0" applyFont="1" applyFill="1" applyBorder="1" applyProtection="1">
      <protection locked="0"/>
    </xf>
    <xf numFmtId="0" fontId="0" fillId="5" borderId="28" xfId="0" applyFill="1" applyBorder="1" applyProtection="1">
      <protection locked="0"/>
    </xf>
    <xf numFmtId="0" fontId="0" fillId="5" borderId="29" xfId="0" applyFill="1" applyBorder="1" applyProtection="1">
      <protection locked="0"/>
    </xf>
    <xf numFmtId="0" fontId="0" fillId="5" borderId="33" xfId="0" applyFill="1" applyBorder="1" applyProtection="1">
      <protection locked="0"/>
    </xf>
    <xf numFmtId="0" fontId="0" fillId="5" borderId="34" xfId="0" applyFill="1" applyBorder="1" applyProtection="1">
      <protection locked="0"/>
    </xf>
    <xf numFmtId="2" fontId="31" fillId="5" borderId="28" xfId="0" applyNumberFormat="1" applyFont="1" applyFill="1" applyBorder="1" applyAlignment="1">
      <alignment horizontal="left"/>
    </xf>
    <xf numFmtId="2" fontId="35" fillId="5" borderId="0" xfId="0" applyNumberFormat="1" applyFont="1" applyFill="1" applyAlignment="1">
      <alignment horizontal="centerContinuous"/>
    </xf>
    <xf numFmtId="2" fontId="31" fillId="5" borderId="0" xfId="0" applyNumberFormat="1" applyFont="1" applyFill="1" applyAlignment="1">
      <alignment horizontal="centerContinuous"/>
    </xf>
    <xf numFmtId="2" fontId="35" fillId="5" borderId="27" xfId="0" applyNumberFormat="1" applyFont="1" applyFill="1" applyBorder="1"/>
    <xf numFmtId="2" fontId="31" fillId="5" borderId="35" xfId="0" applyNumberFormat="1" applyFont="1" applyFill="1" applyBorder="1" applyAlignment="1">
      <alignment horizontal="center"/>
    </xf>
    <xf numFmtId="2" fontId="31" fillId="5" borderId="31" xfId="0" applyNumberFormat="1" applyFont="1" applyFill="1" applyBorder="1" applyAlignment="1">
      <alignment horizontal="center"/>
    </xf>
    <xf numFmtId="2" fontId="31" fillId="5" borderId="36" xfId="0" applyNumberFormat="1" applyFont="1" applyFill="1" applyBorder="1" applyAlignment="1">
      <alignment horizontal="center"/>
    </xf>
    <xf numFmtId="2" fontId="31" fillId="5" borderId="30" xfId="0" applyNumberFormat="1" applyFont="1" applyFill="1" applyBorder="1" applyAlignment="1">
      <alignment horizontal="center"/>
    </xf>
    <xf numFmtId="2" fontId="35" fillId="5" borderId="29" xfId="0" applyNumberFormat="1" applyFont="1" applyFill="1" applyBorder="1"/>
    <xf numFmtId="2" fontId="31" fillId="5" borderId="37" xfId="0" applyNumberFormat="1" applyFont="1" applyFill="1" applyBorder="1" applyAlignment="1">
      <alignment horizontal="center"/>
    </xf>
    <xf numFmtId="0" fontId="9" fillId="5" borderId="0" xfId="0" applyFont="1" applyFill="1" applyBorder="1" applyProtection="1">
      <protection locked="0"/>
    </xf>
    <xf numFmtId="2" fontId="36" fillId="2" borderId="0" xfId="0" applyNumberFormat="1" applyFont="1" applyFill="1" applyBorder="1"/>
    <xf numFmtId="2" fontId="14" fillId="2" borderId="0" xfId="0" applyNumberFormat="1" applyFont="1" applyFill="1" applyBorder="1" applyAlignment="1">
      <alignment horizontal="centerContinuous"/>
    </xf>
    <xf numFmtId="2" fontId="14" fillId="2" borderId="0" xfId="8" applyNumberFormat="1" applyFont="1" applyFill="1" applyBorder="1" applyAlignment="1">
      <alignment horizontal="center"/>
    </xf>
    <xf numFmtId="165" fontId="36" fillId="2" borderId="0" xfId="0" applyNumberFormat="1" applyFont="1" applyFill="1" applyBorder="1"/>
    <xf numFmtId="2" fontId="14" fillId="2" borderId="0" xfId="0" applyNumberFormat="1" applyFont="1" applyFill="1" applyBorder="1"/>
    <xf numFmtId="165" fontId="14" fillId="2" borderId="0" xfId="0" applyNumberFormat="1" applyFont="1" applyFill="1" applyBorder="1"/>
    <xf numFmtId="2" fontId="36" fillId="2" borderId="0" xfId="0" applyNumberFormat="1" applyFont="1" applyFill="1" applyBorder="1" applyAlignment="1">
      <alignment horizontal="left"/>
    </xf>
    <xf numFmtId="7" fontId="36" fillId="2" borderId="0" xfId="3" applyFont="1"/>
    <xf numFmtId="10" fontId="38" fillId="2" borderId="0" xfId="12" applyFont="1"/>
    <xf numFmtId="2" fontId="38" fillId="2" borderId="0" xfId="0" applyNumberFormat="1" applyFont="1" applyFill="1" applyBorder="1"/>
    <xf numFmtId="7" fontId="14" fillId="2" borderId="0" xfId="3" applyFont="1"/>
    <xf numFmtId="2" fontId="36" fillId="2" borderId="0" xfId="0" applyNumberFormat="1" applyFont="1" applyFill="1" applyBorder="1" applyAlignment="1"/>
    <xf numFmtId="167" fontId="36" fillId="2" borderId="0" xfId="0" applyNumberFormat="1" applyFont="1" applyFill="1" applyBorder="1"/>
    <xf numFmtId="1" fontId="36" fillId="2" borderId="0" xfId="0" applyNumberFormat="1" applyFont="1" applyFill="1" applyBorder="1"/>
    <xf numFmtId="7" fontId="38" fillId="2" borderId="0" xfId="3" applyFont="1"/>
    <xf numFmtId="2" fontId="14" fillId="2" borderId="0" xfId="0" applyNumberFormat="1" applyFont="1" applyFill="1" applyBorder="1" applyAlignment="1">
      <alignment horizontal="center" wrapText="1"/>
    </xf>
    <xf numFmtId="2" fontId="36" fillId="2" borderId="0" xfId="0" applyNumberFormat="1" applyFont="1" applyFill="1" applyBorder="1" applyAlignment="1">
      <alignment horizontal="right"/>
    </xf>
    <xf numFmtId="3" fontId="36" fillId="2" borderId="0" xfId="0" applyNumberFormat="1" applyFont="1" applyFill="1" applyBorder="1"/>
    <xf numFmtId="166" fontId="36" fillId="2" borderId="0" xfId="0" applyNumberFormat="1" applyFont="1" applyFill="1" applyBorder="1"/>
    <xf numFmtId="10" fontId="36" fillId="2" borderId="0" xfId="12" applyFont="1"/>
    <xf numFmtId="166" fontId="14" fillId="2" borderId="0" xfId="0" applyNumberFormat="1" applyFont="1" applyFill="1" applyBorder="1"/>
    <xf numFmtId="7" fontId="36" fillId="2" borderId="0" xfId="3" applyNumberFormat="1" applyFont="1"/>
    <xf numFmtId="7" fontId="36" fillId="2" borderId="0" xfId="3" applyFont="1" applyBorder="1"/>
    <xf numFmtId="3" fontId="38" fillId="2" borderId="0" xfId="0" applyNumberFormat="1" applyFont="1" applyFill="1" applyBorder="1"/>
    <xf numFmtId="165" fontId="36" fillId="2" borderId="0" xfId="0" applyNumberFormat="1" applyFont="1" applyFill="1" applyBorder="1" applyAlignment="1">
      <alignment horizontal="right"/>
    </xf>
    <xf numFmtId="2" fontId="14" fillId="2" borderId="0" xfId="8" applyNumberFormat="1" applyFont="1" applyBorder="1" applyAlignment="1">
      <alignment horizontal="right"/>
    </xf>
    <xf numFmtId="165" fontId="14" fillId="2" borderId="0" xfId="0" applyNumberFormat="1" applyFont="1" applyFill="1" applyBorder="1" applyAlignment="1">
      <alignment horizontal="right"/>
    </xf>
    <xf numFmtId="165" fontId="41" fillId="2" borderId="0" xfId="0" applyNumberFormat="1" applyFont="1" applyFill="1" applyBorder="1" applyAlignment="1">
      <alignment horizontal="right"/>
    </xf>
    <xf numFmtId="1" fontId="36" fillId="8" borderId="38" xfId="0" applyNumberFormat="1" applyFont="1" applyFill="1" applyBorder="1"/>
    <xf numFmtId="2" fontId="36" fillId="8" borderId="11" xfId="0" applyNumberFormat="1" applyFont="1" applyFill="1" applyBorder="1"/>
    <xf numFmtId="2" fontId="36" fillId="8" borderId="12" xfId="0" applyNumberFormat="1" applyFont="1" applyFill="1" applyBorder="1"/>
    <xf numFmtId="11" fontId="36" fillId="2" borderId="0" xfId="0" applyNumberFormat="1" applyFont="1" applyFill="1" applyBorder="1"/>
    <xf numFmtId="2" fontId="42" fillId="2" borderId="0" xfId="0" applyNumberFormat="1" applyFont="1" applyFill="1" applyBorder="1"/>
    <xf numFmtId="9" fontId="36" fillId="2" borderId="0" xfId="0" applyNumberFormat="1" applyFont="1" applyFill="1" applyBorder="1"/>
    <xf numFmtId="9" fontId="14" fillId="2" borderId="0" xfId="0" applyNumberFormat="1" applyFont="1" applyFill="1" applyBorder="1" applyAlignment="1">
      <alignment horizontal="centerContinuous"/>
    </xf>
    <xf numFmtId="2" fontId="14" fillId="2" borderId="46" xfId="0" applyNumberFormat="1" applyFont="1" applyFill="1" applyBorder="1" applyAlignment="1">
      <alignment horizontal="center"/>
    </xf>
    <xf numFmtId="2" fontId="14" fillId="2" borderId="47" xfId="0" applyNumberFormat="1" applyFont="1" applyFill="1" applyBorder="1" applyAlignment="1">
      <alignment horizontal="center"/>
    </xf>
    <xf numFmtId="2" fontId="14" fillId="2" borderId="48" xfId="0" applyNumberFormat="1" applyFont="1" applyFill="1" applyBorder="1" applyAlignment="1">
      <alignment horizontal="center"/>
    </xf>
    <xf numFmtId="2" fontId="14" fillId="2" borderId="49" xfId="0" applyNumberFormat="1" applyFont="1" applyFill="1" applyBorder="1" applyAlignment="1">
      <alignment horizontal="center"/>
    </xf>
    <xf numFmtId="2" fontId="14" fillId="2" borderId="0" xfId="0" applyNumberFormat="1" applyFont="1" applyFill="1" applyBorder="1" applyAlignment="1">
      <alignment horizontal="center"/>
    </xf>
    <xf numFmtId="2" fontId="14" fillId="2" borderId="50" xfId="0" applyNumberFormat="1" applyFont="1" applyFill="1" applyBorder="1" applyAlignment="1">
      <alignment horizontal="center"/>
    </xf>
    <xf numFmtId="2" fontId="14" fillId="2" borderId="51" xfId="0" applyNumberFormat="1" applyFont="1" applyFill="1" applyBorder="1" applyAlignment="1">
      <alignment horizontal="center"/>
    </xf>
    <xf numFmtId="2" fontId="14" fillId="2" borderId="52" xfId="0" applyNumberFormat="1" applyFont="1" applyFill="1" applyBorder="1" applyAlignment="1">
      <alignment horizontal="center"/>
    </xf>
    <xf numFmtId="2" fontId="14" fillId="2" borderId="53" xfId="0" applyNumberFormat="1" applyFont="1" applyFill="1" applyBorder="1" applyAlignment="1">
      <alignment horizontal="center"/>
    </xf>
    <xf numFmtId="2" fontId="14" fillId="2" borderId="54" xfId="9" applyNumberFormat="1" applyFont="1" applyBorder="1" applyAlignment="1">
      <alignment horizontal="center"/>
    </xf>
    <xf numFmtId="2" fontId="14" fillId="2" borderId="32" xfId="9" applyNumberFormat="1" applyFont="1" applyBorder="1" applyAlignment="1">
      <alignment horizontal="center"/>
    </xf>
    <xf numFmtId="2" fontId="14" fillId="2" borderId="55" xfId="9" applyNumberFormat="1" applyFont="1" applyBorder="1" applyAlignment="1">
      <alignment horizontal="center"/>
    </xf>
    <xf numFmtId="2" fontId="14" fillId="2" borderId="54" xfId="0" applyNumberFormat="1" applyFont="1" applyFill="1" applyBorder="1" applyAlignment="1">
      <alignment horizontal="center" wrapText="1"/>
    </xf>
    <xf numFmtId="2" fontId="14" fillId="2" borderId="32" xfId="0" applyNumberFormat="1" applyFont="1" applyFill="1" applyBorder="1" applyAlignment="1">
      <alignment horizontal="center" wrapText="1"/>
    </xf>
    <xf numFmtId="2" fontId="14" fillId="2" borderId="55" xfId="0" applyNumberFormat="1" applyFont="1" applyFill="1" applyBorder="1" applyAlignment="1">
      <alignment horizontal="center" wrapText="1"/>
    </xf>
    <xf numFmtId="2" fontId="14" fillId="2" borderId="56" xfId="0" applyNumberFormat="1" applyFont="1" applyFill="1" applyBorder="1" applyAlignment="1">
      <alignment horizontal="center" wrapText="1"/>
    </xf>
    <xf numFmtId="2" fontId="36" fillId="2" borderId="0" xfId="0" applyNumberFormat="1" applyFont="1" applyFill="1" applyBorder="1" applyAlignment="1"/>
    <xf numFmtId="11" fontId="14" fillId="2" borderId="0" xfId="0" applyNumberFormat="1" applyFont="1" applyFill="1" applyBorder="1" applyAlignment="1">
      <alignment horizontal="center"/>
    </xf>
    <xf numFmtId="0" fontId="36" fillId="2" borderId="44" xfId="0" applyFont="1" applyFill="1" applyBorder="1" applyAlignment="1">
      <alignment horizontal="center"/>
    </xf>
    <xf numFmtId="0" fontId="36" fillId="2" borderId="1" xfId="0" applyFont="1" applyFill="1" applyBorder="1" applyAlignment="1">
      <alignment horizontal="center"/>
    </xf>
    <xf numFmtId="0" fontId="36" fillId="2" borderId="45" xfId="0" applyFont="1" applyFill="1" applyBorder="1" applyAlignment="1">
      <alignment horizontal="center"/>
    </xf>
    <xf numFmtId="2" fontId="14" fillId="2" borderId="0" xfId="0" applyNumberFormat="1" applyFont="1" applyFill="1" applyBorder="1" applyAlignment="1"/>
    <xf numFmtId="2" fontId="36" fillId="2" borderId="0" xfId="0" applyNumberFormat="1" applyFont="1" applyFill="1" applyAlignment="1"/>
    <xf numFmtId="2" fontId="40" fillId="2" borderId="33" xfId="0" applyNumberFormat="1" applyFont="1" applyFill="1" applyBorder="1" applyAlignment="1"/>
    <xf numFmtId="2" fontId="39" fillId="2" borderId="0" xfId="0" applyNumberFormat="1" applyFont="1" applyFill="1" applyBorder="1" applyAlignment="1"/>
    <xf numFmtId="0" fontId="36" fillId="2" borderId="39" xfId="0" applyFont="1" applyFill="1" applyBorder="1" applyAlignment="1">
      <alignment horizontal="center"/>
    </xf>
    <xf numFmtId="0" fontId="36" fillId="2" borderId="0" xfId="0" applyFont="1" applyFill="1" applyBorder="1" applyAlignment="1">
      <alignment horizontal="center"/>
    </xf>
    <xf numFmtId="0" fontId="36" fillId="2" borderId="40" xfId="0" applyFont="1" applyFill="1" applyBorder="1" applyAlignment="1">
      <alignment horizontal="center"/>
    </xf>
    <xf numFmtId="0" fontId="36" fillId="2" borderId="41" xfId="0" applyFont="1" applyFill="1" applyBorder="1" applyAlignment="1">
      <alignment horizontal="center"/>
    </xf>
    <xf numFmtId="0" fontId="36" fillId="2" borderId="42" xfId="0" applyFont="1" applyFill="1" applyBorder="1" applyAlignment="1">
      <alignment horizontal="center"/>
    </xf>
    <xf numFmtId="0" fontId="36" fillId="2" borderId="43" xfId="0" applyFont="1" applyFill="1" applyBorder="1" applyAlignment="1">
      <alignment horizontal="center"/>
    </xf>
    <xf numFmtId="2" fontId="28" fillId="5" borderId="0" xfId="0" applyNumberFormat="1" applyFont="1" applyFill="1" applyBorder="1" applyAlignment="1">
      <alignment horizontal="center"/>
    </xf>
    <xf numFmtId="2" fontId="29" fillId="5" borderId="0" xfId="0" applyNumberFormat="1" applyFont="1" applyFill="1" applyBorder="1" applyAlignment="1">
      <alignment horizontal="center"/>
    </xf>
    <xf numFmtId="2" fontId="22" fillId="2" borderId="0" xfId="0" applyNumberFormat="1" applyFont="1" applyFill="1" applyBorder="1" applyAlignment="1">
      <alignment horizontal="center"/>
    </xf>
    <xf numFmtId="2" fontId="30" fillId="2" borderId="0" xfId="0" quotePrefix="1" applyNumberFormat="1" applyFont="1" applyFill="1" applyBorder="1" applyAlignment="1">
      <alignment horizontal="center"/>
    </xf>
    <xf numFmtId="2" fontId="30" fillId="2" borderId="0" xfId="0" applyNumberFormat="1" applyFont="1" applyFill="1" applyBorder="1" applyAlignment="1">
      <alignment horizontal="center"/>
    </xf>
    <xf numFmtId="2" fontId="3" fillId="2" borderId="0" xfId="0" applyNumberFormat="1" applyFont="1" applyFill="1" applyBorder="1" applyAlignment="1">
      <alignment horizontal="center"/>
    </xf>
    <xf numFmtId="0" fontId="14" fillId="4" borderId="0" xfId="0" applyFont="1" applyFill="1" applyBorder="1" applyAlignment="1">
      <alignment horizontal="center" wrapText="1"/>
    </xf>
    <xf numFmtId="2" fontId="0" fillId="2" borderId="0" xfId="0" applyNumberFormat="1" applyFill="1" applyBorder="1" applyAlignment="1">
      <alignment wrapText="1"/>
    </xf>
    <xf numFmtId="2" fontId="0" fillId="2" borderId="0" xfId="0" applyNumberFormat="1" applyFill="1" applyBorder="1" applyAlignment="1"/>
    <xf numFmtId="2" fontId="26" fillId="2" borderId="0" xfId="0" applyNumberFormat="1" applyFont="1" applyFill="1" applyBorder="1" applyAlignment="1"/>
    <xf numFmtId="0" fontId="16" fillId="4" borderId="0" xfId="0" applyFont="1" applyFill="1" applyBorder="1" applyAlignment="1" applyProtection="1">
      <alignment wrapText="1"/>
      <protection locked="0"/>
    </xf>
    <xf numFmtId="2" fontId="38" fillId="2" borderId="0" xfId="0" applyNumberFormat="1" applyFont="1" applyFill="1" applyBorder="1" applyAlignment="1"/>
    <xf numFmtId="2" fontId="37" fillId="2" borderId="0" xfId="10" applyNumberFormat="1" applyFont="1" applyFill="1" applyBorder="1" applyAlignment="1" applyProtection="1">
      <alignment horizontal="center"/>
    </xf>
    <xf numFmtId="2" fontId="15" fillId="2" borderId="0" xfId="10" applyNumberFormat="1" applyFill="1" applyBorder="1" applyAlignment="1" applyProtection="1"/>
    <xf numFmtId="165" fontId="44" fillId="2" borderId="0" xfId="0" applyNumberFormat="1" applyFont="1" applyFill="1" applyBorder="1"/>
    <xf numFmtId="7" fontId="44" fillId="2" borderId="0" xfId="3" applyFont="1"/>
  </cellXfs>
  <cellStyles count="15">
    <cellStyle name="Code" xfId="1"/>
    <cellStyle name="Comma0" xfId="2"/>
    <cellStyle name="Currency" xfId="3" builtinId="4"/>
    <cellStyle name="Currency_Feed cost calcualtor" xfId="4"/>
    <cellStyle name="Currency0" xfId="5"/>
    <cellStyle name="Date" xfId="6"/>
    <cellStyle name="Fixed" xfId="7"/>
    <cellStyle name="Heading 1" xfId="8" builtinId="16" customBuiltin="1"/>
    <cellStyle name="Heading 2" xfId="9" builtinId="17" customBuiltin="1"/>
    <cellStyle name="Hyperlink" xfId="10" builtinId="8"/>
    <cellStyle name="Normal" xfId="0" builtinId="0"/>
    <cellStyle name="Normal_Feed cost calcualtor" xfId="11"/>
    <cellStyle name="Percent" xfId="12" builtinId="5"/>
    <cellStyle name="Percent_Feed cost calcualtor" xfId="13"/>
    <cellStyle name="Total" xfId="14" builtinId="25" customBuiltin="1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microsoft.com/office/2006/relationships/vbaProject" Target="vbaProject.bin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9</xdr:row>
      <xdr:rowOff>0</xdr:rowOff>
    </xdr:from>
    <xdr:to>
      <xdr:col>3</xdr:col>
      <xdr:colOff>771525</xdr:colOff>
      <xdr:row>9</xdr:row>
      <xdr:rowOff>152400</xdr:rowOff>
    </xdr:to>
    <xdr:sp macro="[0]!totalcost" textlink="">
      <xdr:nvSpPr>
        <xdr:cNvPr id="2049" name="Rectangle 1025"/>
        <xdr:cNvSpPr>
          <a:spLocks noChangeArrowheads="1"/>
        </xdr:cNvSpPr>
      </xdr:nvSpPr>
      <xdr:spPr bwMode="auto">
        <a:xfrm>
          <a:off x="1885950" y="1638300"/>
          <a:ext cx="762000" cy="152400"/>
        </a:xfrm>
        <a:prstGeom prst="rect">
          <a:avLst/>
        </a:prstGeom>
        <a:solidFill>
          <a:srgbClr val="EAEAEA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Calculate</a:t>
          </a:r>
          <a:endParaRPr lang="en-US"/>
        </a:p>
      </xdr:txBody>
    </xdr:sp>
    <xdr:clientData/>
  </xdr:twoCellAnchor>
  <xdr:twoCellAnchor>
    <xdr:from>
      <xdr:col>3</xdr:col>
      <xdr:colOff>9525</xdr:colOff>
      <xdr:row>10</xdr:row>
      <xdr:rowOff>0</xdr:rowOff>
    </xdr:from>
    <xdr:to>
      <xdr:col>3</xdr:col>
      <xdr:colOff>771525</xdr:colOff>
      <xdr:row>10</xdr:row>
      <xdr:rowOff>152400</xdr:rowOff>
    </xdr:to>
    <xdr:sp macro="[0]!print_total_cost" textlink="">
      <xdr:nvSpPr>
        <xdr:cNvPr id="2050" name="Rectangle 1026"/>
        <xdr:cNvSpPr>
          <a:spLocks noChangeArrowheads="1"/>
        </xdr:cNvSpPr>
      </xdr:nvSpPr>
      <xdr:spPr bwMode="auto">
        <a:xfrm>
          <a:off x="1885950" y="1800225"/>
          <a:ext cx="762000" cy="152400"/>
        </a:xfrm>
        <a:prstGeom prst="rect">
          <a:avLst/>
        </a:prstGeom>
        <a:solidFill>
          <a:srgbClr val="EAEAEA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</a:t>
          </a:r>
          <a:endParaRPr lang="en-US"/>
        </a:p>
      </xdr:txBody>
    </xdr:sp>
    <xdr:clientData/>
  </xdr:twoCellAnchor>
  <xdr:twoCellAnchor>
    <xdr:from>
      <xdr:col>3</xdr:col>
      <xdr:colOff>9525</xdr:colOff>
      <xdr:row>12</xdr:row>
      <xdr:rowOff>0</xdr:rowOff>
    </xdr:from>
    <xdr:to>
      <xdr:col>3</xdr:col>
      <xdr:colOff>771525</xdr:colOff>
      <xdr:row>12</xdr:row>
      <xdr:rowOff>152400</xdr:rowOff>
    </xdr:to>
    <xdr:sp macro="[0]!cashflow" textlink="">
      <xdr:nvSpPr>
        <xdr:cNvPr id="2051" name="Rectangle 1027"/>
        <xdr:cNvSpPr>
          <a:spLocks noChangeArrowheads="1"/>
        </xdr:cNvSpPr>
      </xdr:nvSpPr>
      <xdr:spPr bwMode="auto">
        <a:xfrm>
          <a:off x="1885950" y="2143125"/>
          <a:ext cx="762000" cy="152400"/>
        </a:xfrm>
        <a:prstGeom prst="rect">
          <a:avLst/>
        </a:prstGeom>
        <a:solidFill>
          <a:srgbClr val="EAEAEA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Calculate</a:t>
          </a:r>
          <a:endParaRPr lang="en-US"/>
        </a:p>
      </xdr:txBody>
    </xdr:sp>
    <xdr:clientData/>
  </xdr:twoCellAnchor>
  <xdr:twoCellAnchor>
    <xdr:from>
      <xdr:col>3</xdr:col>
      <xdr:colOff>9525</xdr:colOff>
      <xdr:row>13</xdr:row>
      <xdr:rowOff>0</xdr:rowOff>
    </xdr:from>
    <xdr:to>
      <xdr:col>3</xdr:col>
      <xdr:colOff>771525</xdr:colOff>
      <xdr:row>13</xdr:row>
      <xdr:rowOff>152400</xdr:rowOff>
    </xdr:to>
    <xdr:sp macro="[0]!print_cashflow" textlink="">
      <xdr:nvSpPr>
        <xdr:cNvPr id="2052" name="Rectangle 1028"/>
        <xdr:cNvSpPr>
          <a:spLocks noChangeArrowheads="1"/>
        </xdr:cNvSpPr>
      </xdr:nvSpPr>
      <xdr:spPr bwMode="auto">
        <a:xfrm>
          <a:off x="1885950" y="2305050"/>
          <a:ext cx="762000" cy="152400"/>
        </a:xfrm>
        <a:prstGeom prst="rect">
          <a:avLst/>
        </a:prstGeom>
        <a:solidFill>
          <a:srgbClr val="EAEAEA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</a:t>
          </a:r>
          <a:endParaRPr lang="en-US"/>
        </a:p>
      </xdr:txBody>
    </xdr:sp>
    <xdr:clientData/>
  </xdr:twoCellAnchor>
  <xdr:twoCellAnchor>
    <xdr:from>
      <xdr:col>3</xdr:col>
      <xdr:colOff>9525</xdr:colOff>
      <xdr:row>15</xdr:row>
      <xdr:rowOff>0</xdr:rowOff>
    </xdr:from>
    <xdr:to>
      <xdr:col>3</xdr:col>
      <xdr:colOff>771525</xdr:colOff>
      <xdr:row>15</xdr:row>
      <xdr:rowOff>152400</xdr:rowOff>
    </xdr:to>
    <xdr:sp macro="[0]!variablecost" textlink="">
      <xdr:nvSpPr>
        <xdr:cNvPr id="2053" name="Rectangle 1029"/>
        <xdr:cNvSpPr>
          <a:spLocks noChangeArrowheads="1"/>
        </xdr:cNvSpPr>
      </xdr:nvSpPr>
      <xdr:spPr bwMode="auto">
        <a:xfrm>
          <a:off x="1885950" y="2647950"/>
          <a:ext cx="762000" cy="152400"/>
        </a:xfrm>
        <a:prstGeom prst="rect">
          <a:avLst/>
        </a:prstGeom>
        <a:solidFill>
          <a:srgbClr val="EAEAEA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Calculate</a:t>
          </a:r>
          <a:endParaRPr lang="en-US"/>
        </a:p>
      </xdr:txBody>
    </xdr:sp>
    <xdr:clientData/>
  </xdr:twoCellAnchor>
  <xdr:twoCellAnchor>
    <xdr:from>
      <xdr:col>3</xdr:col>
      <xdr:colOff>9525</xdr:colOff>
      <xdr:row>16</xdr:row>
      <xdr:rowOff>0</xdr:rowOff>
    </xdr:from>
    <xdr:to>
      <xdr:col>3</xdr:col>
      <xdr:colOff>771525</xdr:colOff>
      <xdr:row>16</xdr:row>
      <xdr:rowOff>152400</xdr:rowOff>
    </xdr:to>
    <xdr:sp macro="[0]!printVC" textlink="">
      <xdr:nvSpPr>
        <xdr:cNvPr id="2054" name="Rectangle 1030"/>
        <xdr:cNvSpPr>
          <a:spLocks noChangeArrowheads="1"/>
        </xdr:cNvSpPr>
      </xdr:nvSpPr>
      <xdr:spPr bwMode="auto">
        <a:xfrm>
          <a:off x="1885950" y="2809875"/>
          <a:ext cx="762000" cy="152400"/>
        </a:xfrm>
        <a:prstGeom prst="rect">
          <a:avLst/>
        </a:prstGeom>
        <a:solidFill>
          <a:srgbClr val="EAEAEA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Print</a:t>
          </a:r>
          <a:endParaRPr lang="en-US"/>
        </a:p>
      </xdr:txBody>
    </xdr:sp>
    <xdr:clientData/>
  </xdr:twoCellAnchor>
  <xdr:twoCellAnchor>
    <xdr:from>
      <xdr:col>0</xdr:col>
      <xdr:colOff>542925</xdr:colOff>
      <xdr:row>0</xdr:row>
      <xdr:rowOff>47625</xdr:rowOff>
    </xdr:from>
    <xdr:to>
      <xdr:col>4</xdr:col>
      <xdr:colOff>657225</xdr:colOff>
      <xdr:row>5</xdr:row>
      <xdr:rowOff>47625</xdr:rowOff>
    </xdr:to>
    <xdr:sp macro="" textlink="">
      <xdr:nvSpPr>
        <xdr:cNvPr id="2055" name="Text Box 1031"/>
        <xdr:cNvSpPr txBox="1">
          <a:spLocks noChangeArrowheads="1"/>
        </xdr:cNvSpPr>
      </xdr:nvSpPr>
      <xdr:spPr bwMode="auto">
        <a:xfrm>
          <a:off x="542925" y="47625"/>
          <a:ext cx="2771775" cy="8763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0" i="0" u="none" strike="noStrike" baseline="0">
              <a:solidFill>
                <a:srgbClr val="000000"/>
              </a:solidFill>
              <a:latin typeface="Bookman Old Style"/>
            </a:rPr>
            <a:t>Welcome to the Stockering Lightweight Steers on Cover Crop Winter Grazing, Hay, and Supplement</a:t>
          </a:r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11</xdr:row>
      <xdr:rowOff>47625</xdr:rowOff>
    </xdr:from>
    <xdr:to>
      <xdr:col>3</xdr:col>
      <xdr:colOff>257175</xdr:colOff>
      <xdr:row>12</xdr:row>
      <xdr:rowOff>57150</xdr:rowOff>
    </xdr:to>
    <xdr:sp macro="[0]!Rect4_Click" textlink="">
      <xdr:nvSpPr>
        <xdr:cNvPr id="3073" name="Rectangle 1"/>
        <xdr:cNvSpPr>
          <a:spLocks noChangeArrowheads="1"/>
        </xdr:cNvSpPr>
      </xdr:nvSpPr>
      <xdr:spPr bwMode="auto">
        <a:xfrm>
          <a:off x="1543050" y="1962150"/>
          <a:ext cx="1143000" cy="171450"/>
        </a:xfrm>
        <a:prstGeom prst="rect">
          <a:avLst/>
        </a:prstGeom>
        <a:solidFill>
          <a:srgbClr val="EAEAEA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Instructions</a:t>
          </a:r>
          <a:endParaRPr lang="en-US"/>
        </a:p>
      </xdr:txBody>
    </xdr:sp>
    <xdr:clientData/>
  </xdr:twoCellAnchor>
  <xdr:twoCellAnchor>
    <xdr:from>
      <xdr:col>1</xdr:col>
      <xdr:colOff>38100</xdr:colOff>
      <xdr:row>107</xdr:row>
      <xdr:rowOff>47625</xdr:rowOff>
    </xdr:from>
    <xdr:to>
      <xdr:col>10</xdr:col>
      <xdr:colOff>66675</xdr:colOff>
      <xdr:row>116</xdr:row>
      <xdr:rowOff>66675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1571625" y="20088225"/>
          <a:ext cx="7486650" cy="17335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No fuel, repairs, or labor included for winter grazing as they are allocated to crop enterprise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Hay figured as 5 lbs/day for 60 days when grazing no is available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Receiving Ration figured as 12.5 lbs./day for 6 weeks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Supplemental feed is a corn, whole cottonseed, gin trash, and soybean meal ration fed at 11 lbs./day for 30 days during stockering period when no grazing is available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Mineral+ Ionophore(Bovatec, Rumensin, or GainPro)  figured as 4 ozs/day for stockering period</a:t>
          </a:r>
        </a:p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Use of Ionophores &amp; implants significantly increase rate of gain</a:t>
          </a:r>
        </a:p>
        <a:p>
          <a:pPr algn="l" rtl="0">
            <a:defRPr sz="1000"/>
          </a:pPr>
          <a:endParaRPr lang="en-US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Stocking rates will affect forage availability and supplemental feed needs</a:t>
          </a:r>
          <a:endParaRPr 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clacy/My%20Documents/Budgets/Forages/Stockpiled%20Fescue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Stockers-silag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in"/>
      <sheetName val="Fixed_Cost"/>
      <sheetName val="Fixed_Payment"/>
      <sheetName val="E"/>
      <sheetName val="F"/>
      <sheetName val="G"/>
      <sheetName val="H"/>
      <sheetName val="I"/>
      <sheetName val="J"/>
    </sheetNames>
    <sheetDataSet>
      <sheetData sheetId="0">
        <row r="4">
          <cell r="B4" t="str">
            <v>WELCOME TO THE WINTER</v>
          </cell>
          <cell r="H4" t="str">
            <v>REMEMBER</v>
          </cell>
        </row>
        <row r="5">
          <cell r="B5" t="str">
            <v>ANNUAL PRODUCTION  BUDGET</v>
          </cell>
        </row>
      </sheetData>
      <sheetData sheetId="1">
        <row r="5">
          <cell r="B5" t="str">
            <v>University of Georgia Cooperative Extension service</v>
          </cell>
          <cell r="K5" t="str">
            <v/>
          </cell>
        </row>
      </sheetData>
      <sheetData sheetId="2">
        <row r="4">
          <cell r="B4" t="str">
            <v>(Check All Higlighted Entries this Page)</v>
          </cell>
        </row>
        <row r="44">
          <cell r="J44">
            <v>72.486399999999989</v>
          </cell>
        </row>
      </sheetData>
      <sheetData sheetId="3">
        <row r="4">
          <cell r="B4" t="str">
            <v>(Check All Highlighted Entries this Page)</v>
          </cell>
        </row>
        <row r="45">
          <cell r="J45">
            <v>61.151408955241287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Main"/>
      <sheetName val="Winter Grazing"/>
      <sheetName val="Feed Cost"/>
      <sheetName val="Procurement"/>
      <sheetName val="Fixed_Cost"/>
      <sheetName val="Fixed_Payment"/>
      <sheetName val="G"/>
      <sheetName val="H"/>
      <sheetName val="I"/>
      <sheetName val="J"/>
      <sheetName val="K"/>
      <sheetName val="L"/>
    </sheetNames>
    <sheetDataSet>
      <sheetData sheetId="0">
        <row r="4">
          <cell r="B4" t="str">
            <v>WELCOME TO THE  STOCKER STEERS ON</v>
          </cell>
          <cell r="H4" t="str">
            <v>REMEMBER</v>
          </cell>
        </row>
        <row r="5">
          <cell r="B5" t="str">
            <v>TEMPORARY WINTER GRAZING  BUDGET</v>
          </cell>
        </row>
      </sheetData>
      <sheetData sheetId="1">
        <row r="5">
          <cell r="B5" t="str">
            <v>University of Georgia Cooperative Extension Service</v>
          </cell>
        </row>
      </sheetData>
      <sheetData sheetId="2">
        <row r="4">
          <cell r="B4" t="str">
            <v>Revised 2003</v>
          </cell>
        </row>
        <row r="5">
          <cell r="K5" t="str">
            <v/>
          </cell>
        </row>
      </sheetData>
      <sheetData sheetId="3">
        <row r="4">
          <cell r="A4" t="str">
            <v>Days fed</v>
          </cell>
          <cell r="B4">
            <v>30</v>
          </cell>
        </row>
        <row r="5">
          <cell r="B5" t="str">
            <v>$/ton</v>
          </cell>
          <cell r="C5" t="str">
            <v>$/#</v>
          </cell>
          <cell r="D5" t="str">
            <v>% of Ration</v>
          </cell>
          <cell r="E5" t="str">
            <v>#/ton</v>
          </cell>
          <cell r="F5" t="str">
            <v>Cost/ton</v>
          </cell>
        </row>
      </sheetData>
      <sheetData sheetId="4">
        <row r="5">
          <cell r="B5" t="str">
            <v xml:space="preserve">     ITEM</v>
          </cell>
          <cell r="E5" t="str">
            <v>UNIT</v>
          </cell>
          <cell r="F5" t="str">
            <v>QUANTITY</v>
          </cell>
          <cell r="G5" t="str">
            <v>PRICE</v>
          </cell>
          <cell r="H5" t="str">
            <v>AMOUNT</v>
          </cell>
        </row>
      </sheetData>
      <sheetData sheetId="5">
        <row r="4">
          <cell r="B4" t="str">
            <v>(Check All Higlighted Entries this Page)</v>
          </cell>
        </row>
      </sheetData>
      <sheetData sheetId="6">
        <row r="4">
          <cell r="B4" t="str">
            <v>Check All Highlighted Entries this Page)</v>
          </cell>
        </row>
      </sheetData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B2:I21"/>
  <sheetViews>
    <sheetView showGridLines="0" showRowColHeaders="0" workbookViewId="0"/>
  </sheetViews>
  <sheetFormatPr defaultColWidth="8.42578125" defaultRowHeight="12.75" x14ac:dyDescent="0.2"/>
  <cols>
    <col min="1" max="1" width="8.42578125" customWidth="1"/>
    <col min="2" max="2" width="8.7109375" customWidth="1"/>
    <col min="3" max="3" width="11" customWidth="1"/>
    <col min="4" max="4" width="11.7109375" customWidth="1"/>
    <col min="5" max="5" width="10.140625" customWidth="1"/>
    <col min="6" max="6" width="1.7109375" customWidth="1"/>
    <col min="7" max="9" width="12.7109375" customWidth="1"/>
  </cols>
  <sheetData>
    <row r="2" spans="2:9" ht="13.5" thickBot="1" x14ac:dyDescent="0.25">
      <c r="E2" s="6"/>
    </row>
    <row r="3" spans="2:9" ht="13.5" thickBot="1" x14ac:dyDescent="0.25">
      <c r="B3" s="125"/>
      <c r="C3" s="126"/>
      <c r="D3" s="126"/>
      <c r="E3" s="127"/>
      <c r="F3" s="6"/>
    </row>
    <row r="4" spans="2:9" ht="16.5" thickTop="1" x14ac:dyDescent="0.25">
      <c r="B4" s="143"/>
      <c r="C4" s="144"/>
      <c r="D4" s="145"/>
      <c r="E4" s="146"/>
      <c r="F4" s="6"/>
      <c r="G4" s="115"/>
      <c r="H4" s="116" t="s">
        <v>224</v>
      </c>
      <c r="I4" s="117"/>
    </row>
    <row r="5" spans="2:9" x14ac:dyDescent="0.2">
      <c r="B5" s="143"/>
      <c r="C5" s="144"/>
      <c r="D5" s="144"/>
      <c r="E5" s="146"/>
      <c r="F5" s="6"/>
      <c r="G5" s="118"/>
      <c r="H5" s="119"/>
      <c r="I5" s="120"/>
    </row>
    <row r="6" spans="2:9" ht="15.75" thickBot="1" x14ac:dyDescent="0.3">
      <c r="B6" s="130"/>
      <c r="C6" s="128"/>
      <c r="D6" s="128"/>
      <c r="E6" s="129"/>
      <c r="F6" s="6"/>
      <c r="G6" s="121" t="s">
        <v>225</v>
      </c>
      <c r="H6" s="119"/>
      <c r="I6" s="120"/>
    </row>
    <row r="7" spans="2:9" ht="15" x14ac:dyDescent="0.25">
      <c r="B7" s="130"/>
      <c r="C7" s="147" t="s">
        <v>83</v>
      </c>
      <c r="D7" s="148" t="s">
        <v>223</v>
      </c>
      <c r="E7" s="129"/>
      <c r="F7" s="6"/>
      <c r="G7" s="121" t="s">
        <v>226</v>
      </c>
      <c r="H7" s="119"/>
      <c r="I7" s="120"/>
    </row>
    <row r="8" spans="2:9" ht="15.75" thickBot="1" x14ac:dyDescent="0.3">
      <c r="B8" s="130"/>
      <c r="C8" s="149" t="s">
        <v>66</v>
      </c>
      <c r="D8" s="150"/>
      <c r="E8" s="129"/>
      <c r="F8" s="6"/>
      <c r="G8" s="121" t="s">
        <v>227</v>
      </c>
      <c r="H8" s="119"/>
      <c r="I8" s="120"/>
    </row>
    <row r="9" spans="2:9" ht="13.5" thickBot="1" x14ac:dyDescent="0.25">
      <c r="B9" s="130"/>
      <c r="C9" s="131"/>
      <c r="D9" s="132"/>
      <c r="E9" s="129"/>
      <c r="F9" s="6"/>
      <c r="G9" s="122"/>
      <c r="H9" s="123"/>
      <c r="I9" s="124"/>
    </row>
    <row r="10" spans="2:9" x14ac:dyDescent="0.2">
      <c r="B10" s="130"/>
      <c r="C10" s="147" t="s">
        <v>197</v>
      </c>
      <c r="D10" s="133" t="s">
        <v>3</v>
      </c>
      <c r="E10" s="129"/>
      <c r="F10" s="6"/>
    </row>
    <row r="11" spans="2:9" ht="13.5" thickBot="1" x14ac:dyDescent="0.25">
      <c r="B11" s="130"/>
      <c r="C11" s="149" t="s">
        <v>96</v>
      </c>
      <c r="D11" s="132"/>
      <c r="E11" s="129"/>
      <c r="F11" s="6"/>
    </row>
    <row r="12" spans="2:9" ht="13.5" thickBot="1" x14ac:dyDescent="0.25">
      <c r="B12" s="130"/>
      <c r="C12" s="151"/>
      <c r="D12" s="132"/>
      <c r="E12" s="129"/>
      <c r="F12" s="6"/>
    </row>
    <row r="13" spans="2:9" x14ac:dyDescent="0.2">
      <c r="B13" s="130"/>
      <c r="C13" s="147" t="s">
        <v>89</v>
      </c>
      <c r="D13" s="133"/>
      <c r="E13" s="129"/>
      <c r="F13" s="6"/>
    </row>
    <row r="14" spans="2:9" ht="13.5" thickBot="1" x14ac:dyDescent="0.25">
      <c r="B14" s="130"/>
      <c r="C14" s="149" t="s">
        <v>121</v>
      </c>
      <c r="D14" s="132"/>
      <c r="E14" s="129"/>
      <c r="F14" s="6"/>
    </row>
    <row r="15" spans="2:9" ht="13.5" thickBot="1" x14ac:dyDescent="0.25">
      <c r="B15" s="130"/>
      <c r="C15" s="151"/>
      <c r="D15" s="132"/>
      <c r="E15" s="129"/>
      <c r="F15" s="6"/>
    </row>
    <row r="16" spans="2:9" x14ac:dyDescent="0.2">
      <c r="B16" s="130"/>
      <c r="C16" s="152" t="s">
        <v>68</v>
      </c>
      <c r="D16" s="134"/>
      <c r="E16" s="129"/>
      <c r="F16" s="6"/>
    </row>
    <row r="17" spans="2:6" ht="13.5" thickBot="1" x14ac:dyDescent="0.25">
      <c r="B17" s="130"/>
      <c r="C17" s="149" t="s">
        <v>96</v>
      </c>
      <c r="D17" s="132"/>
      <c r="E17" s="129"/>
      <c r="F17" s="6"/>
    </row>
    <row r="18" spans="2:6" x14ac:dyDescent="0.2">
      <c r="B18" s="135"/>
      <c r="C18" s="136"/>
      <c r="D18" s="136"/>
      <c r="E18" s="137"/>
      <c r="F18" s="6"/>
    </row>
    <row r="19" spans="2:6" x14ac:dyDescent="0.2">
      <c r="B19" s="138"/>
      <c r="C19" s="153" t="s">
        <v>235</v>
      </c>
      <c r="D19" s="153"/>
      <c r="E19" s="137"/>
    </row>
    <row r="20" spans="2:6" x14ac:dyDescent="0.2">
      <c r="B20" s="139"/>
      <c r="C20" s="153" t="s">
        <v>236</v>
      </c>
      <c r="D20" s="153"/>
      <c r="E20" s="137"/>
    </row>
    <row r="21" spans="2:6" ht="13.5" thickBot="1" x14ac:dyDescent="0.25">
      <c r="B21" s="140"/>
      <c r="C21" s="141"/>
      <c r="D21" s="141"/>
      <c r="E21" s="142"/>
    </row>
  </sheetData>
  <phoneticPr fontId="0" type="noConversion"/>
  <printOptions horizontalCentered="1"/>
  <pageMargins left="0.75" right="0.75" top="1" bottom="1" header="0.5" footer="0.5"/>
  <pageSetup orientation="portrait" r:id="rId1"/>
  <headerFooter alignWithMargins="0">
    <oddHeader>&amp;L&amp;"Arial"&amp;10@&amp;C&amp;"Arial"&amp;10 Total Cost Budget&amp;R&amp;"Arial"&amp;10 Page &amp;N+1</oddHeader>
    <oddFooter>&amp;C&amp;"Arial"&amp;10Extension Ag Econ</oddFoot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"/>
  <sheetViews>
    <sheetView workbookViewId="0"/>
  </sheetViews>
  <sheetFormatPr defaultRowHeight="12.75" x14ac:dyDescent="0.2"/>
  <sheetData/>
  <phoneticPr fontId="0" type="noConversion"/>
  <printOptions horizontalCentered="1"/>
  <pageMargins left="0.75" right="0.75" top="1" bottom="1" header="0.5" footer="0.5"/>
  <headerFooter alignWithMargins="0">
    <oddHeader>&amp;L&amp;"Arial"&amp;10@&amp;C&amp;"Arial"&amp;10 Total Cost Budget&amp;R&amp;"Arial"&amp;10 Page &amp;N+1</oddHeader>
    <oddFooter>&amp;C&amp;"Arial"&amp;10Extension Ag Econ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"/>
  <sheetViews>
    <sheetView topLeftCell="M1" workbookViewId="0">
      <selection activeCell="Z21" sqref="Z21"/>
    </sheetView>
  </sheetViews>
  <sheetFormatPr defaultRowHeight="12.75" x14ac:dyDescent="0.2"/>
  <sheetData/>
  <phoneticPr fontId="0" type="noConversion"/>
  <printOptions horizontalCentered="1"/>
  <pageMargins left="0.75" right="0.75" top="1" bottom="1" header="0.5" footer="0.5"/>
  <headerFooter alignWithMargins="0">
    <oddHeader>&amp;L&amp;"Arial"&amp;10@&amp;C&amp;"Arial"&amp;10 Total Cost Budget&amp;R&amp;"Arial"&amp;10 Page &amp;N+1</oddHeader>
    <oddFooter>&amp;C&amp;"Arial"&amp;10Extension Ag Econ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"/>
  <sheetViews>
    <sheetView workbookViewId="0"/>
  </sheetViews>
  <sheetFormatPr defaultRowHeight="12.75" x14ac:dyDescent="0.2"/>
  <sheetData/>
  <phoneticPr fontId="0" type="noConversion"/>
  <printOptions horizontalCentered="1"/>
  <pageMargins left="0.75" right="0.75" top="1" bottom="1" header="0.5" footer="0.5"/>
  <headerFooter alignWithMargins="0">
    <oddHeader>&amp;L&amp;"Arial"&amp;10@&amp;C&amp;"Arial"&amp;10 Total Cost Budget&amp;R&amp;"Arial"&amp;10 Page &amp;N+1</oddHeader>
    <oddFooter>&amp;C&amp;"Arial"&amp;10Extension Ag Econ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O14"/>
  <sheetViews>
    <sheetView topLeftCell="N1" workbookViewId="0">
      <selection activeCell="P4" sqref="P4"/>
    </sheetView>
  </sheetViews>
  <sheetFormatPr defaultRowHeight="12.75" x14ac:dyDescent="0.2"/>
  <sheetData>
    <row r="1" spans="1:15" x14ac:dyDescent="0.2">
      <c r="N1" s="2">
        <v>-23595.594594968865</v>
      </c>
      <c r="O1" s="1">
        <v>2.2750092654188533E-2</v>
      </c>
    </row>
    <row r="2" spans="1:15" x14ac:dyDescent="0.2">
      <c r="N2" s="2">
        <v>-18314.612601769117</v>
      </c>
      <c r="O2" s="1">
        <v>6.6807279375848599E-2</v>
      </c>
    </row>
    <row r="3" spans="1:15" x14ac:dyDescent="0.2">
      <c r="A3">
        <v>1</v>
      </c>
      <c r="N3" s="2">
        <v>-13033.630608569367</v>
      </c>
      <c r="O3" s="1">
        <v>0.15865531316113057</v>
      </c>
    </row>
    <row r="4" spans="1:15" x14ac:dyDescent="0.2">
      <c r="N4" s="2">
        <v>-10393.139611969493</v>
      </c>
      <c r="O4" s="1">
        <v>0.22662732264844102</v>
      </c>
    </row>
    <row r="5" spans="1:15" x14ac:dyDescent="0.2">
      <c r="N5" s="2">
        <v>-7752.6486153696178</v>
      </c>
      <c r="O5" s="1">
        <v>0.3085375586179277</v>
      </c>
    </row>
    <row r="6" spans="1:15" x14ac:dyDescent="0.2">
      <c r="N6" s="2">
        <v>-5112.1576187697428</v>
      </c>
      <c r="O6" s="1">
        <v>0.40129373468325191</v>
      </c>
    </row>
    <row r="7" spans="1:15" x14ac:dyDescent="0.2">
      <c r="N7" s="2">
        <v>-2471.6666221698688</v>
      </c>
      <c r="O7" s="1">
        <v>0.49999999977461573</v>
      </c>
    </row>
    <row r="8" spans="1:15" x14ac:dyDescent="0.2">
      <c r="N8" s="2">
        <v>-2471.6666221698688</v>
      </c>
      <c r="O8" s="1">
        <v>0.49999999977461573</v>
      </c>
    </row>
    <row r="9" spans="1:15" x14ac:dyDescent="0.2">
      <c r="N9" s="2">
        <v>168.82437443000572</v>
      </c>
      <c r="O9" s="3">
        <v>0.59870626531674809</v>
      </c>
    </row>
    <row r="10" spans="1:15" x14ac:dyDescent="0.2">
      <c r="N10" s="2">
        <v>2809.3153710298802</v>
      </c>
      <c r="O10" s="3">
        <v>0.69146244138207225</v>
      </c>
    </row>
    <row r="11" spans="1:15" x14ac:dyDescent="0.2">
      <c r="N11" s="2">
        <v>5449.8063676297552</v>
      </c>
      <c r="O11" s="3">
        <v>0.77337267735155901</v>
      </c>
    </row>
    <row r="12" spans="1:15" x14ac:dyDescent="0.2">
      <c r="N12" s="2">
        <v>8090.2973642296292</v>
      </c>
      <c r="O12" s="3">
        <v>0.84134468683886943</v>
      </c>
    </row>
    <row r="13" spans="1:15" x14ac:dyDescent="0.2">
      <c r="N13" s="2">
        <v>13371.279357429379</v>
      </c>
      <c r="O13" s="3">
        <v>0.93319272062415137</v>
      </c>
    </row>
    <row r="14" spans="1:15" x14ac:dyDescent="0.2">
      <c r="N14" s="2">
        <v>18652.261350629127</v>
      </c>
      <c r="O14" s="3">
        <v>0.97724990734581152</v>
      </c>
    </row>
  </sheetData>
  <phoneticPr fontId="0" type="noConversion"/>
  <printOptions horizontalCentered="1"/>
  <pageMargins left="0.75" right="0.75" top="1" bottom="1" header="0.5" footer="0.5"/>
  <headerFooter alignWithMargins="0">
    <oddHeader>&amp;L&amp;"Arial"&amp;10@&amp;C&amp;"Arial"&amp;10 Total Cost Budget&amp;R&amp;"Arial"&amp;10 Page &amp;N+1</oddHeader>
    <oddFooter>&amp;C&amp;"Arial"&amp;10Extension Ag Econ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V253"/>
  <sheetViews>
    <sheetView tabSelected="1" topLeftCell="A25" zoomScaleNormal="100" workbookViewId="0">
      <selection activeCell="A49" sqref="A49"/>
    </sheetView>
  </sheetViews>
  <sheetFormatPr defaultColWidth="8.42578125" defaultRowHeight="12.75" x14ac:dyDescent="0.2"/>
  <cols>
    <col min="1" max="1" width="23" style="6" customWidth="1"/>
    <col min="2" max="2" width="5" style="6" customWidth="1"/>
    <col min="3" max="3" width="8.42578125" style="6" customWidth="1"/>
    <col min="4" max="4" width="19.28515625" style="6" customWidth="1"/>
    <col min="5" max="5" width="15.85546875" style="6" customWidth="1"/>
    <col min="6" max="8" width="12.7109375" style="6" customWidth="1"/>
    <col min="9" max="9" width="12.42578125" style="6" customWidth="1"/>
    <col min="10" max="10" width="12.7109375" style="6" customWidth="1"/>
    <col min="11" max="11" width="9.140625" style="6" customWidth="1"/>
    <col min="12" max="25" width="8.42578125" style="6" customWidth="1"/>
    <col min="26" max="26" width="44" style="6" customWidth="1"/>
    <col min="27" max="16384" width="8.42578125" style="6"/>
  </cols>
  <sheetData>
    <row r="1" spans="1:26" ht="15.75" x14ac:dyDescent="0.25">
      <c r="B1" s="220" t="s">
        <v>332</v>
      </c>
      <c r="C1" s="220"/>
      <c r="D1" s="220"/>
      <c r="E1" s="220"/>
      <c r="F1" s="220"/>
      <c r="G1" s="220"/>
      <c r="H1" s="220"/>
      <c r="I1" s="220"/>
      <c r="J1" s="220"/>
      <c r="U1" s="6">
        <v>3</v>
      </c>
    </row>
    <row r="2" spans="1:26" ht="15" x14ac:dyDescent="0.2">
      <c r="B2" s="221" t="s">
        <v>338</v>
      </c>
      <c r="C2" s="221"/>
      <c r="D2" s="221"/>
      <c r="E2" s="221"/>
      <c r="F2" s="221"/>
      <c r="G2" s="221"/>
      <c r="H2" s="221"/>
      <c r="I2" s="221"/>
      <c r="J2" s="221"/>
    </row>
    <row r="3" spans="1:26" ht="15" x14ac:dyDescent="0.2">
      <c r="B3" s="221" t="s">
        <v>312</v>
      </c>
      <c r="C3" s="221"/>
      <c r="D3" s="221"/>
      <c r="E3" s="221"/>
      <c r="F3" s="221"/>
      <c r="G3" s="221"/>
      <c r="H3" s="221"/>
      <c r="I3" s="221"/>
      <c r="J3" s="221"/>
    </row>
    <row r="4" spans="1:26" x14ac:dyDescent="0.2">
      <c r="A4" s="15"/>
      <c r="B4" s="222"/>
      <c r="C4" s="222"/>
      <c r="D4" s="222"/>
      <c r="E4" s="222"/>
      <c r="F4" s="222"/>
      <c r="G4" s="222"/>
      <c r="H4" s="222"/>
      <c r="I4" s="222"/>
      <c r="J4" s="222"/>
      <c r="X4" s="6">
        <v>1</v>
      </c>
      <c r="Y4" s="6">
        <v>2</v>
      </c>
      <c r="Z4" s="6">
        <v>3</v>
      </c>
    </row>
    <row r="5" spans="1:26" x14ac:dyDescent="0.2">
      <c r="A5" s="15"/>
      <c r="B5" s="222" t="s">
        <v>335</v>
      </c>
      <c r="C5" s="222"/>
      <c r="D5" s="222"/>
      <c r="E5" s="222"/>
      <c r="F5" s="222"/>
      <c r="G5" s="222"/>
      <c r="H5" s="222"/>
      <c r="I5" s="222"/>
      <c r="J5" s="222"/>
      <c r="S5" s="6" t="s">
        <v>5</v>
      </c>
      <c r="T5" s="6" t="s">
        <v>2</v>
      </c>
      <c r="U5" s="6" t="s">
        <v>2</v>
      </c>
    </row>
    <row r="6" spans="1:26" x14ac:dyDescent="0.2">
      <c r="A6" s="15"/>
      <c r="B6" s="222"/>
      <c r="C6" s="222"/>
      <c r="D6" s="222"/>
      <c r="E6" s="222"/>
      <c r="F6" s="222"/>
      <c r="G6" s="222"/>
      <c r="H6" s="222"/>
      <c r="I6" s="222"/>
      <c r="J6" s="222"/>
      <c r="S6" s="6" t="s">
        <v>2</v>
      </c>
      <c r="Z6" s="113" t="s">
        <v>229</v>
      </c>
    </row>
    <row r="7" spans="1:26" ht="15.75" x14ac:dyDescent="0.25">
      <c r="A7" s="15"/>
      <c r="B7" s="223" t="s">
        <v>339</v>
      </c>
      <c r="C7" s="224"/>
      <c r="D7" s="224"/>
      <c r="E7" s="224"/>
      <c r="F7" s="224"/>
      <c r="G7" s="224"/>
      <c r="H7" s="224"/>
      <c r="I7" s="224"/>
      <c r="J7" s="224"/>
      <c r="S7" s="6" t="s">
        <v>2</v>
      </c>
      <c r="Z7" s="113" t="s">
        <v>230</v>
      </c>
    </row>
    <row r="8" spans="1:26" x14ac:dyDescent="0.2">
      <c r="A8" s="15"/>
      <c r="B8" s="15"/>
      <c r="C8" s="15"/>
      <c r="D8" s="15"/>
      <c r="E8" s="15"/>
      <c r="F8" s="15"/>
      <c r="G8" s="15"/>
      <c r="H8" s="15"/>
      <c r="I8" s="15"/>
      <c r="K8" s="6" t="s">
        <v>0</v>
      </c>
      <c r="S8" s="6" t="s">
        <v>2</v>
      </c>
      <c r="Z8" s="113" t="s">
        <v>231</v>
      </c>
    </row>
    <row r="9" spans="1:26" x14ac:dyDescent="0.2">
      <c r="B9" s="4"/>
      <c r="C9" s="4"/>
      <c r="D9" s="5"/>
      <c r="E9" s="5"/>
      <c r="F9" s="5"/>
      <c r="G9" s="5"/>
      <c r="H9" s="5"/>
      <c r="I9" s="4"/>
      <c r="S9" s="6" t="s">
        <v>2</v>
      </c>
    </row>
    <row r="10" spans="1:26" x14ac:dyDescent="0.2">
      <c r="B10" s="5" t="s">
        <v>130</v>
      </c>
      <c r="C10" s="4"/>
      <c r="D10" s="4"/>
      <c r="E10" s="4"/>
      <c r="F10" s="4"/>
      <c r="G10" s="4"/>
      <c r="H10" s="5"/>
      <c r="I10" s="4"/>
      <c r="S10" s="6" t="s">
        <v>2</v>
      </c>
      <c r="Z10" s="16" t="s">
        <v>183</v>
      </c>
    </row>
    <row r="11" spans="1:26" x14ac:dyDescent="0.2">
      <c r="B11" s="4"/>
      <c r="C11" s="5"/>
      <c r="D11" s="5"/>
      <c r="E11" s="5"/>
      <c r="F11" s="5"/>
      <c r="G11" s="5"/>
      <c r="H11" s="5"/>
      <c r="I11" s="4"/>
      <c r="S11" s="6" t="s">
        <v>2</v>
      </c>
      <c r="Z11" s="16" t="s">
        <v>233</v>
      </c>
    </row>
    <row r="12" spans="1:26" x14ac:dyDescent="0.2">
      <c r="S12" s="6" t="s">
        <v>2</v>
      </c>
      <c r="Z12" s="16" t="s">
        <v>234</v>
      </c>
    </row>
    <row r="13" spans="1:26" x14ac:dyDescent="0.2">
      <c r="K13" s="6" t="s">
        <v>0</v>
      </c>
      <c r="S13" s="6" t="s">
        <v>2</v>
      </c>
    </row>
    <row r="14" spans="1:26" x14ac:dyDescent="0.2">
      <c r="S14" s="6" t="s">
        <v>2</v>
      </c>
    </row>
    <row r="15" spans="1:26" x14ac:dyDescent="0.2">
      <c r="B15" s="193" t="s">
        <v>311</v>
      </c>
      <c r="C15" s="193"/>
      <c r="D15" s="193"/>
      <c r="E15" s="193"/>
      <c r="F15" s="193"/>
      <c r="G15" s="193"/>
      <c r="H15" s="193"/>
      <c r="I15" s="193"/>
      <c r="J15" s="193"/>
      <c r="S15" s="6" t="s">
        <v>2</v>
      </c>
    </row>
    <row r="16" spans="1:26" x14ac:dyDescent="0.2">
      <c r="B16" s="193" t="s">
        <v>231</v>
      </c>
      <c r="C16" s="193"/>
      <c r="D16" s="193"/>
      <c r="E16" s="193"/>
      <c r="F16" s="193"/>
      <c r="G16" s="193"/>
      <c r="H16" s="193"/>
      <c r="I16" s="193"/>
      <c r="J16" s="193"/>
      <c r="S16" s="6" t="s">
        <v>2</v>
      </c>
    </row>
    <row r="17" spans="2:19" ht="15" x14ac:dyDescent="0.3">
      <c r="B17" s="154"/>
      <c r="C17" s="154"/>
      <c r="D17" s="154"/>
      <c r="E17" s="154"/>
      <c r="F17" s="154"/>
      <c r="G17" s="154"/>
      <c r="H17" s="154"/>
      <c r="I17" s="154"/>
      <c r="J17" s="154"/>
      <c r="K17" s="17" t="s">
        <v>0</v>
      </c>
      <c r="S17" s="6" t="s">
        <v>2</v>
      </c>
    </row>
    <row r="18" spans="2:19" ht="15" x14ac:dyDescent="0.3">
      <c r="B18" s="154" t="s">
        <v>166</v>
      </c>
      <c r="C18" s="154"/>
      <c r="D18" s="154"/>
      <c r="E18" s="154"/>
      <c r="F18" s="154">
        <v>50</v>
      </c>
      <c r="G18" s="154"/>
      <c r="H18" s="205" t="s">
        <v>258</v>
      </c>
      <c r="I18" s="205"/>
      <c r="J18" s="166">
        <v>38306</v>
      </c>
      <c r="S18" s="6" t="s">
        <v>2</v>
      </c>
    </row>
    <row r="19" spans="2:19" ht="15" x14ac:dyDescent="0.3">
      <c r="B19" s="154" t="s">
        <v>186</v>
      </c>
      <c r="C19" s="154"/>
      <c r="D19" s="154"/>
      <c r="E19" s="154"/>
      <c r="F19" s="154">
        <v>2</v>
      </c>
      <c r="G19" s="154"/>
      <c r="H19" s="205" t="s">
        <v>259</v>
      </c>
      <c r="I19" s="205"/>
      <c r="J19" s="166">
        <f>+J18+F23</f>
        <v>38426</v>
      </c>
      <c r="K19" s="17" t="s">
        <v>0</v>
      </c>
      <c r="S19" s="6" t="s">
        <v>2</v>
      </c>
    </row>
    <row r="20" spans="2:19" ht="15" x14ac:dyDescent="0.3">
      <c r="B20" s="154" t="s">
        <v>167</v>
      </c>
      <c r="C20" s="154"/>
      <c r="D20" s="154"/>
      <c r="E20" s="154"/>
      <c r="F20" s="167">
        <f>F18*F19</f>
        <v>100</v>
      </c>
      <c r="G20" s="154"/>
      <c r="H20" s="205" t="s">
        <v>260</v>
      </c>
      <c r="I20" s="205"/>
      <c r="J20" s="168">
        <v>-15</v>
      </c>
      <c r="S20" s="6" t="s">
        <v>2</v>
      </c>
    </row>
    <row r="21" spans="2:19" ht="15" x14ac:dyDescent="0.3">
      <c r="B21" s="154" t="s">
        <v>101</v>
      </c>
      <c r="C21" s="154"/>
      <c r="D21" s="154"/>
      <c r="E21" s="154"/>
      <c r="F21" s="154">
        <v>1</v>
      </c>
      <c r="G21" s="154"/>
      <c r="H21" s="154"/>
      <c r="I21" s="154"/>
      <c r="J21" s="154"/>
      <c r="K21" s="17" t="s">
        <v>0</v>
      </c>
      <c r="S21" s="6" t="s">
        <v>2</v>
      </c>
    </row>
    <row r="22" spans="2:19" ht="15" x14ac:dyDescent="0.3">
      <c r="B22" s="154" t="s">
        <v>168</v>
      </c>
      <c r="C22" s="154"/>
      <c r="D22" s="154"/>
      <c r="E22" s="154"/>
      <c r="F22" s="167">
        <f>+F20*((100-F21)/100)</f>
        <v>99</v>
      </c>
      <c r="G22" s="154"/>
      <c r="H22" s="154"/>
      <c r="I22" s="154"/>
      <c r="J22" s="154"/>
      <c r="K22" s="17" t="s">
        <v>0</v>
      </c>
      <c r="S22" s="6" t="s">
        <v>4</v>
      </c>
    </row>
    <row r="23" spans="2:19" ht="15" x14ac:dyDescent="0.3">
      <c r="B23" s="154" t="s">
        <v>118</v>
      </c>
      <c r="C23" s="154"/>
      <c r="D23" s="154"/>
      <c r="E23" s="154"/>
      <c r="F23" s="154">
        <v>120</v>
      </c>
      <c r="G23" s="154"/>
      <c r="H23" s="154"/>
      <c r="I23" s="154"/>
      <c r="J23" s="154"/>
    </row>
    <row r="24" spans="2:19" ht="15" x14ac:dyDescent="0.3">
      <c r="B24" s="154" t="s">
        <v>152</v>
      </c>
      <c r="C24" s="154"/>
      <c r="D24" s="154"/>
      <c r="E24" s="154"/>
      <c r="F24" s="154">
        <v>3</v>
      </c>
      <c r="G24" s="154"/>
      <c r="H24" s="154"/>
      <c r="I24" s="154"/>
      <c r="J24" s="154"/>
    </row>
    <row r="25" spans="2:19" ht="15" x14ac:dyDescent="0.3">
      <c r="B25" s="154"/>
      <c r="C25" s="154"/>
      <c r="D25" s="154"/>
      <c r="E25" s="154"/>
      <c r="F25" s="154"/>
      <c r="G25" s="154"/>
      <c r="H25" s="154"/>
      <c r="I25" s="154"/>
      <c r="J25" s="154"/>
    </row>
    <row r="26" spans="2:19" ht="15" x14ac:dyDescent="0.3">
      <c r="B26" s="154"/>
      <c r="C26" s="154"/>
      <c r="D26" s="154"/>
      <c r="E26" s="154"/>
      <c r="F26" s="155" t="s">
        <v>82</v>
      </c>
      <c r="G26" s="155" t="s">
        <v>169</v>
      </c>
      <c r="H26" s="155" t="s">
        <v>155</v>
      </c>
      <c r="I26" s="155" t="s">
        <v>175</v>
      </c>
      <c r="J26" s="155" t="s">
        <v>220</v>
      </c>
      <c r="K26" s="17" t="s">
        <v>0</v>
      </c>
    </row>
    <row r="27" spans="2:19" ht="15" x14ac:dyDescent="0.3">
      <c r="B27" s="154" t="s">
        <v>174</v>
      </c>
      <c r="C27" s="154"/>
      <c r="D27" s="154"/>
      <c r="E27" s="154"/>
      <c r="F27" s="154">
        <f>+G27+0.25</f>
        <v>2.5</v>
      </c>
      <c r="G27" s="154">
        <f>+H27+0.25</f>
        <v>2.25</v>
      </c>
      <c r="H27" s="154">
        <v>2</v>
      </c>
      <c r="I27" s="154">
        <f>+H27-0.25</f>
        <v>1.75</v>
      </c>
      <c r="J27" s="154">
        <f>+I27-0.25</f>
        <v>1.5</v>
      </c>
      <c r="K27" s="17" t="s">
        <v>0</v>
      </c>
    </row>
    <row r="28" spans="2:19" ht="15" x14ac:dyDescent="0.3">
      <c r="B28" s="154" t="s">
        <v>99</v>
      </c>
      <c r="C28" s="154"/>
      <c r="D28" s="154"/>
      <c r="E28" s="154"/>
      <c r="F28" s="154"/>
      <c r="G28" s="154"/>
      <c r="H28" s="154"/>
      <c r="I28" s="154"/>
      <c r="J28" s="154"/>
      <c r="K28" s="17" t="s">
        <v>0</v>
      </c>
    </row>
    <row r="29" spans="2:19" ht="15" x14ac:dyDescent="0.3">
      <c r="B29" s="154" t="s">
        <v>161</v>
      </c>
      <c r="C29" s="154"/>
      <c r="D29" s="154"/>
      <c r="E29" s="154"/>
      <c r="F29" s="154">
        <f>(F27*F23/100+F36)</f>
        <v>7</v>
      </c>
      <c r="G29" s="154">
        <f>(G27*F23/100+F36)</f>
        <v>6.7</v>
      </c>
      <c r="H29" s="154">
        <f>(H27*F23/100+F36)</f>
        <v>6.4</v>
      </c>
      <c r="I29" s="154">
        <f>(I27*F23/100+F36)</f>
        <v>6.1</v>
      </c>
      <c r="J29" s="154">
        <f>(J27*F23/100+F36)</f>
        <v>5.8</v>
      </c>
      <c r="K29" s="17" t="s">
        <v>0</v>
      </c>
    </row>
    <row r="30" spans="2:19" ht="15" x14ac:dyDescent="0.3">
      <c r="B30" s="154" t="s">
        <v>185</v>
      </c>
      <c r="C30" s="154"/>
      <c r="D30" s="154"/>
      <c r="E30" s="154"/>
      <c r="F30" s="157">
        <v>155</v>
      </c>
      <c r="G30" s="157">
        <f>+(F30+H30)/2</f>
        <v>150</v>
      </c>
      <c r="H30" s="157">
        <v>145</v>
      </c>
      <c r="I30" s="157">
        <f>+(H30+J30)/2</f>
        <v>140</v>
      </c>
      <c r="J30" s="157">
        <v>135</v>
      </c>
      <c r="K30" s="17" t="s">
        <v>0</v>
      </c>
    </row>
    <row r="31" spans="2:19" ht="15" x14ac:dyDescent="0.3">
      <c r="B31" s="154"/>
      <c r="C31" s="154"/>
      <c r="D31" s="154"/>
      <c r="E31" s="154"/>
      <c r="F31" s="154"/>
      <c r="G31" s="154"/>
      <c r="H31" s="154"/>
      <c r="I31" s="154"/>
      <c r="J31" s="154"/>
      <c r="K31" s="17" t="s">
        <v>0</v>
      </c>
    </row>
    <row r="32" spans="2:19" ht="12.75" customHeight="1" x14ac:dyDescent="0.3">
      <c r="B32" s="189" t="s">
        <v>325</v>
      </c>
      <c r="C32" s="190"/>
      <c r="D32" s="191"/>
      <c r="E32" s="198" t="s">
        <v>326</v>
      </c>
      <c r="F32" s="201" t="s">
        <v>324</v>
      </c>
      <c r="G32" s="204" t="s">
        <v>327</v>
      </c>
      <c r="H32" s="204" t="s">
        <v>328</v>
      </c>
      <c r="I32" s="201" t="s">
        <v>329</v>
      </c>
      <c r="J32" s="154"/>
    </row>
    <row r="33" spans="1:19" ht="15" x14ac:dyDescent="0.3">
      <c r="B33" s="192"/>
      <c r="C33" s="193"/>
      <c r="D33" s="194"/>
      <c r="E33" s="199"/>
      <c r="F33" s="202"/>
      <c r="G33" s="204"/>
      <c r="H33" s="204"/>
      <c r="I33" s="202"/>
      <c r="J33" s="154"/>
      <c r="S33" s="6" t="s">
        <v>5</v>
      </c>
    </row>
    <row r="34" spans="1:19" ht="15" x14ac:dyDescent="0.3">
      <c r="B34" s="195"/>
      <c r="C34" s="196"/>
      <c r="D34" s="197"/>
      <c r="E34" s="200"/>
      <c r="F34" s="203"/>
      <c r="G34" s="204"/>
      <c r="H34" s="204"/>
      <c r="I34" s="203"/>
      <c r="J34" s="154"/>
      <c r="S34" s="6" t="s">
        <v>2</v>
      </c>
    </row>
    <row r="35" spans="1:19" ht="15" x14ac:dyDescent="0.3">
      <c r="B35" s="213" t="s">
        <v>218</v>
      </c>
      <c r="C35" s="213"/>
      <c r="D35" s="213"/>
      <c r="E35" s="154"/>
      <c r="F35" s="154"/>
      <c r="G35" s="169"/>
      <c r="H35" s="169"/>
      <c r="I35" s="170"/>
      <c r="J35" s="154"/>
    </row>
    <row r="36" spans="1:19" ht="15" x14ac:dyDescent="0.3">
      <c r="B36" s="205" t="s">
        <v>88</v>
      </c>
      <c r="C36" s="205"/>
      <c r="D36" s="205"/>
      <c r="E36" s="154" t="s">
        <v>98</v>
      </c>
      <c r="F36" s="154">
        <v>4</v>
      </c>
      <c r="G36" s="171">
        <f t="shared" ref="G36:G47" si="0">+F36*placed</f>
        <v>400</v>
      </c>
      <c r="H36" s="234">
        <v>160</v>
      </c>
      <c r="I36" s="172">
        <f t="shared" ref="I36:I47" si="1">G36*H36</f>
        <v>64000</v>
      </c>
      <c r="J36" s="154"/>
      <c r="S36" s="6" t="s">
        <v>2</v>
      </c>
    </row>
    <row r="37" spans="1:19" ht="15" x14ac:dyDescent="0.3">
      <c r="A37" s="27" t="s">
        <v>321</v>
      </c>
      <c r="B37" s="205" t="s">
        <v>178</v>
      </c>
      <c r="C37" s="205"/>
      <c r="D37" s="205"/>
      <c r="E37" s="154" t="s">
        <v>127</v>
      </c>
      <c r="F37" s="154">
        <v>1</v>
      </c>
      <c r="G37" s="171">
        <f t="shared" si="0"/>
        <v>100</v>
      </c>
      <c r="H37" s="234">
        <f>+Procurement!H10</f>
        <v>7.4411764705882355</v>
      </c>
      <c r="I37" s="172">
        <f t="shared" si="1"/>
        <v>744.11764705882354</v>
      </c>
      <c r="J37" s="154"/>
      <c r="S37" s="6" t="s">
        <v>2</v>
      </c>
    </row>
    <row r="38" spans="1:19" ht="15" x14ac:dyDescent="0.3">
      <c r="A38" s="27" t="s">
        <v>266</v>
      </c>
      <c r="B38" s="205" t="s">
        <v>219</v>
      </c>
      <c r="C38" s="205"/>
      <c r="D38" s="205"/>
      <c r="E38" s="154" t="s">
        <v>78</v>
      </c>
      <c r="F38" s="154">
        <f>1/F19</f>
        <v>0.5</v>
      </c>
      <c r="G38" s="171">
        <f t="shared" si="0"/>
        <v>50</v>
      </c>
      <c r="H38" s="234">
        <f>+tvc_grazing/ACRES</f>
        <v>126.69904109589041</v>
      </c>
      <c r="I38" s="172">
        <f t="shared" si="1"/>
        <v>6334.9520547945203</v>
      </c>
      <c r="J38" s="154"/>
      <c r="S38" s="6" t="s">
        <v>2</v>
      </c>
    </row>
    <row r="39" spans="1:19" ht="15" x14ac:dyDescent="0.3">
      <c r="B39" s="205" t="s">
        <v>126</v>
      </c>
      <c r="C39" s="205"/>
      <c r="D39" s="205"/>
      <c r="E39" s="154" t="s">
        <v>195</v>
      </c>
      <c r="F39" s="154">
        <f>5*0.03</f>
        <v>0.15</v>
      </c>
      <c r="G39" s="171">
        <f t="shared" si="0"/>
        <v>15</v>
      </c>
      <c r="H39" s="234">
        <v>100</v>
      </c>
      <c r="I39" s="172">
        <f t="shared" si="1"/>
        <v>1500</v>
      </c>
      <c r="J39" s="154"/>
      <c r="S39" s="6" t="s">
        <v>2</v>
      </c>
    </row>
    <row r="40" spans="1:19" ht="15" x14ac:dyDescent="0.3">
      <c r="B40" s="205" t="s">
        <v>181</v>
      </c>
      <c r="C40" s="205"/>
      <c r="D40" s="205"/>
      <c r="E40" s="154" t="s">
        <v>196</v>
      </c>
      <c r="F40" s="154">
        <f>12.5*6*7/2000</f>
        <v>0.26250000000000001</v>
      </c>
      <c r="G40" s="171">
        <f t="shared" si="0"/>
        <v>26.25</v>
      </c>
      <c r="H40" s="234">
        <v>275</v>
      </c>
      <c r="I40" s="172">
        <f t="shared" si="1"/>
        <v>7218.75</v>
      </c>
      <c r="J40" s="154"/>
      <c r="S40" s="6" t="s">
        <v>2</v>
      </c>
    </row>
    <row r="41" spans="1:19" ht="15" x14ac:dyDescent="0.3">
      <c r="B41" s="205" t="s">
        <v>265</v>
      </c>
      <c r="C41" s="205"/>
      <c r="D41" s="205"/>
      <c r="E41" s="154" t="s">
        <v>196</v>
      </c>
      <c r="F41" s="154">
        <f>11*0.015</f>
        <v>0.16499999999999998</v>
      </c>
      <c r="G41" s="171">
        <f t="shared" si="0"/>
        <v>16.499999999999996</v>
      </c>
      <c r="H41" s="234">
        <v>275</v>
      </c>
      <c r="I41" s="172">
        <f t="shared" si="1"/>
        <v>4537.4999999999991</v>
      </c>
      <c r="J41" s="154"/>
    </row>
    <row r="42" spans="1:19" ht="15" x14ac:dyDescent="0.3">
      <c r="B42" s="205" t="s">
        <v>309</v>
      </c>
      <c r="C42" s="205"/>
      <c r="D42" s="205"/>
      <c r="E42" s="154" t="s">
        <v>141</v>
      </c>
      <c r="F42" s="154">
        <f>+F23*0.25</f>
        <v>30</v>
      </c>
      <c r="G42" s="171">
        <f t="shared" si="0"/>
        <v>3000</v>
      </c>
      <c r="H42" s="234">
        <v>0.28000000000000003</v>
      </c>
      <c r="I42" s="172">
        <f t="shared" si="1"/>
        <v>840.00000000000011</v>
      </c>
      <c r="J42" s="154"/>
      <c r="Q42" s="6" t="s">
        <v>76</v>
      </c>
      <c r="S42" s="6" t="s">
        <v>2</v>
      </c>
    </row>
    <row r="43" spans="1:19" ht="15" x14ac:dyDescent="0.3">
      <c r="B43" s="205" t="s">
        <v>156</v>
      </c>
      <c r="C43" s="205"/>
      <c r="D43" s="205"/>
      <c r="E43" s="154" t="s">
        <v>127</v>
      </c>
      <c r="F43" s="154">
        <v>2</v>
      </c>
      <c r="G43" s="171">
        <f t="shared" si="0"/>
        <v>200</v>
      </c>
      <c r="H43" s="234">
        <v>4</v>
      </c>
      <c r="I43" s="172">
        <f t="shared" si="1"/>
        <v>800</v>
      </c>
      <c r="J43" s="154"/>
    </row>
    <row r="44" spans="1:19" ht="15" x14ac:dyDescent="0.3">
      <c r="B44" s="205" t="s">
        <v>125</v>
      </c>
      <c r="C44" s="205"/>
      <c r="D44" s="205"/>
      <c r="E44" s="154" t="s">
        <v>129</v>
      </c>
      <c r="F44" s="154">
        <v>2</v>
      </c>
      <c r="G44" s="171">
        <f t="shared" si="0"/>
        <v>200</v>
      </c>
      <c r="H44" s="234">
        <v>1</v>
      </c>
      <c r="I44" s="172">
        <f t="shared" si="1"/>
        <v>200</v>
      </c>
      <c r="J44" s="154"/>
    </row>
    <row r="45" spans="1:19" ht="15" x14ac:dyDescent="0.3">
      <c r="B45" s="205" t="s">
        <v>182</v>
      </c>
      <c r="C45" s="205"/>
      <c r="D45" s="205"/>
      <c r="E45" s="154" t="s">
        <v>127</v>
      </c>
      <c r="F45" s="154">
        <v>1</v>
      </c>
      <c r="G45" s="171">
        <f t="shared" si="0"/>
        <v>100</v>
      </c>
      <c r="H45" s="234">
        <f>AVERAGE(Fixed_Cost!F30:G31)*0.02/Fixed_Cost!G6</f>
        <v>0.80230769230769228</v>
      </c>
      <c r="I45" s="172">
        <f t="shared" si="1"/>
        <v>80.230769230769226</v>
      </c>
      <c r="J45" s="154"/>
    </row>
    <row r="46" spans="1:19" ht="15" x14ac:dyDescent="0.3">
      <c r="B46" s="205" t="s">
        <v>140</v>
      </c>
      <c r="C46" s="205"/>
      <c r="D46" s="205"/>
      <c r="E46" s="154" t="s">
        <v>78</v>
      </c>
      <c r="F46" s="154">
        <f>F38</f>
        <v>0.5</v>
      </c>
      <c r="G46" s="171">
        <f t="shared" si="0"/>
        <v>50</v>
      </c>
      <c r="H46" s="234">
        <v>0</v>
      </c>
      <c r="I46" s="172">
        <f t="shared" si="1"/>
        <v>0</v>
      </c>
      <c r="J46" s="154"/>
    </row>
    <row r="47" spans="1:19" ht="15" x14ac:dyDescent="0.3">
      <c r="B47" s="205" t="s">
        <v>138</v>
      </c>
      <c r="C47" s="205"/>
      <c r="D47" s="205"/>
      <c r="E47" s="154" t="s">
        <v>128</v>
      </c>
      <c r="F47" s="154">
        <v>2</v>
      </c>
      <c r="G47" s="171">
        <f t="shared" si="0"/>
        <v>200</v>
      </c>
      <c r="H47" s="234">
        <v>9.02</v>
      </c>
      <c r="I47" s="172">
        <f t="shared" si="1"/>
        <v>1804</v>
      </c>
      <c r="J47" s="154"/>
    </row>
    <row r="48" spans="1:19" ht="15" x14ac:dyDescent="0.3">
      <c r="B48" s="205" t="s">
        <v>100</v>
      </c>
      <c r="C48" s="205"/>
      <c r="D48" s="205"/>
      <c r="E48" s="154" t="s">
        <v>310</v>
      </c>
      <c r="F48" s="173">
        <v>0.01</v>
      </c>
      <c r="G48" s="171">
        <f>+I36</f>
        <v>64000</v>
      </c>
      <c r="H48" s="161"/>
      <c r="I48" s="172">
        <f>+F48*G48</f>
        <v>640</v>
      </c>
      <c r="J48" s="154"/>
    </row>
    <row r="49" spans="1:10" ht="15" x14ac:dyDescent="0.3">
      <c r="B49" s="205" t="s">
        <v>134</v>
      </c>
      <c r="C49" s="205"/>
      <c r="D49" s="205"/>
      <c r="E49" s="154" t="s">
        <v>310</v>
      </c>
      <c r="F49" s="173">
        <v>0.08</v>
      </c>
      <c r="G49" s="171">
        <f>+(SUM(I36:I48)*0.5)/placed</f>
        <v>443.49775235542052</v>
      </c>
      <c r="H49" s="235">
        <f>+G49*(F49*F23/365)</f>
        <v>11.664598418115169</v>
      </c>
      <c r="I49" s="172">
        <f>G49*H49/365*F23</f>
        <v>1700.7857031986862</v>
      </c>
      <c r="J49" s="154"/>
    </row>
    <row r="50" spans="1:10" ht="15" x14ac:dyDescent="0.3">
      <c r="A50" s="27" t="s">
        <v>322</v>
      </c>
      <c r="B50" s="205" t="s">
        <v>81</v>
      </c>
      <c r="C50" s="205"/>
      <c r="D50" s="205"/>
      <c r="E50" s="154" t="s">
        <v>127</v>
      </c>
      <c r="F50" s="154">
        <v>1</v>
      </c>
      <c r="G50" s="171">
        <f>F50*F20</f>
        <v>100</v>
      </c>
      <c r="H50" s="234">
        <f>+mktng_cst</f>
        <v>27.268333333333331</v>
      </c>
      <c r="I50" s="172">
        <f>G50*H50</f>
        <v>2726.833333333333</v>
      </c>
      <c r="J50" s="154"/>
    </row>
    <row r="51" spans="1:10" ht="15" x14ac:dyDescent="0.3">
      <c r="B51" s="154"/>
      <c r="C51" s="154"/>
      <c r="D51" s="154"/>
      <c r="E51" s="154"/>
      <c r="F51" s="154"/>
      <c r="G51" s="154"/>
      <c r="H51" s="157"/>
      <c r="I51" s="172"/>
      <c r="J51" s="154"/>
    </row>
    <row r="52" spans="1:10" ht="15" x14ac:dyDescent="0.3">
      <c r="B52" s="158" t="s">
        <v>212</v>
      </c>
      <c r="C52" s="158"/>
      <c r="D52" s="158"/>
      <c r="E52" s="158"/>
      <c r="F52" s="158" t="s">
        <v>0</v>
      </c>
      <c r="G52" s="158"/>
      <c r="H52" s="159"/>
      <c r="I52" s="174">
        <f>SUM(I36:I50)</f>
        <v>93127.169507616127</v>
      </c>
      <c r="J52" s="154"/>
    </row>
    <row r="53" spans="1:10" ht="15" x14ac:dyDescent="0.3">
      <c r="B53" s="154"/>
      <c r="C53" s="154"/>
      <c r="D53" s="154"/>
      <c r="E53" s="154"/>
      <c r="F53" s="154"/>
      <c r="G53" s="154"/>
      <c r="H53" s="157"/>
      <c r="I53" s="172"/>
      <c r="J53" s="154"/>
    </row>
    <row r="54" spans="1:10" ht="15.75" thickBot="1" x14ac:dyDescent="0.35">
      <c r="B54" s="212" t="str">
        <f>+IF(bud_type=3,"No Fixed Costs for Variable Cost Budget","FIXED COST:(Click Appropriate Link at Left for Annual Fixed Cost)")</f>
        <v>No Fixed Costs for Variable Cost Budget</v>
      </c>
      <c r="C54" s="212"/>
      <c r="D54" s="212"/>
      <c r="E54" s="212"/>
      <c r="F54" s="212"/>
      <c r="G54" s="212"/>
      <c r="H54" s="212"/>
      <c r="I54" s="212"/>
      <c r="J54" s="154"/>
    </row>
    <row r="55" spans="1:10" ht="15" x14ac:dyDescent="0.3">
      <c r="A55" s="27" t="s">
        <v>261</v>
      </c>
      <c r="B55" s="205" t="str">
        <f>+IF(bud_type=1,"Total Cattle Equipment Fixed Costs",IF(bud_type=2,"Total Fixed Cash Payments",""))</f>
        <v/>
      </c>
      <c r="C55" s="205"/>
      <c r="D55" s="205"/>
      <c r="E55" s="160" t="str">
        <f>+IF(bud_type&lt;&gt;3,"Head Sold","")</f>
        <v/>
      </c>
      <c r="F55" s="175">
        <f>+IF(bud_type&lt;&gt;3,+ROUNDUP(sold,0),0)</f>
        <v>0</v>
      </c>
      <c r="G55" s="165"/>
      <c r="H55" s="176">
        <f>+IF(bud_type&lt;&gt;3,I55/sold,0)</f>
        <v>0</v>
      </c>
      <c r="I55" s="176">
        <f>+IF(bud_type=1,cattle_fixed,IF(bud_type=2,cf_total,0))</f>
        <v>0</v>
      </c>
      <c r="J55" s="154"/>
    </row>
    <row r="56" spans="1:10" ht="15" x14ac:dyDescent="0.3">
      <c r="A56" s="27" t="s">
        <v>262</v>
      </c>
      <c r="B56" s="165" t="str">
        <f>+IF(bud_type=1,"Total Machinery Fixed Costs","")</f>
        <v/>
      </c>
      <c r="C56" s="165"/>
      <c r="D56" s="165"/>
      <c r="E56" s="160" t="str">
        <f>+IF(bud_type=1,"Acres","")</f>
        <v/>
      </c>
      <c r="F56" s="161">
        <f>+IF(bud_type=1,ACRES,0)</f>
        <v>0</v>
      </c>
      <c r="G56" s="165"/>
      <c r="H56" s="161">
        <f>+IF(bud_type=1,I56/ACRES,0)</f>
        <v>0</v>
      </c>
      <c r="I56" s="161">
        <f>+IF(bud_type=1,mach_fixed,0)</f>
        <v>0</v>
      </c>
      <c r="J56" s="154"/>
    </row>
    <row r="57" spans="1:10" ht="15" x14ac:dyDescent="0.3">
      <c r="B57" s="165" t="str">
        <f>+IF(bud_type=1,"Overhead","")</f>
        <v/>
      </c>
      <c r="C57" s="165"/>
      <c r="D57" s="165"/>
      <c r="E57" s="160" t="str">
        <f>+IF(bud_type=1,"Head Sold","")</f>
        <v/>
      </c>
      <c r="F57" s="175">
        <f>+IF(bud_type=1,+ROUNDUP(sold,0),0)</f>
        <v>0</v>
      </c>
      <c r="G57" s="171"/>
      <c r="H57" s="168">
        <v>0</v>
      </c>
      <c r="I57" s="161">
        <f>+IF(bud_type=1,H57*F57,0)</f>
        <v>0</v>
      </c>
      <c r="J57" s="154" t="s">
        <v>0</v>
      </c>
    </row>
    <row r="58" spans="1:10" ht="15" x14ac:dyDescent="0.3">
      <c r="B58" s="165" t="str">
        <f>+IF(bud_type=1,"Management ","")</f>
        <v/>
      </c>
      <c r="C58" s="165"/>
      <c r="D58" s="165"/>
      <c r="E58" s="160" t="str">
        <f>+IF(bud_type=1,"% of Value Added","")</f>
        <v/>
      </c>
      <c r="F58" s="161">
        <f>+IF(bud_type=1,(H88-I36),0)</f>
        <v>0</v>
      </c>
      <c r="G58" s="175"/>
      <c r="H58" s="162">
        <v>0.06</v>
      </c>
      <c r="I58" s="161">
        <f>+IF(bud_type=1,H58*F58,0)</f>
        <v>0</v>
      </c>
      <c r="J58" s="154" t="s">
        <v>0</v>
      </c>
    </row>
    <row r="59" spans="1:10" ht="15" x14ac:dyDescent="0.3">
      <c r="B59" s="205" t="str">
        <f>+IF(bud_type=1,"Land","")</f>
        <v/>
      </c>
      <c r="C59" s="211"/>
      <c r="D59" s="211"/>
      <c r="E59" s="160" t="str">
        <f>+IF(bud_type=1,"Acres","")</f>
        <v/>
      </c>
      <c r="F59" s="161">
        <f>+IF(bud_type=1,ACRES,0)</f>
        <v>0</v>
      </c>
      <c r="G59" s="177"/>
      <c r="H59" s="168">
        <v>0</v>
      </c>
      <c r="I59" s="161">
        <f>+IF(bud_type=1,H59*F59,0)</f>
        <v>0</v>
      </c>
      <c r="J59" s="154" t="s">
        <v>0</v>
      </c>
    </row>
    <row r="60" spans="1:10" ht="15" x14ac:dyDescent="0.3">
      <c r="B60" s="210" t="s">
        <v>207</v>
      </c>
      <c r="C60" s="210"/>
      <c r="D60" s="210"/>
      <c r="E60" s="158"/>
      <c r="F60" s="158"/>
      <c r="G60" s="158" t="s">
        <v>0</v>
      </c>
      <c r="H60" s="158" t="s">
        <v>0</v>
      </c>
      <c r="I60" s="159">
        <f>SUM(I55:I59)</f>
        <v>0</v>
      </c>
      <c r="J60" s="154" t="s">
        <v>0</v>
      </c>
    </row>
    <row r="61" spans="1:10" ht="15" x14ac:dyDescent="0.3">
      <c r="B61" s="154"/>
      <c r="C61" s="154"/>
      <c r="D61" s="154"/>
      <c r="E61" s="154"/>
      <c r="F61" s="154"/>
      <c r="G61" s="154"/>
      <c r="H61" s="154"/>
      <c r="I61" s="154"/>
      <c r="J61" s="154"/>
    </row>
    <row r="62" spans="1:10" ht="15" x14ac:dyDescent="0.3">
      <c r="B62" s="155" t="s">
        <v>6</v>
      </c>
      <c r="C62" s="155"/>
      <c r="D62" s="155"/>
      <c r="E62" s="155"/>
      <c r="F62" s="155"/>
      <c r="G62" s="155"/>
      <c r="H62" s="155"/>
      <c r="I62" s="155"/>
      <c r="J62" s="154"/>
    </row>
    <row r="63" spans="1:10" ht="15" x14ac:dyDescent="0.3">
      <c r="B63" s="154"/>
      <c r="C63" s="154"/>
      <c r="D63" s="154"/>
      <c r="E63" s="154"/>
      <c r="F63" s="154"/>
      <c r="G63" s="154"/>
      <c r="H63" s="170"/>
      <c r="I63" s="170" t="s">
        <v>12</v>
      </c>
      <c r="J63" s="154"/>
    </row>
    <row r="64" spans="1:10" ht="15" x14ac:dyDescent="0.3">
      <c r="B64" s="154" t="s">
        <v>116</v>
      </c>
      <c r="C64" s="154"/>
      <c r="D64" s="154"/>
      <c r="E64" s="154"/>
      <c r="F64" s="154"/>
      <c r="G64" s="154"/>
      <c r="H64" s="170"/>
      <c r="I64" s="178">
        <f>SUM(I38:I42)/(D88-G36)</f>
        <v>87.462337563332653</v>
      </c>
      <c r="J64" s="154"/>
    </row>
    <row r="65" spans="2:10" ht="15" x14ac:dyDescent="0.3">
      <c r="B65" s="154" t="s">
        <v>117</v>
      </c>
      <c r="C65" s="154"/>
      <c r="D65" s="154"/>
      <c r="E65" s="154"/>
      <c r="F65" s="154"/>
      <c r="G65" s="154"/>
      <c r="H65" s="170"/>
      <c r="I65" s="178">
        <f>+(+I52-I36-I37)/(D88-G36)</f>
        <v>121.50279049896098</v>
      </c>
      <c r="J65" s="154"/>
    </row>
    <row r="66" spans="2:10" ht="15" x14ac:dyDescent="0.3">
      <c r="B66" s="154" t="s">
        <v>206</v>
      </c>
      <c r="C66" s="154"/>
      <c r="D66" s="154"/>
      <c r="E66" s="154"/>
      <c r="F66" s="154"/>
      <c r="G66" s="154"/>
      <c r="H66" s="170"/>
      <c r="I66" s="178">
        <f>+(+F80-I36-I37)/(D88-G36)</f>
        <v>121.50279049896098</v>
      </c>
      <c r="J66" s="154"/>
    </row>
    <row r="67" spans="2:10" ht="15" x14ac:dyDescent="0.3">
      <c r="B67" s="154"/>
      <c r="C67" s="154"/>
      <c r="D67" s="154"/>
      <c r="E67" s="154"/>
      <c r="F67" s="154"/>
      <c r="G67" s="154"/>
      <c r="H67" s="170"/>
      <c r="I67" s="178"/>
      <c r="J67" s="154"/>
    </row>
    <row r="68" spans="2:10" ht="15" x14ac:dyDescent="0.3">
      <c r="B68" s="154" t="s">
        <v>153</v>
      </c>
      <c r="C68" s="154"/>
      <c r="D68" s="154"/>
      <c r="E68" s="154"/>
      <c r="F68" s="154"/>
      <c r="G68" s="154"/>
      <c r="H68" s="170"/>
      <c r="I68" s="178">
        <f>+(+H88-(+F80-I36))/G36</f>
        <v>156.86207623095973</v>
      </c>
      <c r="J68" s="154"/>
    </row>
    <row r="69" spans="2:10" ht="15" x14ac:dyDescent="0.3">
      <c r="B69" s="154"/>
      <c r="C69" s="154"/>
      <c r="D69" s="154"/>
      <c r="E69" s="154"/>
      <c r="F69" s="154"/>
      <c r="G69" s="154"/>
      <c r="H69" s="170"/>
      <c r="I69" s="170"/>
      <c r="J69" s="154"/>
    </row>
    <row r="70" spans="2:10" ht="15" x14ac:dyDescent="0.3">
      <c r="B70" s="154"/>
      <c r="C70" s="154"/>
      <c r="D70" s="154"/>
      <c r="E70" s="154"/>
      <c r="F70" s="154"/>
      <c r="G70" s="154"/>
      <c r="H70" s="170"/>
      <c r="I70" s="170"/>
      <c r="J70" s="154"/>
    </row>
    <row r="71" spans="2:10" ht="15" x14ac:dyDescent="0.3">
      <c r="B71" s="193" t="s">
        <v>111</v>
      </c>
      <c r="C71" s="193"/>
      <c r="D71" s="193"/>
      <c r="E71" s="193"/>
      <c r="F71" s="193"/>
      <c r="G71" s="193"/>
      <c r="H71" s="193"/>
      <c r="I71" s="193"/>
      <c r="J71" s="154"/>
    </row>
    <row r="72" spans="2:10" ht="15" x14ac:dyDescent="0.3">
      <c r="B72" s="154"/>
      <c r="C72" s="154"/>
      <c r="D72" s="154"/>
      <c r="E72" s="154"/>
      <c r="F72" s="154"/>
      <c r="G72" s="154"/>
      <c r="H72" s="170"/>
      <c r="I72" s="170"/>
      <c r="J72" s="154"/>
    </row>
    <row r="73" spans="2:10" ht="15" x14ac:dyDescent="0.3">
      <c r="B73" s="155" t="s">
        <v>137</v>
      </c>
      <c r="C73" s="155"/>
      <c r="D73" s="155"/>
      <c r="E73" s="155" t="s">
        <v>65</v>
      </c>
      <c r="F73" s="155"/>
      <c r="G73" s="155"/>
      <c r="H73" s="179" t="s">
        <v>69</v>
      </c>
      <c r="I73" s="179" t="s">
        <v>8</v>
      </c>
      <c r="J73" s="154"/>
    </row>
    <row r="74" spans="2:10" ht="15" x14ac:dyDescent="0.3">
      <c r="B74" s="154" t="s">
        <v>217</v>
      </c>
      <c r="C74" s="154"/>
      <c r="D74" s="154"/>
      <c r="E74" s="154"/>
      <c r="F74" s="172">
        <f>I52</f>
        <v>93127.169507616127</v>
      </c>
      <c r="G74" s="154"/>
      <c r="H74" s="178">
        <f>F74/(U168*F20)</f>
        <v>145.51120235565017</v>
      </c>
      <c r="I74" s="178">
        <f t="shared" ref="I74:I80" si="2">+F74/sold</f>
        <v>940.67847987491041</v>
      </c>
      <c r="J74" s="154"/>
    </row>
    <row r="75" spans="2:10" ht="15" x14ac:dyDescent="0.3">
      <c r="B75" s="205" t="str">
        <f>+B55</f>
        <v/>
      </c>
      <c r="C75" s="205"/>
      <c r="D75" s="205"/>
      <c r="E75" s="211"/>
      <c r="F75" s="172">
        <f>IF(I55&gt;0,I55,0)</f>
        <v>0</v>
      </c>
      <c r="G75" s="154"/>
      <c r="H75" s="178">
        <f>IF(F75&gt;0,F75/(U168*F20),0)</f>
        <v>0</v>
      </c>
      <c r="I75" s="178">
        <f t="shared" si="2"/>
        <v>0</v>
      </c>
      <c r="J75" s="154"/>
    </row>
    <row r="76" spans="2:10" ht="15" x14ac:dyDescent="0.3">
      <c r="B76" s="205" t="str">
        <f>+B56</f>
        <v/>
      </c>
      <c r="C76" s="205"/>
      <c r="D76" s="205"/>
      <c r="E76" s="211"/>
      <c r="F76" s="172">
        <f>I56</f>
        <v>0</v>
      </c>
      <c r="G76" s="154"/>
      <c r="H76" s="178">
        <f>F76/(U168*F20)</f>
        <v>0</v>
      </c>
      <c r="I76" s="178">
        <f t="shared" si="2"/>
        <v>0</v>
      </c>
      <c r="J76" s="154"/>
    </row>
    <row r="77" spans="2:10" ht="15" x14ac:dyDescent="0.3">
      <c r="B77" s="205" t="str">
        <f>+B57</f>
        <v/>
      </c>
      <c r="C77" s="205"/>
      <c r="D77" s="205"/>
      <c r="E77" s="211"/>
      <c r="F77" s="172">
        <f>I57</f>
        <v>0</v>
      </c>
      <c r="G77" s="154"/>
      <c r="H77" s="178">
        <f>F77/(U168*F20)</f>
        <v>0</v>
      </c>
      <c r="I77" s="178">
        <f t="shared" si="2"/>
        <v>0</v>
      </c>
      <c r="J77" s="154"/>
    </row>
    <row r="78" spans="2:10" ht="15" x14ac:dyDescent="0.3">
      <c r="B78" s="205" t="str">
        <f>+B58</f>
        <v/>
      </c>
      <c r="C78" s="205"/>
      <c r="D78" s="205"/>
      <c r="E78" s="211"/>
      <c r="F78" s="172">
        <f>I58</f>
        <v>0</v>
      </c>
      <c r="G78" s="154"/>
      <c r="H78" s="178">
        <f>F78/(U168*F20)</f>
        <v>0</v>
      </c>
      <c r="I78" s="178">
        <f t="shared" si="2"/>
        <v>0</v>
      </c>
      <c r="J78" s="154"/>
    </row>
    <row r="79" spans="2:10" ht="15" x14ac:dyDescent="0.3">
      <c r="B79" s="205" t="str">
        <f>+B59</f>
        <v/>
      </c>
      <c r="C79" s="205"/>
      <c r="D79" s="205"/>
      <c r="E79" s="211"/>
      <c r="F79" s="172">
        <f>I59</f>
        <v>0</v>
      </c>
      <c r="G79" s="154"/>
      <c r="H79" s="178">
        <f>F79/(U168*F20)</f>
        <v>0</v>
      </c>
      <c r="I79" s="178">
        <f t="shared" si="2"/>
        <v>0</v>
      </c>
      <c r="J79" s="154"/>
    </row>
    <row r="80" spans="2:10" ht="15" x14ac:dyDescent="0.3">
      <c r="B80" s="158" t="s">
        <v>205</v>
      </c>
      <c r="C80" s="158"/>
      <c r="D80" s="158"/>
      <c r="E80" s="158"/>
      <c r="F80" s="174">
        <f>SUM(F74:F79)</f>
        <v>93127.169507616127</v>
      </c>
      <c r="G80" s="158"/>
      <c r="H80" s="180">
        <f>F80/(U168*F20)</f>
        <v>145.51120235565017</v>
      </c>
      <c r="I80" s="181">
        <f t="shared" si="2"/>
        <v>940.67847987491041</v>
      </c>
      <c r="J80" s="154"/>
    </row>
    <row r="81" spans="2:10" ht="15" x14ac:dyDescent="0.3">
      <c r="B81" s="154"/>
      <c r="C81" s="154"/>
      <c r="D81" s="154"/>
      <c r="E81" s="154"/>
      <c r="F81" s="154"/>
      <c r="G81" s="154"/>
      <c r="H81" s="154"/>
      <c r="I81" s="154"/>
      <c r="J81" s="154"/>
    </row>
    <row r="82" spans="2:10" ht="15" x14ac:dyDescent="0.3">
      <c r="B82" s="154"/>
      <c r="C82" s="154"/>
      <c r="D82" s="154"/>
      <c r="E82" s="154"/>
      <c r="F82" s="154"/>
      <c r="G82" s="154"/>
      <c r="H82" s="154"/>
      <c r="I82" s="154"/>
      <c r="J82" s="154"/>
    </row>
    <row r="83" spans="2:10" ht="13.5" thickBot="1" x14ac:dyDescent="0.25">
      <c r="B83" s="193" t="s">
        <v>112</v>
      </c>
      <c r="C83" s="193"/>
      <c r="D83" s="193"/>
      <c r="E83" s="193"/>
      <c r="F83" s="193"/>
      <c r="G83" s="193"/>
      <c r="H83" s="193"/>
      <c r="I83" s="193"/>
      <c r="J83" s="193"/>
    </row>
    <row r="84" spans="2:10" ht="15.75" thickBot="1" x14ac:dyDescent="0.35">
      <c r="B84" s="154"/>
      <c r="C84" s="154"/>
      <c r="D84" s="154"/>
      <c r="E84" s="182">
        <f>+sold</f>
        <v>99</v>
      </c>
      <c r="F84" s="183" t="s">
        <v>64</v>
      </c>
      <c r="G84" s="184"/>
      <c r="H84" s="154"/>
      <c r="I84" s="154"/>
      <c r="J84" s="154"/>
    </row>
    <row r="85" spans="2:10" ht="15" x14ac:dyDescent="0.3">
      <c r="B85" s="154"/>
      <c r="C85" s="154"/>
      <c r="D85" s="154"/>
      <c r="E85" s="154"/>
      <c r="F85" s="154"/>
      <c r="G85" s="154"/>
      <c r="H85" s="154"/>
      <c r="I85" s="154"/>
      <c r="J85" s="154"/>
    </row>
    <row r="86" spans="2:10" ht="15" x14ac:dyDescent="0.3">
      <c r="B86" s="155" t="s">
        <v>108</v>
      </c>
      <c r="C86" s="155"/>
      <c r="D86" s="155" t="s">
        <v>213</v>
      </c>
      <c r="E86" s="154"/>
      <c r="F86" s="155" t="s">
        <v>107</v>
      </c>
      <c r="G86" s="155"/>
      <c r="H86" s="155" t="s">
        <v>211</v>
      </c>
      <c r="I86" s="155"/>
      <c r="J86" s="154"/>
    </row>
    <row r="87" spans="2:10" ht="15" x14ac:dyDescent="0.3">
      <c r="B87" s="154" t="s">
        <v>73</v>
      </c>
      <c r="C87" s="154"/>
      <c r="D87" s="154" t="s">
        <v>15</v>
      </c>
      <c r="E87" s="154"/>
      <c r="F87" s="170" t="s">
        <v>14</v>
      </c>
      <c r="G87" s="170"/>
      <c r="H87" s="170"/>
      <c r="I87" s="154"/>
      <c r="J87" s="154"/>
    </row>
    <row r="88" spans="2:10" ht="15" x14ac:dyDescent="0.3">
      <c r="B88" s="154">
        <f>+U168</f>
        <v>6.4000000000000012</v>
      </c>
      <c r="C88" s="154"/>
      <c r="D88" s="154">
        <f>+B88*sold</f>
        <v>633.60000000000014</v>
      </c>
      <c r="E88" s="154"/>
      <c r="F88" s="157">
        <f>+W168</f>
        <v>145</v>
      </c>
      <c r="G88" s="154"/>
      <c r="H88" s="172">
        <f>+F88*D88</f>
        <v>91872.000000000015</v>
      </c>
      <c r="I88" s="154"/>
      <c r="J88" s="154"/>
    </row>
    <row r="89" spans="2:10" ht="15" x14ac:dyDescent="0.3">
      <c r="B89" s="185"/>
      <c r="C89" s="185"/>
      <c r="D89" s="185"/>
      <c r="E89" s="185"/>
      <c r="F89" s="185"/>
      <c r="G89" s="185"/>
      <c r="H89" s="185"/>
      <c r="I89" s="185"/>
      <c r="J89" s="185"/>
    </row>
    <row r="90" spans="2:10" ht="15" x14ac:dyDescent="0.3">
      <c r="B90" s="154"/>
      <c r="C90" s="154"/>
      <c r="D90" s="154"/>
      <c r="E90" s="154"/>
      <c r="F90" s="154"/>
      <c r="G90" s="154"/>
      <c r="H90" s="154"/>
      <c r="I90" s="154"/>
      <c r="J90" s="154"/>
    </row>
    <row r="91" spans="2:10" x14ac:dyDescent="0.2">
      <c r="B91" s="206" t="s">
        <v>234</v>
      </c>
      <c r="C91" s="206"/>
      <c r="D91" s="206"/>
      <c r="E91" s="206"/>
      <c r="F91" s="206"/>
      <c r="G91" s="206"/>
      <c r="H91" s="206"/>
      <c r="I91" s="206"/>
      <c r="J91" s="206"/>
    </row>
    <row r="92" spans="2:10" ht="15.75" thickBot="1" x14ac:dyDescent="0.35">
      <c r="B92" s="154"/>
      <c r="C92" s="154"/>
      <c r="D92" s="185"/>
      <c r="E92" s="154"/>
      <c r="F92" s="154"/>
      <c r="G92" s="154"/>
      <c r="H92" s="154"/>
      <c r="I92" s="154"/>
      <c r="J92" s="185" t="s">
        <v>0</v>
      </c>
    </row>
    <row r="93" spans="2:10" ht="15.75" thickTop="1" x14ac:dyDescent="0.3">
      <c r="B93" s="207" t="s">
        <v>160</v>
      </c>
      <c r="C93" s="208"/>
      <c r="D93" s="208"/>
      <c r="E93" s="208"/>
      <c r="F93" s="208"/>
      <c r="G93" s="208"/>
      <c r="H93" s="208"/>
      <c r="I93" s="208"/>
      <c r="J93" s="209"/>
    </row>
    <row r="94" spans="2:10" ht="15" x14ac:dyDescent="0.3">
      <c r="B94" s="214" t="s">
        <v>193</v>
      </c>
      <c r="C94" s="215"/>
      <c r="D94" s="215"/>
      <c r="E94" s="215"/>
      <c r="F94" s="215"/>
      <c r="G94" s="215"/>
      <c r="H94" s="215"/>
      <c r="I94" s="215"/>
      <c r="J94" s="216"/>
    </row>
    <row r="95" spans="2:10" ht="15.75" thickBot="1" x14ac:dyDescent="0.35">
      <c r="B95" s="217" t="s">
        <v>192</v>
      </c>
      <c r="C95" s="218"/>
      <c r="D95" s="218"/>
      <c r="E95" s="218"/>
      <c r="F95" s="218"/>
      <c r="G95" s="218"/>
      <c r="H95" s="218"/>
      <c r="I95" s="218"/>
      <c r="J95" s="219"/>
    </row>
    <row r="96" spans="2:10" ht="15.75" thickTop="1" x14ac:dyDescent="0.3">
      <c r="B96" s="154"/>
      <c r="C96" s="154"/>
      <c r="D96" s="154"/>
      <c r="E96" s="154"/>
      <c r="F96" s="154"/>
      <c r="G96" s="154"/>
      <c r="H96" s="154"/>
      <c r="I96" s="154"/>
      <c r="J96" s="154"/>
    </row>
    <row r="97" spans="2:10" ht="15" x14ac:dyDescent="0.3">
      <c r="B97" s="154"/>
      <c r="C97" s="154"/>
      <c r="D97" s="154"/>
      <c r="E97" s="186" t="s">
        <v>170</v>
      </c>
      <c r="F97" s="154"/>
      <c r="G97" s="186" t="s">
        <v>110</v>
      </c>
      <c r="H97" s="154"/>
      <c r="I97" s="186" t="s">
        <v>38</v>
      </c>
      <c r="J97" s="154"/>
    </row>
    <row r="98" spans="2:10" ht="15" x14ac:dyDescent="0.3">
      <c r="B98" s="154" t="s">
        <v>228</v>
      </c>
      <c r="C98" s="154"/>
      <c r="D98" s="172">
        <f>U207:U207+1.5*W206:W206</f>
        <v>7773.1777071642446</v>
      </c>
      <c r="E98" s="172">
        <f>U207:U207+W206:W206</f>
        <v>5073.0619689041259</v>
      </c>
      <c r="F98" s="172">
        <f>U207:U207+0.5*W206:W206</f>
        <v>2372.9462306440068</v>
      </c>
      <c r="G98" s="172">
        <f>U207:U207</f>
        <v>-327.16950761611224</v>
      </c>
      <c r="H98" s="172">
        <f>U207:U207-0.5*W207:W207</f>
        <v>-3027.2852458762386</v>
      </c>
      <c r="I98" s="172">
        <f>U207:U207-W207:W207</f>
        <v>-5727.400984136365</v>
      </c>
      <c r="J98" s="172">
        <f>U207:U207-1.5*W207:W207</f>
        <v>-8427.5167223964909</v>
      </c>
    </row>
    <row r="99" spans="2:10" ht="15" x14ac:dyDescent="0.3">
      <c r="B99" s="154" t="s">
        <v>92</v>
      </c>
      <c r="C99" s="154"/>
      <c r="D99" s="187">
        <f>IF(V210&lt;1,IF(U210,Z210,1-Z210),IF(U210,Z211,1-Z211))</f>
        <v>6.6807279375848461E-2</v>
      </c>
      <c r="E99" s="187">
        <f>IF(AB210&lt;1,IF(AA210,AF210,1-AF210),IF(AA210,AF211,1-AF211))</f>
        <v>0.15865531316113046</v>
      </c>
      <c r="F99" s="187">
        <f>IF(AH210&lt;1,IF(AG210,AL210,1-AL210),IF(AG210,AL211,1-AL211))</f>
        <v>0.30853755861792781</v>
      </c>
      <c r="G99" s="187">
        <f>IF(V212&lt;1,IF(U212,Z212,1-Z212),IF(U212,Z213,1-Z213))</f>
        <v>0.50000000022538427</v>
      </c>
      <c r="H99" s="187">
        <f>IF(AB212&lt;1,IF(AA212,AF212,1-AF212),IF(AA212,AF213,1-AF213))</f>
        <v>0.69146244138207236</v>
      </c>
      <c r="I99" s="187">
        <f>IF(AH212&lt;1,IF(AG212,AL212,1-AL212),IF(AG212,AL213,1-AL213))</f>
        <v>0.84134468683886943</v>
      </c>
      <c r="J99" s="187">
        <f>IF(V214&lt;1,IF(U214,Z214,1-Z214),IF(U214,Z215,1-Z215))</f>
        <v>0.93319272062415137</v>
      </c>
    </row>
    <row r="100" spans="2:10" ht="15" x14ac:dyDescent="0.3">
      <c r="B100" s="154" t="s">
        <v>92</v>
      </c>
      <c r="C100" s="154"/>
      <c r="D100" s="187">
        <f>IF(V210&lt;1,IF(U210,1-Z210,Z210),IF(U210,1-Z211,Z211))</f>
        <v>0.93319272062415148</v>
      </c>
      <c r="E100" s="187">
        <f>IF(AB210&lt;1,IF(AA210,1-AF210,AF210),IF(AA210,1-AF211,AF211))</f>
        <v>0.84134468683886954</v>
      </c>
      <c r="F100" s="187">
        <f>IF(AH210&lt;1,IF(AG210,1-AL210,AL210),IF(AG210,1-AL211,AL211))</f>
        <v>0.69146244138207225</v>
      </c>
      <c r="G100" s="187">
        <f>IF(V212&lt;1,IF(U212,1-Z212,Z212),IF(U212,1-Z213,Z213))</f>
        <v>0.49999999977461573</v>
      </c>
      <c r="H100" s="187">
        <f>IF(AB212&lt;1,IF(AA212,1-AF212,AF212),IF(AA212,1-AF213,AF213))</f>
        <v>0.30853755861792764</v>
      </c>
      <c r="I100" s="187">
        <f>IF(AH212&lt;1,IF(AG212,1-AL212,AL212),IF(AG212,1-AL213,AL213))</f>
        <v>0.15865531316113052</v>
      </c>
      <c r="J100" s="187">
        <f>IF(V214&lt;1,IF(U214,1-Z214,Z214),IF(U214,1-Z215,Z215))</f>
        <v>6.6807279375848669E-2</v>
      </c>
    </row>
    <row r="101" spans="2:10" ht="15" x14ac:dyDescent="0.3">
      <c r="B101" s="154"/>
      <c r="C101" s="154"/>
      <c r="D101" s="154"/>
      <c r="E101" s="154"/>
      <c r="F101" s="154"/>
      <c r="G101" s="154"/>
      <c r="H101" s="154"/>
      <c r="I101" s="154"/>
      <c r="J101" s="154"/>
    </row>
    <row r="102" spans="2:10" ht="15" x14ac:dyDescent="0.3">
      <c r="B102" s="158" t="s">
        <v>19</v>
      </c>
      <c r="C102" s="154"/>
      <c r="D102" s="154"/>
      <c r="E102" s="188">
        <f>IF(AB214&lt;1,IF(AA214,AF214,1-AF214),IF(AA214,AF215,1-AF215))</f>
        <v>0.47584504979702297</v>
      </c>
      <c r="F102" s="210" t="s">
        <v>307</v>
      </c>
      <c r="G102" s="211"/>
      <c r="H102" s="211"/>
      <c r="I102" s="211"/>
      <c r="J102" s="161">
        <f>+U155*H29*H30-F80</f>
        <v>-327.16950761612679</v>
      </c>
    </row>
    <row r="103" spans="2:10" ht="15" x14ac:dyDescent="0.3">
      <c r="B103" s="154"/>
      <c r="C103" s="154"/>
      <c r="D103" s="154"/>
      <c r="E103" s="154"/>
      <c r="F103" s="210" t="s">
        <v>308</v>
      </c>
      <c r="G103" s="210"/>
      <c r="H103" s="210"/>
      <c r="I103" s="154"/>
      <c r="J103" s="161">
        <f>+J102/placed</f>
        <v>-3.2716950761612678</v>
      </c>
    </row>
    <row r="104" spans="2:10" ht="15" x14ac:dyDescent="0.3">
      <c r="B104" s="154"/>
      <c r="C104" s="154"/>
      <c r="D104" s="154"/>
      <c r="E104" s="154"/>
      <c r="F104" s="154"/>
      <c r="G104" s="154"/>
      <c r="H104" s="154"/>
      <c r="I104" s="154"/>
      <c r="J104" s="154"/>
    </row>
    <row r="105" spans="2:10" ht="15" x14ac:dyDescent="0.3">
      <c r="B105" s="154" t="s">
        <v>179</v>
      </c>
      <c r="C105" s="154"/>
      <c r="D105" s="154"/>
      <c r="E105" s="154"/>
      <c r="F105" s="154"/>
      <c r="G105" s="154"/>
      <c r="H105" s="154"/>
      <c r="I105" s="154"/>
      <c r="J105" s="154"/>
    </row>
    <row r="106" spans="2:10" ht="15" x14ac:dyDescent="0.3">
      <c r="B106" s="154" t="s">
        <v>154</v>
      </c>
      <c r="C106" s="154"/>
      <c r="D106" s="154"/>
      <c r="E106" s="154"/>
      <c r="F106" s="154"/>
      <c r="G106" s="154"/>
      <c r="H106" s="154"/>
      <c r="I106" s="154"/>
      <c r="J106" s="154"/>
    </row>
    <row r="107" spans="2:10" ht="15" x14ac:dyDescent="0.3">
      <c r="B107" s="154"/>
      <c r="C107" s="154"/>
      <c r="D107" s="154"/>
      <c r="E107" s="154"/>
      <c r="F107" s="154"/>
      <c r="G107" s="154"/>
      <c r="H107" s="154"/>
      <c r="I107" s="154"/>
      <c r="J107" s="154"/>
    </row>
    <row r="108" spans="2:10" ht="15" x14ac:dyDescent="0.3">
      <c r="B108" s="154"/>
      <c r="C108" s="154"/>
      <c r="D108" s="154"/>
      <c r="E108" s="154"/>
      <c r="F108" s="154"/>
      <c r="G108" s="154"/>
      <c r="H108" s="154"/>
      <c r="I108" s="154"/>
      <c r="J108" s="154"/>
    </row>
    <row r="109" spans="2:10" ht="15" x14ac:dyDescent="0.3">
      <c r="B109" s="154"/>
      <c r="C109" s="154"/>
      <c r="D109" s="154"/>
      <c r="E109" s="154"/>
      <c r="F109" s="154"/>
      <c r="G109" s="154"/>
      <c r="H109" s="154"/>
      <c r="I109" s="154"/>
      <c r="J109" s="154"/>
    </row>
    <row r="110" spans="2:10" ht="15" x14ac:dyDescent="0.3">
      <c r="B110" s="154"/>
      <c r="C110" s="154"/>
      <c r="D110" s="154"/>
      <c r="E110" s="154"/>
      <c r="F110" s="154"/>
      <c r="G110" s="154"/>
      <c r="H110" s="154"/>
      <c r="I110" s="154"/>
      <c r="J110" s="154"/>
    </row>
    <row r="111" spans="2:10" ht="15" x14ac:dyDescent="0.3">
      <c r="B111" s="154"/>
      <c r="C111" s="154"/>
      <c r="D111" s="154"/>
      <c r="E111" s="154"/>
      <c r="F111" s="154"/>
      <c r="G111" s="154"/>
      <c r="H111" s="154"/>
      <c r="I111" s="154"/>
      <c r="J111" s="154"/>
    </row>
    <row r="112" spans="2:10" ht="15" x14ac:dyDescent="0.3">
      <c r="B112" s="154"/>
      <c r="C112" s="154"/>
      <c r="D112" s="154"/>
      <c r="E112" s="154"/>
      <c r="F112" s="154"/>
      <c r="G112" s="154"/>
      <c r="H112" s="154"/>
      <c r="I112" s="154"/>
      <c r="J112" s="154"/>
    </row>
    <row r="113" spans="2:11" ht="15" x14ac:dyDescent="0.3">
      <c r="B113" s="154"/>
      <c r="C113" s="154"/>
      <c r="D113" s="154"/>
      <c r="E113" s="154"/>
      <c r="F113" s="154"/>
      <c r="G113" s="154"/>
      <c r="H113" s="154"/>
      <c r="I113" s="154"/>
      <c r="J113" s="154"/>
    </row>
    <row r="114" spans="2:11" ht="15" x14ac:dyDescent="0.3">
      <c r="B114" s="154"/>
      <c r="C114" s="154"/>
      <c r="D114" s="154"/>
      <c r="E114" s="154"/>
      <c r="F114" s="154"/>
      <c r="G114" s="154"/>
      <c r="H114" s="154"/>
      <c r="I114" s="154"/>
      <c r="J114" s="154"/>
      <c r="K114" s="6" t="s">
        <v>0</v>
      </c>
    </row>
    <row r="115" spans="2:11" ht="15" x14ac:dyDescent="0.3">
      <c r="B115" s="154"/>
      <c r="C115" s="154"/>
      <c r="D115" s="154"/>
      <c r="E115" s="154"/>
      <c r="F115" s="154"/>
      <c r="G115" s="154"/>
      <c r="H115" s="154"/>
      <c r="I115" s="154"/>
      <c r="J115" s="154"/>
    </row>
    <row r="116" spans="2:11" ht="15" x14ac:dyDescent="0.3">
      <c r="B116" s="154"/>
      <c r="C116" s="154"/>
      <c r="D116" s="154"/>
      <c r="E116" s="154"/>
      <c r="F116" s="154"/>
      <c r="G116" s="154"/>
      <c r="H116" s="154"/>
      <c r="I116" s="154"/>
      <c r="J116" s="154"/>
    </row>
    <row r="117" spans="2:11" ht="15" x14ac:dyDescent="0.3">
      <c r="B117" s="154"/>
      <c r="C117" s="154"/>
      <c r="D117" s="154"/>
      <c r="E117" s="154"/>
      <c r="F117" s="154"/>
      <c r="G117" s="154"/>
      <c r="H117" s="154"/>
      <c r="I117" s="154"/>
      <c r="J117" s="154"/>
    </row>
    <row r="118" spans="2:11" ht="15" x14ac:dyDescent="0.3">
      <c r="B118" s="154"/>
      <c r="C118" s="154"/>
      <c r="D118" s="154"/>
      <c r="E118" s="154"/>
      <c r="F118" s="154"/>
      <c r="G118" s="154"/>
      <c r="H118" s="154"/>
      <c r="I118" s="154"/>
      <c r="J118" s="154"/>
    </row>
    <row r="119" spans="2:11" ht="15" x14ac:dyDescent="0.3">
      <c r="B119" s="154"/>
      <c r="C119" s="154"/>
      <c r="D119" s="154"/>
      <c r="E119" s="154"/>
      <c r="F119" s="154"/>
      <c r="G119" s="154"/>
      <c r="H119" s="154"/>
      <c r="I119" s="154"/>
      <c r="J119" s="154"/>
    </row>
    <row r="120" spans="2:11" ht="15" x14ac:dyDescent="0.3">
      <c r="B120" s="154"/>
      <c r="C120" s="154"/>
      <c r="D120" s="154"/>
      <c r="E120" s="154"/>
      <c r="F120" s="154"/>
      <c r="G120" s="154"/>
      <c r="H120" s="154"/>
      <c r="I120" s="154"/>
      <c r="J120" s="154"/>
    </row>
    <row r="121" spans="2:11" ht="15" x14ac:dyDescent="0.3">
      <c r="B121" s="154"/>
      <c r="C121" s="154"/>
      <c r="D121" s="154"/>
      <c r="E121" s="154"/>
      <c r="F121" s="154"/>
      <c r="G121" s="154"/>
      <c r="H121" s="154"/>
      <c r="I121" s="154"/>
      <c r="J121" s="154"/>
    </row>
    <row r="136" spans="11:11" x14ac:dyDescent="0.2">
      <c r="K136" s="6" t="s">
        <v>0</v>
      </c>
    </row>
    <row r="144" spans="11:11" x14ac:dyDescent="0.2">
      <c r="K144" s="6" t="s">
        <v>0</v>
      </c>
    </row>
    <row r="153" spans="16:48" x14ac:dyDescent="0.2">
      <c r="T153" s="6" t="s">
        <v>76</v>
      </c>
      <c r="U153" s="6" t="s">
        <v>11</v>
      </c>
      <c r="Y153" s="6" t="s">
        <v>76</v>
      </c>
      <c r="AA153" s="6" t="s">
        <v>4</v>
      </c>
      <c r="AV153" s="6">
        <v>1</v>
      </c>
    </row>
    <row r="154" spans="16:48" x14ac:dyDescent="0.2">
      <c r="T154" s="6" t="s">
        <v>76</v>
      </c>
      <c r="U154" s="6" t="s">
        <v>1</v>
      </c>
      <c r="Y154" s="6" t="s">
        <v>76</v>
      </c>
    </row>
    <row r="155" spans="16:48" x14ac:dyDescent="0.2">
      <c r="T155" s="6" t="s">
        <v>76</v>
      </c>
      <c r="U155" s="6">
        <f>+F20</f>
        <v>100</v>
      </c>
      <c r="V155" s="6" t="s">
        <v>127</v>
      </c>
      <c r="Y155" s="6" t="s">
        <v>76</v>
      </c>
    </row>
    <row r="156" spans="16:48" x14ac:dyDescent="0.2">
      <c r="T156" s="6" t="s">
        <v>76</v>
      </c>
      <c r="U156" s="6">
        <f>+F29</f>
        <v>7</v>
      </c>
      <c r="V156" s="6" t="s">
        <v>18</v>
      </c>
      <c r="W156" s="6">
        <f>+F30</f>
        <v>155</v>
      </c>
      <c r="X156" s="6" t="s">
        <v>17</v>
      </c>
      <c r="Y156" s="6" t="s">
        <v>76</v>
      </c>
    </row>
    <row r="157" spans="16:48" x14ac:dyDescent="0.2">
      <c r="P157" s="6" t="s">
        <v>70</v>
      </c>
      <c r="T157" s="6" t="s">
        <v>76</v>
      </c>
      <c r="U157" s="6">
        <f>+G29</f>
        <v>6.7</v>
      </c>
      <c r="V157" s="6" t="s">
        <v>35</v>
      </c>
      <c r="W157" s="6">
        <f>+G30</f>
        <v>150</v>
      </c>
      <c r="X157" s="6" t="s">
        <v>34</v>
      </c>
      <c r="Y157" s="6" t="s">
        <v>76</v>
      </c>
    </row>
    <row r="158" spans="16:48" x14ac:dyDescent="0.2">
      <c r="T158" s="6" t="s">
        <v>76</v>
      </c>
      <c r="U158" s="6">
        <f>+H29</f>
        <v>6.4</v>
      </c>
      <c r="V158" s="6" t="s">
        <v>28</v>
      </c>
      <c r="W158" s="6">
        <f>H30</f>
        <v>145</v>
      </c>
      <c r="X158" s="6" t="s">
        <v>27</v>
      </c>
      <c r="Y158" s="6" t="s">
        <v>76</v>
      </c>
    </row>
    <row r="159" spans="16:48" x14ac:dyDescent="0.2">
      <c r="T159" s="6" t="s">
        <v>76</v>
      </c>
      <c r="U159" s="6">
        <f>+I29</f>
        <v>6.1</v>
      </c>
      <c r="V159" s="6" t="s">
        <v>37</v>
      </c>
      <c r="W159" s="6">
        <f>I30</f>
        <v>140</v>
      </c>
      <c r="X159" s="6" t="s">
        <v>36</v>
      </c>
      <c r="Y159" s="6" t="s">
        <v>76</v>
      </c>
    </row>
    <row r="160" spans="16:48" x14ac:dyDescent="0.2">
      <c r="T160" s="6" t="s">
        <v>76</v>
      </c>
      <c r="U160" s="6">
        <f>+J29</f>
        <v>5.8</v>
      </c>
      <c r="V160" s="6" t="s">
        <v>59</v>
      </c>
      <c r="W160" s="6">
        <f>J30</f>
        <v>135</v>
      </c>
      <c r="X160" s="6" t="s">
        <v>58</v>
      </c>
      <c r="Y160" s="6" t="s">
        <v>76</v>
      </c>
    </row>
    <row r="161" spans="20:25" x14ac:dyDescent="0.2">
      <c r="T161" s="6" t="s">
        <v>76</v>
      </c>
      <c r="U161" s="6">
        <v>0</v>
      </c>
      <c r="V161" s="6" t="s">
        <v>25</v>
      </c>
      <c r="Y161" s="6" t="s">
        <v>76</v>
      </c>
    </row>
    <row r="162" spans="20:25" x14ac:dyDescent="0.2">
      <c r="T162" s="6" t="s">
        <v>76</v>
      </c>
      <c r="U162" s="6">
        <f>+F80</f>
        <v>93127.169507616127</v>
      </c>
      <c r="V162" s="6" t="s">
        <v>49</v>
      </c>
      <c r="Y162" s="6" t="s">
        <v>76</v>
      </c>
    </row>
    <row r="163" spans="20:25" x14ac:dyDescent="0.2">
      <c r="T163" s="6" t="s">
        <v>76</v>
      </c>
      <c r="U163" s="6" t="s">
        <v>76</v>
      </c>
      <c r="Y163" s="6" t="s">
        <v>76</v>
      </c>
    </row>
    <row r="164" spans="20:25" x14ac:dyDescent="0.2">
      <c r="T164" s="6" t="s">
        <v>77</v>
      </c>
      <c r="U164" s="6" t="s">
        <v>1</v>
      </c>
      <c r="Y164" s="6" t="s">
        <v>77</v>
      </c>
    </row>
    <row r="166" spans="20:25" x14ac:dyDescent="0.2">
      <c r="T166" s="6" t="s">
        <v>77</v>
      </c>
      <c r="V166" s="6" t="s">
        <v>87</v>
      </c>
      <c r="Y166" s="6" t="s">
        <v>77</v>
      </c>
    </row>
    <row r="167" spans="20:25" x14ac:dyDescent="0.2">
      <c r="T167" s="6" t="s">
        <v>77</v>
      </c>
      <c r="U167" s="6" t="s">
        <v>1</v>
      </c>
      <c r="Y167" s="6" t="s">
        <v>77</v>
      </c>
    </row>
    <row r="168" spans="20:25" x14ac:dyDescent="0.2">
      <c r="T168" s="6" t="s">
        <v>77</v>
      </c>
      <c r="U168" s="6">
        <f>0.04*U156+0.25*U157+0.42*U158+0.25*U159+0.04*U160</f>
        <v>6.4000000000000012</v>
      </c>
      <c r="V168" s="6" t="s">
        <v>23</v>
      </c>
      <c r="W168" s="6">
        <f>0.04*W156+0.25*W157+0.42*W158+0.25*W159+0.04*W160</f>
        <v>145</v>
      </c>
      <c r="X168" s="6" t="s">
        <v>22</v>
      </c>
      <c r="Y168" s="6" t="s">
        <v>77</v>
      </c>
    </row>
    <row r="169" spans="20:25" x14ac:dyDescent="0.2">
      <c r="T169" s="6" t="s">
        <v>77</v>
      </c>
      <c r="U169" s="6">
        <f>0.25*(U156-U168)+0.5*(U157-U168)</f>
        <v>0.29999999999999916</v>
      </c>
      <c r="V169" s="6" t="s">
        <v>47</v>
      </c>
      <c r="W169" s="6">
        <f>0.25*(W156-W168)+0.5*(W157-W168)</f>
        <v>5</v>
      </c>
      <c r="X169" s="6" t="s">
        <v>39</v>
      </c>
      <c r="Y169" s="6" t="s">
        <v>77</v>
      </c>
    </row>
    <row r="170" spans="20:25" x14ac:dyDescent="0.2">
      <c r="T170" s="6" t="s">
        <v>77</v>
      </c>
      <c r="U170" s="6">
        <f>0.25*(U168-U160)+0.5*(U168-U159)</f>
        <v>0.30000000000000115</v>
      </c>
      <c r="V170" s="6" t="s">
        <v>48</v>
      </c>
      <c r="W170" s="6">
        <f>0.25*(W168-W160)+0.5*(W168-W159)</f>
        <v>5</v>
      </c>
      <c r="X170" s="6" t="s">
        <v>40</v>
      </c>
      <c r="Y170" s="6" t="s">
        <v>77</v>
      </c>
    </row>
    <row r="180" spans="19:25" x14ac:dyDescent="0.2">
      <c r="T180" s="6" t="s">
        <v>77</v>
      </c>
      <c r="U180" s="6">
        <f>U169^2</f>
        <v>8.9999999999999497E-2</v>
      </c>
      <c r="V180" s="6" t="s">
        <v>56</v>
      </c>
      <c r="W180" s="6">
        <f>W169^2</f>
        <v>25</v>
      </c>
      <c r="X180" s="6" t="s">
        <v>50</v>
      </c>
      <c r="Y180" s="6" t="s">
        <v>77</v>
      </c>
    </row>
    <row r="181" spans="19:25" x14ac:dyDescent="0.2">
      <c r="T181" s="6" t="s">
        <v>77</v>
      </c>
      <c r="U181" s="6">
        <f>U170^2</f>
        <v>9.0000000000000691E-2</v>
      </c>
      <c r="V181" s="6" t="s">
        <v>57</v>
      </c>
      <c r="W181" s="6">
        <f>W170^2</f>
        <v>25</v>
      </c>
      <c r="X181" s="6" t="s">
        <v>51</v>
      </c>
      <c r="Y181" s="6" t="s">
        <v>77</v>
      </c>
    </row>
    <row r="182" spans="19:25" x14ac:dyDescent="0.2">
      <c r="T182" s="6" t="s">
        <v>77</v>
      </c>
      <c r="U182" s="6" t="s">
        <v>1</v>
      </c>
      <c r="Y182" s="6" t="s">
        <v>77</v>
      </c>
    </row>
    <row r="183" spans="19:25" x14ac:dyDescent="0.2">
      <c r="S183" s="6" t="s">
        <v>0</v>
      </c>
      <c r="T183" s="6" t="s">
        <v>77</v>
      </c>
      <c r="U183" s="6">
        <f>(U168^2*W180)+(W168-U161)^2*U180</f>
        <v>2916.24999999999</v>
      </c>
      <c r="V183" s="6" t="s">
        <v>52</v>
      </c>
      <c r="W183" s="6">
        <f>(U168^2*W181)+(W168-U161)^2*U181</f>
        <v>2916.250000000015</v>
      </c>
      <c r="X183" s="6" t="s">
        <v>55</v>
      </c>
      <c r="Y183" s="6" t="s">
        <v>77</v>
      </c>
    </row>
    <row r="184" spans="19:25" x14ac:dyDescent="0.2">
      <c r="T184" s="6" t="s">
        <v>77</v>
      </c>
      <c r="U184" s="6">
        <f>(U168^2*W180)+(W168-U161)^2*U181</f>
        <v>2916.250000000015</v>
      </c>
      <c r="V184" s="6" t="s">
        <v>53</v>
      </c>
      <c r="W184" s="6">
        <f>U168^2*W181+(W168-U161)^2*U180</f>
        <v>2916.24999999999</v>
      </c>
      <c r="X184" s="6" t="s">
        <v>54</v>
      </c>
      <c r="Y184" s="6" t="s">
        <v>77</v>
      </c>
    </row>
    <row r="185" spans="19:25" x14ac:dyDescent="0.2">
      <c r="T185" s="6" t="s">
        <v>77</v>
      </c>
      <c r="U185" s="18">
        <f>SQRT(U183)</f>
        <v>54.002314765202335</v>
      </c>
      <c r="V185" s="18" t="s">
        <v>41</v>
      </c>
      <c r="W185" s="18">
        <f>SQRT(W183)</f>
        <v>54.002314765202563</v>
      </c>
      <c r="X185" s="6" t="s">
        <v>44</v>
      </c>
      <c r="Y185" s="6" t="s">
        <v>77</v>
      </c>
    </row>
    <row r="187" spans="19:25" x14ac:dyDescent="0.2">
      <c r="T187" s="6" t="s">
        <v>77</v>
      </c>
      <c r="U187" s="18">
        <f>SQRT(U184)</f>
        <v>54.002314765202563</v>
      </c>
      <c r="V187" s="18" t="s">
        <v>42</v>
      </c>
      <c r="W187" s="18">
        <f>SQRT(W184)</f>
        <v>54.002314765202335</v>
      </c>
      <c r="X187" s="6" t="s">
        <v>43</v>
      </c>
      <c r="Y187" s="6" t="s">
        <v>77</v>
      </c>
    </row>
    <row r="188" spans="19:25" x14ac:dyDescent="0.2">
      <c r="T188" s="6" t="s">
        <v>77</v>
      </c>
      <c r="U188" s="18">
        <f>0.66*U185+0.17*U187+0.17*W187</f>
        <v>54.002314765202378</v>
      </c>
      <c r="V188" s="18" t="s">
        <v>45</v>
      </c>
      <c r="W188" s="18">
        <f>0.66*W185+0.17*U187+0.17*W187</f>
        <v>54.002314765202527</v>
      </c>
      <c r="X188" s="6" t="s">
        <v>46</v>
      </c>
      <c r="Y188" s="6" t="s">
        <v>77</v>
      </c>
    </row>
    <row r="189" spans="19:25" x14ac:dyDescent="0.2">
      <c r="T189" s="6" t="s">
        <v>77</v>
      </c>
      <c r="U189" s="6" t="s">
        <v>1</v>
      </c>
      <c r="Y189" s="6" t="s">
        <v>77</v>
      </c>
    </row>
    <row r="190" spans="19:25" x14ac:dyDescent="0.2">
      <c r="T190" s="6" t="s">
        <v>77</v>
      </c>
      <c r="U190" s="6" t="s">
        <v>86</v>
      </c>
      <c r="Y190" s="6" t="s">
        <v>77</v>
      </c>
    </row>
    <row r="191" spans="19:25" x14ac:dyDescent="0.2">
      <c r="S191" s="6" t="s">
        <v>0</v>
      </c>
    </row>
    <row r="200" spans="11:41" x14ac:dyDescent="0.2">
      <c r="S200" s="6" t="s">
        <v>0</v>
      </c>
      <c r="T200" s="6" t="s">
        <v>77</v>
      </c>
      <c r="U200" s="6" t="s">
        <v>1</v>
      </c>
      <c r="Y200" s="6" t="s">
        <v>77</v>
      </c>
    </row>
    <row r="201" spans="11:41" x14ac:dyDescent="0.2">
      <c r="T201" s="6" t="s">
        <v>77</v>
      </c>
      <c r="U201" s="6">
        <f>W158</f>
        <v>145</v>
      </c>
      <c r="V201" s="6" t="s">
        <v>30</v>
      </c>
      <c r="W201" s="6">
        <f>+U207-U205</f>
        <v>0</v>
      </c>
      <c r="X201" s="6" t="s">
        <v>106</v>
      </c>
      <c r="Y201" s="6" t="s">
        <v>77</v>
      </c>
      <c r="AO201" s="6">
        <v>1</v>
      </c>
    </row>
    <row r="202" spans="11:41" x14ac:dyDescent="0.2">
      <c r="S202" s="6" t="s">
        <v>2</v>
      </c>
      <c r="T202" s="6" t="s">
        <v>77</v>
      </c>
      <c r="U202" s="6">
        <f>U158</f>
        <v>6.4</v>
      </c>
      <c r="V202" s="6" t="s">
        <v>33</v>
      </c>
      <c r="W202" s="6">
        <f>U155*U185</f>
        <v>5400.2314765202336</v>
      </c>
      <c r="X202" s="6" t="s">
        <v>187</v>
      </c>
      <c r="Y202" s="6" t="s">
        <v>77</v>
      </c>
    </row>
    <row r="203" spans="11:41" x14ac:dyDescent="0.2">
      <c r="T203" s="6" t="s">
        <v>77</v>
      </c>
      <c r="U203" s="18">
        <f>+U206+0.33*(W207-W206)</f>
        <v>92800.000000000015</v>
      </c>
      <c r="V203" s="6" t="s">
        <v>32</v>
      </c>
      <c r="W203" s="6">
        <f>U155*W185</f>
        <v>5400.2314765202564</v>
      </c>
      <c r="X203" s="6" t="s">
        <v>190</v>
      </c>
      <c r="Y203" s="6" t="s">
        <v>77</v>
      </c>
    </row>
    <row r="204" spans="11:41" x14ac:dyDescent="0.2">
      <c r="T204" s="6" t="s">
        <v>77</v>
      </c>
      <c r="U204" s="18">
        <f>+F80</f>
        <v>93127.169507616127</v>
      </c>
      <c r="V204" s="6" t="s">
        <v>31</v>
      </c>
      <c r="W204" s="6">
        <f>U155*U187</f>
        <v>5400.2314765202564</v>
      </c>
      <c r="X204" s="6" t="s">
        <v>188</v>
      </c>
      <c r="Y204" s="6" t="s">
        <v>77</v>
      </c>
    </row>
    <row r="205" spans="11:41" x14ac:dyDescent="0.2">
      <c r="K205" s="6" t="s">
        <v>0</v>
      </c>
      <c r="T205" s="6" t="s">
        <v>77</v>
      </c>
      <c r="U205" s="18">
        <f>U203-U204</f>
        <v>-327.16950761611224</v>
      </c>
      <c r="V205" s="6" t="s">
        <v>29</v>
      </c>
      <c r="W205" s="6">
        <f>U155*W187</f>
        <v>5400.2314765202336</v>
      </c>
      <c r="X205" s="6" t="s">
        <v>189</v>
      </c>
      <c r="Y205" s="6" t="s">
        <v>77</v>
      </c>
    </row>
    <row r="206" spans="11:41" x14ac:dyDescent="0.2">
      <c r="S206" s="6" t="s">
        <v>0</v>
      </c>
      <c r="T206" s="6" t="s">
        <v>77</v>
      </c>
      <c r="U206" s="18">
        <f>U155*U168*W168</f>
        <v>92800.000000000015</v>
      </c>
      <c r="V206" s="6" t="s">
        <v>21</v>
      </c>
      <c r="W206" s="18">
        <f>U155*U188</f>
        <v>5400.2314765202382</v>
      </c>
      <c r="X206" s="6" t="s">
        <v>45</v>
      </c>
      <c r="Y206" s="6" t="s">
        <v>77</v>
      </c>
    </row>
    <row r="207" spans="11:41" x14ac:dyDescent="0.2">
      <c r="T207" s="6" t="s">
        <v>77</v>
      </c>
      <c r="U207" s="18">
        <f>U206-U204</f>
        <v>-327.16950761611224</v>
      </c>
      <c r="V207" s="6" t="s">
        <v>20</v>
      </c>
      <c r="W207" s="18">
        <f>U155*W188</f>
        <v>5400.2314765202527</v>
      </c>
      <c r="X207" s="6" t="s">
        <v>46</v>
      </c>
      <c r="Y207" s="6" t="s">
        <v>77</v>
      </c>
    </row>
    <row r="208" spans="11:41" x14ac:dyDescent="0.2">
      <c r="T208" s="6" t="s">
        <v>77</v>
      </c>
      <c r="U208" s="6" t="s">
        <v>1</v>
      </c>
      <c r="Y208" s="6" t="s">
        <v>77</v>
      </c>
    </row>
    <row r="210" spans="11:38" x14ac:dyDescent="0.2">
      <c r="U210" s="6" t="b">
        <f>+D98&gt;=U205</f>
        <v>1</v>
      </c>
      <c r="V210" s="6">
        <f>ABS((D98-U207)/IF(U210,W206,W207))</f>
        <v>1.5</v>
      </c>
      <c r="W210" s="6">
        <f>MIN(2.5,ABS((D98-(U205+W201*ABS(D98-U205)/ABS(IF(U210,W206+W201,W207-W201))*MIN(1,V210)))/(MIN(1.52,V210)/1.52*IF(U210,W202,W203)+(1.52-MIN(1.52,V210))/3.04*W204+(1.52-MIN(1.52,V210))/3.04*W205)))</f>
        <v>1.5000000000000011</v>
      </c>
      <c r="X210" s="6">
        <f t="shared" ref="X210:X215" si="3">1/(1+(0.2316419*W210))</f>
        <v>0.74213548818804154</v>
      </c>
      <c r="Y210" s="6">
        <f t="shared" ref="Y210:Y215" si="4">0.398942281*((2.71828)^((-(W210^2)/2)))</f>
        <v>0.1295176938706632</v>
      </c>
      <c r="Z210" s="6">
        <f t="shared" ref="Z210:Z215" si="5">Y210*(0.31938153*X210-0.356563782*X210^2+1.781477937*X210^3-1.821255978*X210^4+1.330274429*X210^5)</f>
        <v>6.6807279375848461E-2</v>
      </c>
      <c r="AA210" s="6" t="b">
        <f>+E98&gt;=U205</f>
        <v>1</v>
      </c>
      <c r="AB210" s="6">
        <f>ABS((E98-U207)/IF(AA210,W206,W207))</f>
        <v>1</v>
      </c>
      <c r="AC210" s="6">
        <f>MIN(2.5,ABS((E98-(U205+W201*ABS(E98-U205)/ABS(IF(AA210,W206+W201,W207-W201))*MIN(1,AB210)))/(MIN(1.52,AB210)/1.52*IF(AA210,W202,W203)+(1.52-MIN(1.52,AB210))/3.04*W204+(1.52-MIN(1.52,AB210))/3.04*W205)))</f>
        <v>1.0000000000000002</v>
      </c>
      <c r="AD210" s="6">
        <f t="shared" ref="AD210:AD215" si="6">1/(1+(0.2316419*AC210))</f>
        <v>0.81192431014242039</v>
      </c>
      <c r="AE210" s="6">
        <f t="shared" ref="AE210:AE215" si="7">0.398942281*((2.71828)^((-(AC210^2)/2)))</f>
        <v>0.24197080626333928</v>
      </c>
      <c r="AF210" s="6">
        <f t="shared" ref="AF210:AF215" si="8">AE210*(0.31938153*AD210-0.356563782*AD210^2+1.781477937*AD210^3-1.821255978*AD210^4+1.330274429*AD210^5)</f>
        <v>0.15865531316113046</v>
      </c>
      <c r="AG210" s="6" t="b">
        <f>+F98&gt;=U205</f>
        <v>1</v>
      </c>
      <c r="AH210" s="6">
        <f>ABS((F98-U207)/IF(AG210,W206,W207))</f>
        <v>0.5</v>
      </c>
      <c r="AI210" s="6">
        <f>MIN(2.5,ABS((F98-(U205+W201*ABS(F98-U205)/ABS(IF(AG210,W206+W201,W207-W201))*MIN(1,AH210)))/(MIN(1.52,AH210)/1.52*IF(AG210,W202,W203)+(1.52-MIN(1.52,AH210))/3.04*W204+(1.52-MIN(1.52,AH210))/3.04*W205)))</f>
        <v>0.49999999999999972</v>
      </c>
      <c r="AJ210" s="6">
        <f>1/(1+(0.2316419*AI210))</f>
        <v>0.89620113334491525</v>
      </c>
      <c r="AK210" s="6">
        <f>0.398942281*((2.71828)^((-(AI210^2)/2)))</f>
        <v>0.35206535689474699</v>
      </c>
      <c r="AL210" s="6">
        <f>AK210*(0.31938153*AJ210-0.356563782*AJ210^2+1.781477937*AJ210^3-1.821255978*AJ210^4+1.330274429*AJ210^5)</f>
        <v>0.30853755861792781</v>
      </c>
    </row>
    <row r="211" spans="11:38" x14ac:dyDescent="0.2">
      <c r="W211" s="6">
        <f>MIN(2.5,ABS((D98-U207)/(MIN(1.52,V210)/1.52*IF(U210,W202,W203)+(1.52-MIN(1.52,V210))/3.04*W204+(1.52-MIN(1.52,V210))/3.04*W205)))</f>
        <v>1.5000000000000011</v>
      </c>
      <c r="X211" s="6">
        <f t="shared" si="3"/>
        <v>0.74213548818804154</v>
      </c>
      <c r="Y211" s="6">
        <f t="shared" si="4"/>
        <v>0.1295176938706632</v>
      </c>
      <c r="Z211" s="6">
        <f t="shared" si="5"/>
        <v>6.6807279375848461E-2</v>
      </c>
      <c r="AC211" s="6">
        <f>MIN(2.5,ABS((E98-U207)/(MIN(1.52,AB210)/1.52*IF(AA210,W202,W203)+(1.52-MIN(1.52,AB210))/3.04*W204+(1.52-MIN(1.52,AB210))/3.04*W205)))</f>
        <v>1.0000000000000002</v>
      </c>
      <c r="AD211" s="6">
        <f t="shared" si="6"/>
        <v>0.81192431014242039</v>
      </c>
      <c r="AE211" s="6">
        <f t="shared" si="7"/>
        <v>0.24197080626333928</v>
      </c>
      <c r="AF211" s="6">
        <f t="shared" si="8"/>
        <v>0.15865531316113046</v>
      </c>
      <c r="AI211" s="6">
        <f>MIN(2.5,ABS((F98-U207)/(MIN(1.52,AH210)/1.52*IF(AG210,W202,W203)+(1.52-MIN(1.52,AH210))/3.04*W204+(1.52-MIN(1.52,AH210))/3.04*W205)))</f>
        <v>0.49999999999999972</v>
      </c>
      <c r="AJ211" s="6">
        <f>1/(1+(0.2316419*AI211))</f>
        <v>0.89620113334491525</v>
      </c>
      <c r="AK211" s="6">
        <f>0.398942281*((2.71828)^((-(AI211^2)/2)))</f>
        <v>0.35206535689474699</v>
      </c>
      <c r="AL211" s="6">
        <f>AK211*(0.31938153*AJ211-0.356563782*AJ211^2+1.781477937*AJ211^3-1.821255978*AJ211^4+1.330274429*AJ211^5)</f>
        <v>0.30853755861792781</v>
      </c>
    </row>
    <row r="212" spans="11:38" x14ac:dyDescent="0.2">
      <c r="S212" s="6" t="s">
        <v>2</v>
      </c>
      <c r="U212" s="6" t="b">
        <f>+G98&gt;=U205</f>
        <v>1</v>
      </c>
      <c r="V212" s="6">
        <f>ABS((G98-U207)/IF(U212,W206,W207))</f>
        <v>0</v>
      </c>
      <c r="W212" s="6">
        <f>MIN(2.5,ABS((G98-(U205+W201*ABS(G98-U205)/ABS(IF(U212,W206+W201,W207-W201))*MIN(1,V212)))/(MIN(1.52,V212)/1.52*IF(U212,W202,W203)+(1.52-MIN(1.52,V212))/3.04*W204+(1.52-MIN(1.52,V212))/3.04*W205)))</f>
        <v>0</v>
      </c>
      <c r="X212" s="6">
        <f t="shared" si="3"/>
        <v>1</v>
      </c>
      <c r="Y212" s="6">
        <f t="shared" si="4"/>
        <v>0.39894228100000001</v>
      </c>
      <c r="Z212" s="6">
        <f t="shared" si="5"/>
        <v>0.50000000022538427</v>
      </c>
      <c r="AA212" s="6" t="b">
        <f>+H98&gt;=U205</f>
        <v>0</v>
      </c>
      <c r="AB212" s="6">
        <f>ABS((H98-U207)/IF(AA212,W206,W207))</f>
        <v>0.5</v>
      </c>
      <c r="AC212" s="6">
        <f>MIN(2.5,ABS((H98-(U205+W201*ABS(H98-U205)/ABS(IF(AA212,W206+W201,W207-W201))*MIN(1,AB212)))/(MIN(1.52,AB212)/1.52*IF(AA212,W202,W203)+(1.52-MIN(1.52,AB212))/3.04*W204+(1.52-MIN(1.52,AB212))/3.04*W205)))</f>
        <v>0.50000000000000044</v>
      </c>
      <c r="AD212" s="6">
        <f t="shared" si="6"/>
        <v>0.89620113334491525</v>
      </c>
      <c r="AE212" s="6">
        <f t="shared" si="7"/>
        <v>0.35206535689474683</v>
      </c>
      <c r="AF212" s="6">
        <f t="shared" si="8"/>
        <v>0.30853755861792764</v>
      </c>
      <c r="AG212" s="6" t="b">
        <f>+I98&gt;=U205</f>
        <v>0</v>
      </c>
      <c r="AH212" s="6">
        <f>ABS((I98-U207)/IF(AG212,W206,W207))</f>
        <v>1</v>
      </c>
      <c r="AI212" s="6">
        <f>MIN(2.5,ABS((I98-(U205+W201*ABS(I98-U205)/ABS(IF(AG212,W206+W201,W207-W201))*MIN(1,AH212)))/(MIN(1.52,AH212)/1.52*IF(AG212,W202,W203)+(1.52-MIN(1.52,AH212))/3.04*W204+(1.52-MIN(1.52,AH212))/3.04*W205)))</f>
        <v>1</v>
      </c>
      <c r="AJ212" s="6">
        <f>1/(1+(0.2316419*AI212))</f>
        <v>0.81192431014242039</v>
      </c>
      <c r="AK212" s="6">
        <f>0.398942281*((2.71828)^((-(AI212^2)/2)))</f>
        <v>0.24197080626333936</v>
      </c>
      <c r="AL212" s="6">
        <f>AK212*(0.31938153*AJ212-0.356563782*AJ212^2+1.781477937*AJ212^3-1.821255978*AJ212^4+1.330274429*AJ212^5)</f>
        <v>0.15865531316113052</v>
      </c>
    </row>
    <row r="213" spans="11:38" x14ac:dyDescent="0.2">
      <c r="W213" s="6">
        <f>MIN(2.5,ABS((G98-U207)/(MIN(1.52,V212)/1.52*IF(U212,W202,W203)+(1.52-MIN(1.52,V212))/3.04*W204+(1.52-MIN(1.52,V212))/3.04*W205)))</f>
        <v>0</v>
      </c>
      <c r="X213" s="6">
        <f t="shared" si="3"/>
        <v>1</v>
      </c>
      <c r="Y213" s="6">
        <f t="shared" si="4"/>
        <v>0.39894228100000001</v>
      </c>
      <c r="Z213" s="6">
        <f t="shared" si="5"/>
        <v>0.50000000022538427</v>
      </c>
      <c r="AC213" s="6">
        <f>MIN(2.5,ABS((H98-U207)/(MIN(1.52,AB212)/1.52*IF(AA212,W202,W203)+(1.52-MIN(1.52,AB212))/3.04*W204+(1.52-MIN(1.52,AB212))/3.04*W205)))</f>
        <v>0.50000000000000044</v>
      </c>
      <c r="AD213" s="6">
        <f t="shared" si="6"/>
        <v>0.89620113334491525</v>
      </c>
      <c r="AE213" s="6">
        <f t="shared" si="7"/>
        <v>0.35206535689474683</v>
      </c>
      <c r="AF213" s="6">
        <f t="shared" si="8"/>
        <v>0.30853755861792764</v>
      </c>
      <c r="AI213" s="6">
        <f>MIN(2.5,ABS((I98-U207)/(MIN(1.52,AH212)/1.52*IF(AG212,W202,W203)+(1.52-MIN(1.52,AH212))/3.04*W204+(1.52-MIN(1.52,AH212))/3.04*W205)))</f>
        <v>1</v>
      </c>
      <c r="AJ213" s="6">
        <f>1/(1+(0.2316419*AI213))</f>
        <v>0.81192431014242039</v>
      </c>
      <c r="AK213" s="6">
        <f>0.398942281*((2.71828)^((-(AI213^2)/2)))</f>
        <v>0.24197080626333936</v>
      </c>
      <c r="AL213" s="6">
        <f>AK213*(0.31938153*AJ213-0.356563782*AJ213^2+1.781477937*AJ213^3-1.821255978*AJ213^4+1.330274429*AJ213^5)</f>
        <v>0.15865531316113052</v>
      </c>
    </row>
    <row r="214" spans="11:38" x14ac:dyDescent="0.2">
      <c r="K214" s="6" t="s">
        <v>0</v>
      </c>
      <c r="U214" s="6" t="b">
        <f>+J98&gt;=U205</f>
        <v>0</v>
      </c>
      <c r="V214" s="6">
        <f>ABS((J98-U207)/IF(U214,W206,W207))</f>
        <v>1.5</v>
      </c>
      <c r="W214" s="6">
        <f>MIN(2.5,ABS((J98-(U205+W201*ABS(J98-U205)/ABS(IF(U214,W206+W201,W207-W201))*MIN(1,V214)))/(MIN(1.52,V214)/1.52*IF(U214,W202,W203)+(1.52-MIN(1.52,V214))/3.04*W204+(1.52-MIN(1.52,V214))/3.04*W205)))</f>
        <v>1.4999999999999991</v>
      </c>
      <c r="X214" s="6">
        <f t="shared" si="3"/>
        <v>0.74213548818804176</v>
      </c>
      <c r="Y214" s="6">
        <f t="shared" si="4"/>
        <v>0.12951769387066356</v>
      </c>
      <c r="Z214" s="6">
        <f t="shared" si="5"/>
        <v>6.6807279375848669E-2</v>
      </c>
      <c r="AA214" s="6" t="b">
        <f>0&gt;=U205</f>
        <v>1</v>
      </c>
      <c r="AB214" s="6">
        <f>ABS((0-U207)/IF(AA214,W206,W207))</f>
        <v>6.0584348844789027E-2</v>
      </c>
      <c r="AC214" s="6">
        <f>MIN(2.5,ABS((0-(U205+W201*ABS(0-U205)/ABS(IF(AA214,W206+W201,W207-W201))*MIN(1,AB214)))/(MIN(1.52,AB214)/1.52*IF(AA214,W202,W203)+(1.52-MIN(1.52,AB214))/3.04*W204+(1.52-MIN(1.52,AB214))/3.04*W205)))</f>
        <v>6.0584348844788957E-2</v>
      </c>
      <c r="AD214" s="6">
        <f t="shared" si="6"/>
        <v>0.9861603502200712</v>
      </c>
      <c r="AE214" s="6">
        <f t="shared" si="7"/>
        <v>0.39821080140900084</v>
      </c>
      <c r="AF214" s="6">
        <f t="shared" si="8"/>
        <v>0.47584504979702297</v>
      </c>
    </row>
    <row r="215" spans="11:38" x14ac:dyDescent="0.2">
      <c r="S215" s="6" t="s">
        <v>2</v>
      </c>
      <c r="W215" s="6">
        <f>MIN(2.5,ABS((J98-U207)/(MIN(1.52,V214)/1.52*IF(U214,W202,W203)+(1.52-MIN(1.52,V214))/3.04*W204+(1.52-MIN(1.52,V214))/3.04*W205)))</f>
        <v>1.4999999999999991</v>
      </c>
      <c r="X215" s="6">
        <f t="shared" si="3"/>
        <v>0.74213548818804176</v>
      </c>
      <c r="Y215" s="6">
        <f t="shared" si="4"/>
        <v>0.12951769387066356</v>
      </c>
      <c r="Z215" s="6">
        <f t="shared" si="5"/>
        <v>6.6807279375848669E-2</v>
      </c>
      <c r="AC215" s="6">
        <f>MIN(2.5,ABS((0-U207)/(MIN(1.52,AB214)/1.52*IF(AA214,W202,W203)+(1.52-MIN(1.52,AB214))/3.04*W204+(1.52-MIN(1.52,AB214))/3.04*W205)))</f>
        <v>6.0584348844788957E-2</v>
      </c>
      <c r="AD215" s="6">
        <f t="shared" si="6"/>
        <v>0.9861603502200712</v>
      </c>
      <c r="AE215" s="6">
        <f t="shared" si="7"/>
        <v>0.39821080140900084</v>
      </c>
      <c r="AF215" s="6">
        <f t="shared" si="8"/>
        <v>0.47584504979702297</v>
      </c>
    </row>
    <row r="217" spans="11:38" x14ac:dyDescent="0.2">
      <c r="K217" s="6" t="s">
        <v>0</v>
      </c>
    </row>
    <row r="219" spans="11:38" x14ac:dyDescent="0.2">
      <c r="U219" s="6" t="s">
        <v>109</v>
      </c>
    </row>
    <row r="220" spans="11:38" x14ac:dyDescent="0.2">
      <c r="U220" s="6">
        <f>U155</f>
        <v>100</v>
      </c>
      <c r="V220" s="6">
        <f>U168</f>
        <v>6.4000000000000012</v>
      </c>
      <c r="W220" s="6">
        <f>W168</f>
        <v>145</v>
      </c>
      <c r="X220" s="6">
        <f>I80</f>
        <v>940.67847987491041</v>
      </c>
      <c r="Y220" s="6">
        <f>W206</f>
        <v>5400.2314765202382</v>
      </c>
      <c r="Z220" s="6">
        <f>W207</f>
        <v>5400.2314765202527</v>
      </c>
      <c r="AA220" s="6">
        <f>W202</f>
        <v>5400.2314765202336</v>
      </c>
      <c r="AB220" s="6">
        <f>W204</f>
        <v>5400.2314765202564</v>
      </c>
      <c r="AC220" s="6">
        <f>W203</f>
        <v>5400.2314765202564</v>
      </c>
      <c r="AD220" s="6">
        <f>W205</f>
        <v>5400.2314765202336</v>
      </c>
    </row>
    <row r="230" spans="11:11" x14ac:dyDescent="0.2">
      <c r="K230" s="6" t="s">
        <v>0</v>
      </c>
    </row>
    <row r="251" spans="11:11" x14ac:dyDescent="0.2">
      <c r="K251" s="6" t="s">
        <v>0</v>
      </c>
    </row>
    <row r="253" spans="11:11" x14ac:dyDescent="0.2">
      <c r="K253" s="6" t="s">
        <v>0</v>
      </c>
    </row>
  </sheetData>
  <mergeCells count="51">
    <mergeCell ref="B16:J16"/>
    <mergeCell ref="B15:J15"/>
    <mergeCell ref="B1:J1"/>
    <mergeCell ref="B2:J2"/>
    <mergeCell ref="B3:J3"/>
    <mergeCell ref="B5:J5"/>
    <mergeCell ref="B6:J6"/>
    <mergeCell ref="B7:J7"/>
    <mergeCell ref="B4:J4"/>
    <mergeCell ref="F103:H103"/>
    <mergeCell ref="B77:E77"/>
    <mergeCell ref="B78:E78"/>
    <mergeCell ref="B79:E79"/>
    <mergeCell ref="F102:I102"/>
    <mergeCell ref="B94:J94"/>
    <mergeCell ref="B95:J95"/>
    <mergeCell ref="H18:I18"/>
    <mergeCell ref="H19:I19"/>
    <mergeCell ref="H20:I20"/>
    <mergeCell ref="B54:I54"/>
    <mergeCell ref="B43:D43"/>
    <mergeCell ref="B35:D35"/>
    <mergeCell ref="B40:D40"/>
    <mergeCell ref="B36:D36"/>
    <mergeCell ref="B37:D37"/>
    <mergeCell ref="B38:D38"/>
    <mergeCell ref="B41:D41"/>
    <mergeCell ref="B60:D60"/>
    <mergeCell ref="B76:E76"/>
    <mergeCell ref="B59:D59"/>
    <mergeCell ref="B75:E75"/>
    <mergeCell ref="B42:D42"/>
    <mergeCell ref="B44:D44"/>
    <mergeCell ref="B45:D45"/>
    <mergeCell ref="B50:D50"/>
    <mergeCell ref="B39:D39"/>
    <mergeCell ref="B91:J91"/>
    <mergeCell ref="B93:J93"/>
    <mergeCell ref="B83:J83"/>
    <mergeCell ref="B71:I71"/>
    <mergeCell ref="B55:D55"/>
    <mergeCell ref="B46:D46"/>
    <mergeCell ref="B47:D47"/>
    <mergeCell ref="B48:D48"/>
    <mergeCell ref="B49:D49"/>
    <mergeCell ref="B32:D34"/>
    <mergeCell ref="E32:E34"/>
    <mergeCell ref="F32:F34"/>
    <mergeCell ref="I32:I34"/>
    <mergeCell ref="G32:G34"/>
    <mergeCell ref="H32:H34"/>
  </mergeCells>
  <phoneticPr fontId="0" type="noConversion"/>
  <conditionalFormatting sqref="J102:J103">
    <cfRule type="cellIs" dxfId="0" priority="1" stopIfTrue="1" operator="lessThan">
      <formula>0</formula>
    </cfRule>
  </conditionalFormatting>
  <hyperlinks>
    <hyperlink ref="A56" location="Fixed_Payment!G10" display="Cash Flow"/>
    <hyperlink ref="A55" location="Fixed_Cost!A1" display="Total Cost"/>
    <hyperlink ref="A38" location="'Winter Grazing'!G26" display="Winter Grazing Detail"/>
    <hyperlink ref="A37" location="Procurement!E7" display="Procurement Detail"/>
    <hyperlink ref="A50" location="Procurement!E17" display="Auction &amp; Hauling Detail"/>
  </hyperlinks>
  <printOptions horizontalCentered="1"/>
  <pageMargins left="0.75" right="0.75" top="1" bottom="1" header="0.5" footer="0.5"/>
  <pageSetup scale="73" fitToHeight="2" orientation="portrait" r:id="rId1"/>
  <headerFooter alignWithMargins="0">
    <oddHeader>&amp;F</oddHeader>
    <oddFooter>&amp;CUGA Extension Agricultural and Applied Economics</oddFooter>
  </headerFooter>
  <rowBreaks count="1" manualBreakCount="1">
    <brk id="70" max="16383" man="1"/>
  </rowBreaks>
  <colBreaks count="1" manualBreakCount="1">
    <brk id="1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BH302"/>
  <sheetViews>
    <sheetView topLeftCell="A7" zoomScaleNormal="100" workbookViewId="0">
      <selection activeCell="J15" sqref="J15"/>
    </sheetView>
  </sheetViews>
  <sheetFormatPr defaultColWidth="8.42578125" defaultRowHeight="12.75" x14ac:dyDescent="0.2"/>
  <cols>
    <col min="1" max="1" width="13.85546875" customWidth="1"/>
    <col min="2" max="3" width="8.42578125" customWidth="1"/>
    <col min="4" max="4" width="11.28515625" customWidth="1"/>
    <col min="5" max="5" width="10.140625" customWidth="1"/>
    <col min="6" max="6" width="9.7109375" customWidth="1"/>
    <col min="7" max="7" width="10.7109375" customWidth="1"/>
    <col min="8" max="8" width="9.42578125" customWidth="1"/>
    <col min="9" max="9" width="10.85546875" customWidth="1"/>
    <col min="10" max="10" width="13.140625" customWidth="1"/>
    <col min="11" max="11" width="11.85546875" customWidth="1"/>
  </cols>
  <sheetData>
    <row r="1" spans="1:60" x14ac:dyDescent="0.2">
      <c r="A1" s="15"/>
      <c r="B1" s="15" t="s">
        <v>267</v>
      </c>
      <c r="C1" s="15"/>
      <c r="D1" s="15"/>
      <c r="E1" s="15"/>
      <c r="F1" s="15"/>
      <c r="G1" s="15"/>
      <c r="H1" s="15"/>
      <c r="I1" s="15"/>
      <c r="J1" s="6"/>
      <c r="K1" s="6"/>
      <c r="L1" s="6"/>
      <c r="M1" s="6"/>
      <c r="N1" s="41"/>
      <c r="O1" s="42"/>
      <c r="P1" s="43"/>
      <c r="Q1" s="42"/>
      <c r="R1" s="43">
        <v>3</v>
      </c>
      <c r="S1" s="42"/>
      <c r="T1" s="42"/>
      <c r="U1" s="42"/>
      <c r="V1" s="42"/>
      <c r="W1" s="42"/>
      <c r="X1" s="43">
        <v>3</v>
      </c>
      <c r="Y1" s="43">
        <v>2</v>
      </c>
      <c r="Z1" s="43">
        <v>1</v>
      </c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</row>
    <row r="2" spans="1:60" x14ac:dyDescent="0.2">
      <c r="A2" s="15"/>
      <c r="B2" s="15"/>
      <c r="C2" s="15"/>
      <c r="D2" s="15"/>
      <c r="E2" s="15"/>
      <c r="F2" s="15"/>
      <c r="G2" s="15"/>
      <c r="H2" s="15"/>
      <c r="I2" s="15"/>
      <c r="J2" s="6"/>
      <c r="K2" s="6"/>
      <c r="L2" s="6"/>
      <c r="M2" s="6"/>
      <c r="N2" s="41"/>
      <c r="O2" s="42"/>
      <c r="P2" s="42"/>
      <c r="Q2" s="42"/>
      <c r="R2" s="42"/>
      <c r="S2" s="42"/>
      <c r="T2" s="42"/>
      <c r="U2" s="42"/>
      <c r="V2" s="42"/>
      <c r="W2" s="42"/>
      <c r="X2" s="43"/>
      <c r="Y2" s="43"/>
      <c r="Z2" s="43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</row>
    <row r="3" spans="1:60" x14ac:dyDescent="0.2">
      <c r="A3" s="15"/>
      <c r="B3" s="15" t="s">
        <v>113</v>
      </c>
      <c r="C3" s="15"/>
      <c r="D3" s="15"/>
      <c r="E3" s="15"/>
      <c r="F3" s="15"/>
      <c r="G3" s="15"/>
      <c r="H3" s="15"/>
      <c r="I3" s="15"/>
      <c r="J3" s="6"/>
      <c r="K3" s="6"/>
      <c r="L3" s="6"/>
      <c r="M3" s="6"/>
      <c r="N3" s="41"/>
      <c r="O3" s="42"/>
      <c r="P3" s="42"/>
      <c r="Q3" s="42"/>
      <c r="R3" s="42"/>
      <c r="S3" s="42"/>
      <c r="T3" s="42"/>
      <c r="U3" s="42"/>
      <c r="V3" s="42"/>
      <c r="W3" s="42"/>
      <c r="X3" s="43"/>
      <c r="Y3" s="43"/>
      <c r="Z3" s="44" t="s">
        <v>229</v>
      </c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</row>
    <row r="4" spans="1:60" x14ac:dyDescent="0.2">
      <c r="A4" s="15"/>
      <c r="B4" s="45" t="s">
        <v>268</v>
      </c>
      <c r="C4" s="15"/>
      <c r="D4" s="15"/>
      <c r="E4" s="15"/>
      <c r="F4" s="15"/>
      <c r="G4" s="15"/>
      <c r="H4" s="15"/>
      <c r="I4" s="15"/>
      <c r="J4" s="6"/>
      <c r="K4" s="6"/>
      <c r="L4" s="6"/>
      <c r="M4" s="6"/>
      <c r="N4" s="41"/>
      <c r="O4" s="42"/>
      <c r="P4" s="42"/>
      <c r="Q4" s="42"/>
      <c r="R4" s="42"/>
      <c r="S4" s="42"/>
      <c r="T4" s="42"/>
      <c r="U4" s="42"/>
      <c r="V4" s="42"/>
      <c r="W4" s="42"/>
      <c r="X4" s="43"/>
      <c r="Y4" s="43"/>
      <c r="Z4" s="44" t="s">
        <v>230</v>
      </c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</row>
    <row r="5" spans="1:60" x14ac:dyDescent="0.2">
      <c r="A5" s="15"/>
      <c r="B5" s="15"/>
      <c r="C5" s="15"/>
      <c r="D5" s="15"/>
      <c r="E5" s="15"/>
      <c r="F5" s="15"/>
      <c r="G5" s="15"/>
      <c r="H5" s="15"/>
      <c r="I5" s="15"/>
      <c r="J5" s="6"/>
      <c r="K5" s="6" t="s">
        <v>0</v>
      </c>
      <c r="L5" s="6"/>
      <c r="M5" s="6"/>
      <c r="N5" s="41"/>
      <c r="O5" s="42"/>
      <c r="P5" s="42"/>
      <c r="Q5" s="42"/>
      <c r="R5" s="42"/>
      <c r="S5" s="42"/>
      <c r="T5" s="42"/>
      <c r="U5" s="42"/>
      <c r="V5" s="42"/>
      <c r="W5" s="42"/>
      <c r="X5" s="43"/>
      <c r="Y5" s="43"/>
      <c r="Z5" s="44" t="s">
        <v>231</v>
      </c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</row>
    <row r="6" spans="1:60" x14ac:dyDescent="0.2">
      <c r="A6" s="6"/>
      <c r="B6" s="15"/>
      <c r="C6" s="15"/>
      <c r="D6" s="46"/>
      <c r="E6" s="46"/>
      <c r="F6" s="46"/>
      <c r="G6" s="46"/>
      <c r="H6" s="46"/>
      <c r="I6" s="15"/>
      <c r="J6" s="6"/>
      <c r="K6" s="6"/>
      <c r="L6" s="6"/>
      <c r="M6" s="6"/>
      <c r="N6" s="41"/>
      <c r="O6" s="42"/>
      <c r="P6" s="42"/>
      <c r="Q6" s="42"/>
      <c r="R6" s="42"/>
      <c r="S6" s="42"/>
      <c r="T6" s="42"/>
      <c r="U6" s="42"/>
      <c r="V6" s="42"/>
      <c r="W6" s="42"/>
      <c r="X6" s="43"/>
      <c r="Y6" s="43"/>
      <c r="Z6" s="43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</row>
    <row r="7" spans="1:60" x14ac:dyDescent="0.2">
      <c r="A7" s="6"/>
      <c r="B7" s="46" t="s">
        <v>130</v>
      </c>
      <c r="C7" s="15"/>
      <c r="D7" s="15"/>
      <c r="E7" s="15"/>
      <c r="F7" s="15"/>
      <c r="G7" s="15"/>
      <c r="H7" s="46"/>
      <c r="I7" s="15"/>
      <c r="J7" s="6"/>
      <c r="K7" s="6"/>
      <c r="L7" s="6"/>
      <c r="M7" s="6"/>
      <c r="N7" s="41"/>
      <c r="O7" s="42"/>
      <c r="P7" s="42"/>
      <c r="Q7" s="42"/>
      <c r="R7" s="42"/>
      <c r="S7" s="42"/>
      <c r="T7" s="42"/>
      <c r="U7" s="42"/>
      <c r="V7" s="42"/>
      <c r="W7" s="42"/>
      <c r="X7" s="43"/>
      <c r="Y7" s="43"/>
      <c r="Z7" s="44" t="s">
        <v>104</v>
      </c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</row>
    <row r="8" spans="1:60" x14ac:dyDescent="0.2">
      <c r="A8" s="6"/>
      <c r="B8" s="15"/>
      <c r="C8" s="46"/>
      <c r="D8" s="46"/>
      <c r="E8" s="46"/>
      <c r="F8" s="46"/>
      <c r="G8" s="46"/>
      <c r="H8" s="46"/>
      <c r="I8" s="15"/>
      <c r="J8" s="6"/>
      <c r="K8" s="6"/>
      <c r="L8" s="6"/>
      <c r="M8" s="6"/>
      <c r="N8" s="41"/>
      <c r="O8" s="42"/>
      <c r="P8" s="42"/>
      <c r="Q8" s="42"/>
      <c r="R8" s="42"/>
      <c r="S8" s="42"/>
      <c r="T8" s="42"/>
      <c r="U8" s="42"/>
      <c r="V8" s="42"/>
      <c r="W8" s="42"/>
      <c r="X8" s="43"/>
      <c r="Y8" s="43"/>
      <c r="Z8" s="44" t="s">
        <v>232</v>
      </c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</row>
    <row r="9" spans="1:60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41"/>
      <c r="O9" s="42"/>
      <c r="P9" s="42"/>
      <c r="Q9" s="42"/>
      <c r="R9" s="42"/>
      <c r="S9" s="42"/>
      <c r="T9" s="42"/>
      <c r="U9" s="42"/>
      <c r="V9" s="42"/>
      <c r="W9" s="42"/>
      <c r="X9" s="43"/>
      <c r="Y9" s="43"/>
      <c r="Z9" s="44" t="s">
        <v>104</v>
      </c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</row>
    <row r="10" spans="1:60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 t="s">
        <v>0</v>
      </c>
      <c r="L10" s="6"/>
      <c r="M10" s="6"/>
      <c r="N10" s="41"/>
      <c r="O10" s="42"/>
      <c r="P10" s="42"/>
      <c r="Q10" s="42"/>
      <c r="R10" s="42"/>
      <c r="S10" s="42"/>
      <c r="T10" s="42"/>
      <c r="U10" s="42"/>
      <c r="V10" s="42"/>
      <c r="W10" s="42"/>
      <c r="X10" s="43"/>
      <c r="Y10" s="43"/>
      <c r="Z10" s="43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</row>
    <row r="11" spans="1:60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41"/>
      <c r="O11" s="42"/>
      <c r="P11" s="42"/>
      <c r="Q11" s="42"/>
      <c r="R11" s="42"/>
      <c r="S11" s="42"/>
      <c r="T11" s="42"/>
      <c r="U11" s="42"/>
      <c r="V11" s="42"/>
      <c r="W11" s="42"/>
      <c r="X11" s="43"/>
      <c r="Y11" s="43"/>
      <c r="Z11" s="47" t="s">
        <v>183</v>
      </c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</row>
    <row r="12" spans="1:60" x14ac:dyDescent="0.2">
      <c r="A12" s="15"/>
      <c r="B12" s="225" t="s">
        <v>333</v>
      </c>
      <c r="C12" s="225"/>
      <c r="D12" s="225"/>
      <c r="E12" s="225"/>
      <c r="F12" s="225"/>
      <c r="G12" s="225"/>
      <c r="H12" s="225"/>
      <c r="I12" s="225"/>
      <c r="J12" s="225"/>
      <c r="K12" s="225"/>
      <c r="L12" s="6"/>
      <c r="M12" s="6"/>
      <c r="N12" s="41"/>
      <c r="O12" s="42"/>
      <c r="P12" s="42"/>
      <c r="Q12" s="42"/>
      <c r="R12" s="42"/>
      <c r="S12" s="42"/>
      <c r="T12" s="42"/>
      <c r="U12" s="42"/>
      <c r="V12" s="42"/>
      <c r="W12" s="42"/>
      <c r="X12" s="43"/>
      <c r="Y12" s="43"/>
      <c r="Z12" s="47" t="s">
        <v>233</v>
      </c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</row>
    <row r="13" spans="1:60" x14ac:dyDescent="0.2">
      <c r="A13" s="6"/>
      <c r="B13" s="15"/>
      <c r="C13" s="15"/>
      <c r="D13" s="15"/>
      <c r="E13" s="15"/>
      <c r="F13" s="15"/>
      <c r="G13" s="15"/>
      <c r="H13" s="15"/>
      <c r="I13" s="15"/>
      <c r="J13" s="15"/>
      <c r="K13" s="6"/>
      <c r="L13" s="6"/>
      <c r="M13" s="6"/>
      <c r="N13" s="41"/>
      <c r="O13" s="42"/>
      <c r="P13" s="42"/>
      <c r="Q13" s="42"/>
      <c r="R13" s="42"/>
      <c r="S13" s="42"/>
      <c r="T13" s="42"/>
      <c r="U13" s="42"/>
      <c r="V13" s="42"/>
      <c r="W13" s="42"/>
      <c r="X13" s="43"/>
      <c r="Y13" s="43"/>
      <c r="Z13" s="47" t="s">
        <v>234</v>
      </c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</row>
    <row r="14" spans="1:60" x14ac:dyDescent="0.2">
      <c r="A14" s="6"/>
      <c r="B14" s="6"/>
      <c r="C14" s="6"/>
      <c r="D14" s="6"/>
      <c r="E14" s="6"/>
      <c r="F14" s="48"/>
      <c r="G14" s="6"/>
      <c r="H14" s="6"/>
      <c r="I14" s="6"/>
      <c r="J14" s="6"/>
      <c r="K14" s="17" t="s">
        <v>0</v>
      </c>
      <c r="L14" s="6"/>
      <c r="M14" s="6"/>
      <c r="N14" s="41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</row>
    <row r="15" spans="1:60" x14ac:dyDescent="0.2">
      <c r="A15" s="6"/>
      <c r="B15" s="6"/>
      <c r="C15" s="6"/>
      <c r="D15" s="6"/>
      <c r="E15" s="6"/>
      <c r="F15" s="44" t="s">
        <v>231</v>
      </c>
      <c r="G15" s="6"/>
      <c r="H15" s="6"/>
      <c r="I15" s="6"/>
      <c r="J15" s="27" t="s">
        <v>334</v>
      </c>
      <c r="K15" s="17" t="s">
        <v>0</v>
      </c>
      <c r="L15" s="6"/>
      <c r="M15" s="6"/>
      <c r="N15" s="41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</row>
    <row r="16" spans="1:60" x14ac:dyDescent="0.2">
      <c r="A16" s="6"/>
      <c r="B16" s="49" t="s">
        <v>269</v>
      </c>
      <c r="C16" s="6"/>
      <c r="D16" s="6"/>
      <c r="E16" s="6"/>
      <c r="F16" s="50">
        <f>+ACRES</f>
        <v>50</v>
      </c>
      <c r="G16" s="6"/>
      <c r="H16" s="6"/>
      <c r="I16" s="6"/>
      <c r="J16" s="6"/>
      <c r="K16" s="6"/>
      <c r="L16" s="6"/>
      <c r="M16" s="6"/>
      <c r="N16" s="41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</row>
    <row r="17" spans="1:60" x14ac:dyDescent="0.2">
      <c r="A17" s="6"/>
      <c r="B17" s="6" t="s">
        <v>270</v>
      </c>
      <c r="C17" s="6"/>
      <c r="D17" s="6"/>
      <c r="E17" s="6"/>
      <c r="F17" s="50">
        <v>1</v>
      </c>
      <c r="G17" s="51"/>
      <c r="H17" s="6"/>
      <c r="I17" s="6"/>
      <c r="J17" s="6"/>
      <c r="K17" s="6"/>
      <c r="L17" s="6"/>
      <c r="M17" s="6"/>
      <c r="N17" s="41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</row>
    <row r="18" spans="1:60" x14ac:dyDescent="0.2">
      <c r="A18" s="6"/>
      <c r="B18" s="228" t="s">
        <v>271</v>
      </c>
      <c r="C18" s="228"/>
      <c r="D18" s="228"/>
      <c r="E18" s="228"/>
      <c r="F18" s="50">
        <v>150</v>
      </c>
      <c r="G18" s="51"/>
      <c r="H18" s="6"/>
      <c r="I18" s="6"/>
      <c r="J18" s="6"/>
      <c r="K18" s="6"/>
      <c r="L18" s="6"/>
      <c r="M18" s="6"/>
      <c r="N18" s="41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</row>
    <row r="19" spans="1:60" x14ac:dyDescent="0.2">
      <c r="A19" s="6"/>
      <c r="B19" s="6"/>
      <c r="C19" s="6"/>
      <c r="D19" s="6"/>
      <c r="E19" s="6"/>
      <c r="F19" s="6"/>
      <c r="G19" s="51"/>
      <c r="H19" s="6"/>
      <c r="I19" s="6"/>
      <c r="J19" s="6"/>
      <c r="K19" s="6"/>
      <c r="L19" s="6"/>
      <c r="M19" s="6"/>
      <c r="N19" s="41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</row>
    <row r="20" spans="1:60" x14ac:dyDescent="0.2">
      <c r="A20" s="6"/>
      <c r="B20" s="6"/>
      <c r="C20" s="6"/>
      <c r="D20" s="6"/>
      <c r="E20" s="6"/>
      <c r="F20" s="6"/>
      <c r="G20" s="6"/>
      <c r="H20" s="6"/>
      <c r="I20" s="6"/>
      <c r="J20" s="19"/>
      <c r="K20" s="17" t="s">
        <v>0</v>
      </c>
      <c r="L20" s="6"/>
      <c r="M20" s="6"/>
      <c r="N20" s="41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</row>
    <row r="21" spans="1:60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17" t="s">
        <v>0</v>
      </c>
      <c r="L21" s="6"/>
      <c r="M21" s="5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</row>
    <row r="22" spans="1:60" x14ac:dyDescent="0.2">
      <c r="A22" s="6"/>
      <c r="B22" s="15"/>
      <c r="C22" s="15"/>
      <c r="D22" s="15"/>
      <c r="E22" s="15"/>
      <c r="F22" s="15"/>
      <c r="G22" s="15" t="s">
        <v>67</v>
      </c>
      <c r="H22" s="15" t="s">
        <v>197</v>
      </c>
      <c r="I22" s="15" t="s">
        <v>215</v>
      </c>
      <c r="J22" s="15" t="s">
        <v>197</v>
      </c>
      <c r="K22" s="53" t="s">
        <v>272</v>
      </c>
      <c r="L22" s="6"/>
      <c r="M22" s="41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</row>
    <row r="23" spans="1:60" x14ac:dyDescent="0.2">
      <c r="A23" s="6"/>
      <c r="B23" s="15" t="s">
        <v>273</v>
      </c>
      <c r="C23" s="15"/>
      <c r="D23" s="15"/>
      <c r="E23" s="15"/>
      <c r="F23" s="15" t="s">
        <v>215</v>
      </c>
      <c r="G23" s="15" t="s">
        <v>274</v>
      </c>
      <c r="H23" s="15" t="s">
        <v>180</v>
      </c>
      <c r="I23" s="15" t="s">
        <v>177</v>
      </c>
      <c r="J23" s="15" t="s">
        <v>79</v>
      </c>
      <c r="K23" s="53" t="s">
        <v>275</v>
      </c>
      <c r="L23" s="6"/>
      <c r="M23" s="41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</row>
    <row r="24" spans="1:60" x14ac:dyDescent="0.2">
      <c r="A24" s="6"/>
      <c r="B24" s="6" t="s">
        <v>218</v>
      </c>
      <c r="C24" s="6"/>
      <c r="D24" s="6"/>
      <c r="E24" s="6"/>
      <c r="F24" s="6"/>
      <c r="G24" s="6"/>
      <c r="H24" s="54" t="s">
        <v>16</v>
      </c>
      <c r="I24" s="54" t="s">
        <v>61</v>
      </c>
      <c r="J24" s="54"/>
      <c r="K24" s="6"/>
      <c r="L24" s="6"/>
      <c r="M24" s="41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</row>
    <row r="25" spans="1:60" x14ac:dyDescent="0.2">
      <c r="A25" s="6"/>
      <c r="B25" s="6" t="s">
        <v>276</v>
      </c>
      <c r="C25" s="6"/>
      <c r="D25" s="6"/>
      <c r="E25" s="6"/>
      <c r="F25" s="6"/>
      <c r="G25" s="6"/>
      <c r="H25" s="6"/>
      <c r="I25" s="19"/>
      <c r="J25" s="19"/>
      <c r="K25" s="6"/>
      <c r="L25" s="5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</row>
    <row r="26" spans="1:60" ht="13.5" thickBot="1" x14ac:dyDescent="0.25">
      <c r="A26" s="6"/>
      <c r="B26" s="228" t="s">
        <v>277</v>
      </c>
      <c r="C26" s="228"/>
      <c r="D26" s="228"/>
      <c r="E26" s="6"/>
      <c r="F26" s="6" t="s">
        <v>278</v>
      </c>
      <c r="G26" s="6">
        <v>0</v>
      </c>
      <c r="H26" s="6">
        <f>G26*ACRES</f>
        <v>0</v>
      </c>
      <c r="I26" s="19">
        <v>11.5</v>
      </c>
      <c r="J26" s="19">
        <f>H26*I26</f>
        <v>0</v>
      </c>
      <c r="K26" s="55"/>
      <c r="L26" s="41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</row>
    <row r="27" spans="1:60" ht="14.25" thickTop="1" thickBot="1" x14ac:dyDescent="0.25">
      <c r="A27" s="6"/>
      <c r="B27" s="228" t="s">
        <v>279</v>
      </c>
      <c r="C27" s="228"/>
      <c r="D27" s="228"/>
      <c r="E27" s="6"/>
      <c r="F27" s="6" t="s">
        <v>278</v>
      </c>
      <c r="G27" s="6">
        <v>1</v>
      </c>
      <c r="H27" s="6">
        <v>60</v>
      </c>
      <c r="I27" s="19">
        <v>11.5</v>
      </c>
      <c r="J27" s="19">
        <f>H27*I27</f>
        <v>690</v>
      </c>
      <c r="K27" s="56"/>
      <c r="L27" s="41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</row>
    <row r="28" spans="1:60" ht="14.25" thickTop="1" thickBot="1" x14ac:dyDescent="0.25">
      <c r="A28" s="6"/>
      <c r="B28" s="228" t="s">
        <v>331</v>
      </c>
      <c r="C28" s="228"/>
      <c r="D28" s="228"/>
      <c r="E28" s="6"/>
      <c r="F28" s="6" t="s">
        <v>278</v>
      </c>
      <c r="G28" s="6">
        <v>1</v>
      </c>
      <c r="H28" s="6">
        <v>60</v>
      </c>
      <c r="I28" s="19">
        <v>8</v>
      </c>
      <c r="J28" s="19">
        <f>H28*I28</f>
        <v>480</v>
      </c>
      <c r="K28" s="56"/>
      <c r="L28" s="41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/>
    </row>
    <row r="29" spans="1:60" ht="14.25" thickTop="1" thickBot="1" x14ac:dyDescent="0.25">
      <c r="A29" s="6"/>
      <c r="B29" s="6" t="s">
        <v>143</v>
      </c>
      <c r="C29" s="6"/>
      <c r="D29" s="6"/>
      <c r="E29" s="6"/>
      <c r="F29" s="6" t="s">
        <v>195</v>
      </c>
      <c r="G29" s="6">
        <v>0</v>
      </c>
      <c r="H29" s="6">
        <f>G29*F16</f>
        <v>0</v>
      </c>
      <c r="I29" s="19">
        <v>24</v>
      </c>
      <c r="J29" s="19">
        <f>H29*I29</f>
        <v>0</v>
      </c>
      <c r="K29" s="56"/>
      <c r="L29" s="41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</row>
    <row r="30" spans="1:60" ht="14.25" thickTop="1" thickBot="1" x14ac:dyDescent="0.25">
      <c r="A30" s="6"/>
      <c r="B30" s="6" t="s">
        <v>281</v>
      </c>
      <c r="C30" s="6"/>
      <c r="D30" s="6"/>
      <c r="E30" s="6"/>
      <c r="F30" s="6"/>
      <c r="G30" s="6"/>
      <c r="H30" s="6" t="s">
        <v>0</v>
      </c>
      <c r="I30" s="19"/>
      <c r="J30" s="19"/>
      <c r="K30" s="56"/>
      <c r="L30" s="41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/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/>
    </row>
    <row r="31" spans="1:60" ht="14.25" thickTop="1" thickBot="1" x14ac:dyDescent="0.25">
      <c r="A31" s="6"/>
      <c r="B31" s="6" t="s">
        <v>282</v>
      </c>
      <c r="C31" s="6"/>
      <c r="D31" s="6"/>
      <c r="E31" s="6"/>
      <c r="F31" s="6" t="s">
        <v>280</v>
      </c>
      <c r="G31" s="6">
        <v>135</v>
      </c>
      <c r="H31" s="6">
        <f>G31*F16</f>
        <v>6750</v>
      </c>
      <c r="I31" s="19">
        <v>0.75</v>
      </c>
      <c r="J31" s="19">
        <f>H31*I31</f>
        <v>5062.5</v>
      </c>
      <c r="K31" s="56"/>
      <c r="L31" s="41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/>
    </row>
    <row r="32" spans="1:60" ht="14.25" thickTop="1" thickBot="1" x14ac:dyDescent="0.25">
      <c r="A32" s="6"/>
      <c r="B32" s="6" t="s">
        <v>283</v>
      </c>
      <c r="C32" s="6"/>
      <c r="D32" s="6"/>
      <c r="E32" s="6"/>
      <c r="F32" s="6" t="s">
        <v>280</v>
      </c>
      <c r="G32" s="6">
        <v>0</v>
      </c>
      <c r="H32" s="6">
        <f>G32*F16</f>
        <v>0</v>
      </c>
      <c r="I32" s="19">
        <v>0.2</v>
      </c>
      <c r="J32" s="19">
        <f>H32*I32</f>
        <v>0</v>
      </c>
      <c r="K32" s="56"/>
      <c r="L32" s="41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/>
    </row>
    <row r="33" spans="1:60" ht="14.25" thickTop="1" thickBot="1" x14ac:dyDescent="0.25">
      <c r="A33" s="6"/>
      <c r="B33" s="6" t="s">
        <v>284</v>
      </c>
      <c r="C33" s="6"/>
      <c r="D33" s="6"/>
      <c r="E33" s="6"/>
      <c r="F33" s="6" t="s">
        <v>280</v>
      </c>
      <c r="G33" s="6">
        <v>0</v>
      </c>
      <c r="H33" s="6">
        <f>G33*F16</f>
        <v>0</v>
      </c>
      <c r="I33" s="19">
        <v>0.17</v>
      </c>
      <c r="J33" s="19">
        <f>H33*I33</f>
        <v>0</v>
      </c>
      <c r="K33" s="56"/>
      <c r="L33" s="41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</row>
    <row r="34" spans="1:60" ht="14.25" thickTop="1" thickBot="1" x14ac:dyDescent="0.25">
      <c r="A34" s="6"/>
      <c r="B34" s="6" t="s">
        <v>285</v>
      </c>
      <c r="C34" s="6"/>
      <c r="D34" s="6"/>
      <c r="E34" s="6"/>
      <c r="F34" s="6"/>
      <c r="G34" s="6"/>
      <c r="H34" s="6" t="s">
        <v>0</v>
      </c>
      <c r="I34" s="19"/>
      <c r="J34" s="19"/>
      <c r="K34" s="56"/>
      <c r="L34" s="41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</row>
    <row r="35" spans="1:60" ht="14.25" thickTop="1" thickBot="1" x14ac:dyDescent="0.25">
      <c r="A35" s="6"/>
      <c r="B35" s="6" t="s">
        <v>286</v>
      </c>
      <c r="C35" s="6"/>
      <c r="D35" s="6"/>
      <c r="E35" s="6"/>
      <c r="F35" s="6" t="s">
        <v>287</v>
      </c>
      <c r="G35" s="6">
        <v>0</v>
      </c>
      <c r="H35" s="6">
        <f>G35*F16</f>
        <v>0</v>
      </c>
      <c r="I35" s="19">
        <v>1</v>
      </c>
      <c r="J35" s="19">
        <f>H35*I35</f>
        <v>0</v>
      </c>
      <c r="K35" s="56"/>
      <c r="L35" s="41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</row>
    <row r="36" spans="1:60" ht="14.25" thickTop="1" thickBot="1" x14ac:dyDescent="0.25">
      <c r="A36" s="6"/>
      <c r="B36" s="6" t="s">
        <v>288</v>
      </c>
      <c r="C36" s="6"/>
      <c r="D36" s="6"/>
      <c r="E36" s="6"/>
      <c r="F36" s="6" t="s">
        <v>78</v>
      </c>
      <c r="G36" s="6">
        <v>0</v>
      </c>
      <c r="H36" s="6">
        <f>G36*F16</f>
        <v>0</v>
      </c>
      <c r="I36" s="19">
        <v>12.08</v>
      </c>
      <c r="J36" s="19">
        <f>H36*I36</f>
        <v>0</v>
      </c>
      <c r="K36" s="56"/>
      <c r="L36" s="41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/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/>
    </row>
    <row r="37" spans="1:60" ht="14.25" thickTop="1" thickBot="1" x14ac:dyDescent="0.25">
      <c r="A37" s="6"/>
      <c r="B37" s="6" t="s">
        <v>140</v>
      </c>
      <c r="C37" s="6"/>
      <c r="D37" s="6"/>
      <c r="E37" s="6"/>
      <c r="F37" s="6" t="s">
        <v>78</v>
      </c>
      <c r="G37" s="6">
        <v>0</v>
      </c>
      <c r="H37" s="6">
        <f>G37*F16</f>
        <v>0</v>
      </c>
      <c r="I37" s="19">
        <v>0</v>
      </c>
      <c r="J37" s="19">
        <f>H37*I37</f>
        <v>0</v>
      </c>
      <c r="K37" s="56"/>
      <c r="L37" s="41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/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</row>
    <row r="38" spans="1:60" ht="14.25" thickTop="1" thickBot="1" x14ac:dyDescent="0.25">
      <c r="A38" s="6"/>
      <c r="B38" s="6" t="s">
        <v>138</v>
      </c>
      <c r="C38" s="6"/>
      <c r="D38" s="6"/>
      <c r="E38" s="6"/>
      <c r="F38" s="6" t="s">
        <v>128</v>
      </c>
      <c r="G38" s="6">
        <v>0</v>
      </c>
      <c r="H38" s="6">
        <f>G38*F16</f>
        <v>0</v>
      </c>
      <c r="I38" s="19">
        <v>9.02</v>
      </c>
      <c r="J38" s="19">
        <f>H38*I38</f>
        <v>0</v>
      </c>
      <c r="K38" s="56"/>
      <c r="L38" s="41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/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</row>
    <row r="39" spans="1:60" ht="14.25" thickTop="1" thickBot="1" x14ac:dyDescent="0.25">
      <c r="A39" s="6"/>
      <c r="B39" s="6" t="s">
        <v>289</v>
      </c>
      <c r="C39" s="6"/>
      <c r="D39" s="6"/>
      <c r="E39" s="6"/>
      <c r="F39" s="6" t="s">
        <v>257</v>
      </c>
      <c r="G39" s="6">
        <v>0</v>
      </c>
      <c r="H39" s="6">
        <f>G39*F16</f>
        <v>0</v>
      </c>
      <c r="I39" s="19">
        <v>14</v>
      </c>
      <c r="J39" s="19">
        <f>H39*I39</f>
        <v>0</v>
      </c>
      <c r="K39" s="56"/>
      <c r="L39" s="41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</row>
    <row r="40" spans="1:60" ht="14.25" thickTop="1" thickBot="1" x14ac:dyDescent="0.25">
      <c r="A40" s="6"/>
      <c r="B40" s="6" t="s">
        <v>134</v>
      </c>
      <c r="C40" s="6"/>
      <c r="D40" s="6"/>
      <c r="E40" s="6"/>
      <c r="F40" s="6" t="s">
        <v>70</v>
      </c>
      <c r="G40" s="6">
        <v>1</v>
      </c>
      <c r="H40" s="6">
        <f>SUM(J25:J39)*0.5</f>
        <v>3116.25</v>
      </c>
      <c r="I40" s="57">
        <v>0.08</v>
      </c>
      <c r="J40" s="58">
        <f>+(I40*H40)*days/365</f>
        <v>102.45205479452055</v>
      </c>
      <c r="K40" s="59"/>
      <c r="L40" s="41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/>
    </row>
    <row r="41" spans="1:60" ht="13.5" thickBot="1" x14ac:dyDescent="0.25">
      <c r="A41" s="6"/>
      <c r="B41" s="23" t="s">
        <v>212</v>
      </c>
      <c r="C41" s="23"/>
      <c r="D41" s="23"/>
      <c r="E41" s="23"/>
      <c r="F41" s="23"/>
      <c r="G41" s="23" t="s">
        <v>0</v>
      </c>
      <c r="H41" s="23"/>
      <c r="I41" s="23"/>
      <c r="J41" s="24">
        <f>SUM(J25:J40)</f>
        <v>6334.9520547945203</v>
      </c>
      <c r="K41" s="60"/>
      <c r="L41" s="41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</row>
    <row r="42" spans="1:60" ht="15" x14ac:dyDescent="0.2">
      <c r="A42" s="6"/>
      <c r="B42" s="61"/>
      <c r="C42" s="61"/>
      <c r="D42" s="61"/>
      <c r="E42" s="61"/>
      <c r="F42" s="61"/>
      <c r="G42" s="61"/>
      <c r="H42" s="61"/>
      <c r="I42" s="61"/>
      <c r="J42" s="61"/>
      <c r="K42" s="62"/>
      <c r="L42" s="63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</row>
    <row r="43" spans="1:60" ht="26.25" thickBot="1" x14ac:dyDescent="0.25">
      <c r="A43" s="64" t="s">
        <v>290</v>
      </c>
      <c r="B43" s="230" t="str">
        <f>IF($R$1=3,"FIXED COST:(No Fixed Cost for Variable Cost Budget","FIXED COST:(Click Appropriate Link for Calculation of Fixed Costs or Payments)")</f>
        <v>FIXED COST:(No Fixed Cost for Variable Cost Budget</v>
      </c>
      <c r="C43" s="230"/>
      <c r="D43" s="230"/>
      <c r="E43" s="230"/>
      <c r="F43" s="230"/>
      <c r="G43" s="230"/>
      <c r="H43" s="65" t="str">
        <f>IF($R$1&lt;&gt;3,ACRES,"")</f>
        <v/>
      </c>
      <c r="I43" s="66" t="str">
        <f>IF($R$1=1,TFC,IF($R$1=2,payment,""))</f>
        <v/>
      </c>
      <c r="J43" s="66" t="str">
        <f>IF($R$1&lt;&gt;3,I43*H43,"")</f>
        <v/>
      </c>
      <c r="K43" s="67"/>
      <c r="L43" s="67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</row>
    <row r="44" spans="1:60" ht="27" thickTop="1" thickBot="1" x14ac:dyDescent="0.25">
      <c r="A44" s="64" t="s">
        <v>291</v>
      </c>
      <c r="B44" s="68" t="str">
        <f>IF($R$1=1,"OVERHEAD"," ")</f>
        <v xml:space="preserve"> </v>
      </c>
      <c r="C44" s="69"/>
      <c r="D44" s="69"/>
      <c r="E44" s="69"/>
      <c r="F44" s="69" t="str">
        <f>IF($R$1=1,"ACRE"," ")</f>
        <v xml:space="preserve"> </v>
      </c>
      <c r="G44" s="69"/>
      <c r="H44" s="65" t="str">
        <f>IF($R$1=1,ACRES,"")</f>
        <v/>
      </c>
      <c r="I44" s="66" t="str">
        <f>IF($R$1=1,3,"")</f>
        <v/>
      </c>
      <c r="J44" s="66" t="str">
        <f>IF($R$1=1,I44*H44,"")</f>
        <v/>
      </c>
      <c r="K44" s="56"/>
      <c r="L44" s="67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</row>
    <row r="45" spans="1:60" ht="14.25" thickTop="1" thickBot="1" x14ac:dyDescent="0.25">
      <c r="A45" s="6"/>
      <c r="B45" s="68" t="str">
        <f>IF($R$1=1,"MANAGEMENT"," ")</f>
        <v xml:space="preserve"> </v>
      </c>
      <c r="C45" s="69"/>
      <c r="D45" s="69"/>
      <c r="E45" s="69"/>
      <c r="F45" s="69" t="str">
        <f>IF($R$1=1,"% EXPENSES"," ")</f>
        <v xml:space="preserve"> </v>
      </c>
      <c r="G45" s="69"/>
      <c r="H45" s="65" t="str">
        <f>IF($R$1=1,tVC,"")</f>
        <v/>
      </c>
      <c r="I45" s="70" t="str">
        <f>IF($R$1=1,0.05,"")</f>
        <v/>
      </c>
      <c r="J45" s="66" t="str">
        <f>IF($R$1=1,I45*H45,"")</f>
        <v/>
      </c>
      <c r="K45" s="56"/>
      <c r="L45" s="67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</row>
    <row r="46" spans="1:60" ht="14.25" thickTop="1" thickBot="1" x14ac:dyDescent="0.25">
      <c r="A46" s="6"/>
      <c r="B46" s="68" t="str">
        <f>IF($R$1=1,"LAND"," ")</f>
        <v xml:space="preserve"> </v>
      </c>
      <c r="C46" s="69"/>
      <c r="D46" s="69"/>
      <c r="E46" s="69"/>
      <c r="F46" s="69" t="str">
        <f>IF($R$1=1,"ACRE"," ")</f>
        <v xml:space="preserve"> </v>
      </c>
      <c r="G46" s="69"/>
      <c r="H46" s="65" t="str">
        <f>IF($R$1=1,ACRES,"")</f>
        <v/>
      </c>
      <c r="I46" s="66" t="str">
        <f>IF($R$1=1,0," ")</f>
        <v xml:space="preserve"> </v>
      </c>
      <c r="J46" s="66" t="str">
        <f>IF($R$1=1,I46*H46,"")</f>
        <v/>
      </c>
      <c r="K46" s="56"/>
      <c r="L46" s="67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</row>
    <row r="47" spans="1:60" ht="13.5" thickTop="1" x14ac:dyDescent="0.2">
      <c r="A47" s="6"/>
      <c r="B47" s="71" t="s">
        <v>292</v>
      </c>
      <c r="C47" s="71"/>
      <c r="D47" s="71"/>
      <c r="E47" s="71"/>
      <c r="F47" s="71" t="s">
        <v>0</v>
      </c>
      <c r="G47" s="71" t="s">
        <v>0</v>
      </c>
      <c r="H47" s="71" t="s">
        <v>0</v>
      </c>
      <c r="I47" s="72" t="s">
        <v>0</v>
      </c>
      <c r="J47" s="72">
        <f>+SUM(J43:J46)</f>
        <v>0</v>
      </c>
      <c r="K47" s="59"/>
      <c r="L47" s="67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</row>
    <row r="48" spans="1:60" x14ac:dyDescent="0.2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73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</row>
    <row r="49" spans="1:60" ht="15" x14ac:dyDescent="0.2">
      <c r="A49" s="6"/>
      <c r="B49" s="229" t="s">
        <v>293</v>
      </c>
      <c r="C49" s="229"/>
      <c r="D49" s="229"/>
      <c r="E49" s="229"/>
      <c r="F49" s="74"/>
      <c r="G49" s="74"/>
      <c r="H49" s="74"/>
      <c r="I49" s="74"/>
      <c r="J49" s="109">
        <f>+J47+tvc_grazing</f>
        <v>6334.9520547945203</v>
      </c>
      <c r="K49" s="6"/>
      <c r="L49" s="41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</row>
    <row r="50" spans="1:60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41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</row>
    <row r="51" spans="1:60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41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</row>
    <row r="52" spans="1:60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41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</row>
    <row r="53" spans="1:60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41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</row>
    <row r="54" spans="1:60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75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</row>
    <row r="55" spans="1:60" x14ac:dyDescent="0.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41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</row>
    <row r="56" spans="1:60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41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</row>
    <row r="57" spans="1:60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41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</row>
    <row r="58" spans="1:60" x14ac:dyDescent="0.2">
      <c r="A58" s="6"/>
      <c r="B58" s="15" t="s">
        <v>294</v>
      </c>
      <c r="C58" s="15"/>
      <c r="D58" s="15"/>
      <c r="E58" s="15"/>
      <c r="F58" s="15"/>
      <c r="G58" s="15"/>
      <c r="H58" s="15"/>
      <c r="I58" s="15"/>
      <c r="J58" s="6"/>
      <c r="K58" s="6"/>
      <c r="L58" s="41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</row>
    <row r="59" spans="1:60" ht="6" customHeight="1" x14ac:dyDescent="0.2">
      <c r="A59" s="6"/>
      <c r="B59" s="15"/>
      <c r="C59" s="15"/>
      <c r="D59" s="15"/>
      <c r="E59" s="15"/>
      <c r="F59" s="15"/>
      <c r="G59" s="15"/>
      <c r="H59" s="15"/>
      <c r="I59" s="15"/>
      <c r="J59" s="6"/>
      <c r="K59" s="6"/>
      <c r="L59" s="41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</row>
    <row r="60" spans="1:60" ht="29.25" customHeight="1" x14ac:dyDescent="0.2">
      <c r="A60" s="6"/>
      <c r="C60" s="226" t="s">
        <v>295</v>
      </c>
      <c r="D60" s="227"/>
      <c r="E60" s="227"/>
      <c r="F60" s="227"/>
      <c r="G60" s="227"/>
      <c r="H60" s="227"/>
      <c r="I60" s="76"/>
      <c r="J60" s="6"/>
      <c r="K60" s="6"/>
      <c r="L60" s="41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</row>
    <row r="61" spans="1:60" ht="13.5" thickBot="1" x14ac:dyDescent="0.25">
      <c r="A61" s="6"/>
      <c r="C61" s="77"/>
      <c r="D61" s="78">
        <v>-0.25</v>
      </c>
      <c r="E61" s="78">
        <v>-0.1</v>
      </c>
      <c r="F61" s="79" t="s">
        <v>110</v>
      </c>
      <c r="G61" s="80" t="s">
        <v>296</v>
      </c>
      <c r="H61" s="81" t="s">
        <v>297</v>
      </c>
      <c r="I61" s="82"/>
      <c r="J61" s="6"/>
      <c r="K61" s="6" t="s">
        <v>0</v>
      </c>
      <c r="L61" s="41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</row>
    <row r="62" spans="1:60" ht="26.25" thickBot="1" x14ac:dyDescent="0.25">
      <c r="A62" s="6"/>
      <c r="C62" s="83" t="s">
        <v>298</v>
      </c>
      <c r="D62" s="84">
        <f>+F62*0.75</f>
        <v>4751.21404109589</v>
      </c>
      <c r="E62" s="84">
        <f>+F62*0.9</f>
        <v>5701.4568493150682</v>
      </c>
      <c r="F62" s="84">
        <f>+tvc_grazing</f>
        <v>6334.9520547945203</v>
      </c>
      <c r="G62" s="84">
        <f>+F62*1.1</f>
        <v>6968.4472602739734</v>
      </c>
      <c r="H62" s="85">
        <f>+F62*1.25</f>
        <v>7918.6900684931506</v>
      </c>
      <c r="I62" s="86"/>
      <c r="J62" s="6"/>
      <c r="K62" s="6"/>
      <c r="L62" s="41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</row>
    <row r="63" spans="1:60" x14ac:dyDescent="0.2">
      <c r="A63" s="6"/>
      <c r="C63" s="87">
        <v>30</v>
      </c>
      <c r="D63" s="88">
        <f t="shared" ref="D63:H68" si="0">+D$62/$C63</f>
        <v>158.373801369863</v>
      </c>
      <c r="E63" s="88">
        <f t="shared" si="0"/>
        <v>190.0485616438356</v>
      </c>
      <c r="F63" s="88">
        <f t="shared" si="0"/>
        <v>211.16506849315067</v>
      </c>
      <c r="G63" s="88">
        <f t="shared" si="0"/>
        <v>232.28157534246577</v>
      </c>
      <c r="H63" s="88">
        <f t="shared" si="0"/>
        <v>263.95633561643837</v>
      </c>
      <c r="I63" s="86"/>
      <c r="J63" s="6"/>
      <c r="K63" s="6"/>
      <c r="L63" s="41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</row>
    <row r="64" spans="1:60" x14ac:dyDescent="0.2">
      <c r="A64" s="6"/>
      <c r="C64" s="87">
        <v>60</v>
      </c>
      <c r="D64" s="88">
        <f t="shared" si="0"/>
        <v>79.186900684931501</v>
      </c>
      <c r="E64" s="89">
        <f t="shared" si="0"/>
        <v>95.024280821917799</v>
      </c>
      <c r="F64" s="89">
        <f t="shared" si="0"/>
        <v>105.58253424657534</v>
      </c>
      <c r="G64" s="89">
        <f t="shared" si="0"/>
        <v>116.14078767123289</v>
      </c>
      <c r="H64" s="88">
        <f t="shared" si="0"/>
        <v>131.97816780821918</v>
      </c>
      <c r="I64" s="86"/>
      <c r="J64" s="6"/>
      <c r="K64" s="6"/>
      <c r="L64" s="41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</row>
    <row r="65" spans="1:60" x14ac:dyDescent="0.2">
      <c r="A65" s="6"/>
      <c r="C65" s="87">
        <v>90</v>
      </c>
      <c r="D65" s="88">
        <f t="shared" si="0"/>
        <v>52.791267123287668</v>
      </c>
      <c r="E65" s="89">
        <f t="shared" si="0"/>
        <v>63.349520547945204</v>
      </c>
      <c r="F65" s="89">
        <f t="shared" si="0"/>
        <v>70.388356164383566</v>
      </c>
      <c r="G65" s="89">
        <f t="shared" si="0"/>
        <v>77.427191780821929</v>
      </c>
      <c r="H65" s="88">
        <f t="shared" si="0"/>
        <v>87.985445205479451</v>
      </c>
      <c r="I65" s="86"/>
      <c r="J65" s="6"/>
      <c r="K65" s="6"/>
      <c r="L65" s="41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</row>
    <row r="66" spans="1:60" x14ac:dyDescent="0.2">
      <c r="A66" s="6"/>
      <c r="C66" s="87">
        <v>120</v>
      </c>
      <c r="D66" s="88">
        <f t="shared" si="0"/>
        <v>39.593450342465751</v>
      </c>
      <c r="E66" s="89">
        <f t="shared" si="0"/>
        <v>47.512140410958899</v>
      </c>
      <c r="F66" s="89">
        <f t="shared" si="0"/>
        <v>52.791267123287668</v>
      </c>
      <c r="G66" s="89">
        <f t="shared" si="0"/>
        <v>58.070393835616443</v>
      </c>
      <c r="H66" s="88">
        <f t="shared" si="0"/>
        <v>65.989083904109592</v>
      </c>
      <c r="I66" s="90"/>
      <c r="J66" s="6"/>
      <c r="K66" s="6"/>
      <c r="L66" s="41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</row>
    <row r="67" spans="1:60" x14ac:dyDescent="0.2">
      <c r="A67" s="6"/>
      <c r="C67" s="87">
        <v>150</v>
      </c>
      <c r="D67" s="88">
        <f t="shared" si="0"/>
        <v>31.674760273972598</v>
      </c>
      <c r="E67" s="88">
        <f t="shared" si="0"/>
        <v>38.009712328767122</v>
      </c>
      <c r="F67" s="88">
        <f t="shared" si="0"/>
        <v>42.233013698630138</v>
      </c>
      <c r="G67" s="88">
        <f t="shared" si="0"/>
        <v>46.456315068493154</v>
      </c>
      <c r="H67" s="88">
        <f t="shared" si="0"/>
        <v>52.791267123287668</v>
      </c>
      <c r="I67" s="23"/>
      <c r="J67" s="6"/>
      <c r="K67" s="6"/>
      <c r="L67" s="41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</row>
    <row r="68" spans="1:60" ht="13.5" thickBot="1" x14ac:dyDescent="0.25">
      <c r="A68" s="6"/>
      <c r="C68" s="91">
        <v>180</v>
      </c>
      <c r="D68" s="88">
        <f t="shared" si="0"/>
        <v>26.395633561643834</v>
      </c>
      <c r="E68" s="88">
        <f t="shared" si="0"/>
        <v>31.674760273972602</v>
      </c>
      <c r="F68" s="88">
        <f t="shared" si="0"/>
        <v>35.194178082191783</v>
      </c>
      <c r="G68" s="88">
        <f t="shared" si="0"/>
        <v>38.713595890410964</v>
      </c>
      <c r="H68" s="88">
        <f t="shared" si="0"/>
        <v>43.992722602739725</v>
      </c>
      <c r="I68" s="6"/>
      <c r="J68" s="6"/>
      <c r="K68" s="6" t="s">
        <v>0</v>
      </c>
      <c r="L68" s="41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</row>
    <row r="69" spans="1:60" x14ac:dyDescent="0.2">
      <c r="A69" s="6"/>
      <c r="C69" s="92"/>
      <c r="D69" s="88"/>
      <c r="E69" s="88"/>
      <c r="F69" s="88"/>
      <c r="G69" s="88"/>
      <c r="H69" s="88"/>
      <c r="I69" s="6"/>
      <c r="J69" s="6"/>
      <c r="K69" s="6"/>
      <c r="L69" s="41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</row>
    <row r="70" spans="1:60" x14ac:dyDescent="0.2">
      <c r="A70" s="6"/>
      <c r="B70" s="6"/>
      <c r="C70" s="92"/>
      <c r="D70" s="88"/>
      <c r="E70" s="88"/>
      <c r="F70" s="88"/>
      <c r="G70" s="88"/>
      <c r="H70" s="88"/>
      <c r="I70" s="6"/>
      <c r="J70" s="6"/>
      <c r="K70" s="6"/>
      <c r="L70" s="41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</row>
    <row r="71" spans="1:60" ht="29.25" customHeight="1" x14ac:dyDescent="0.2">
      <c r="A71" s="6"/>
      <c r="C71" s="226" t="s">
        <v>299</v>
      </c>
      <c r="D71" s="227"/>
      <c r="E71" s="227"/>
      <c r="F71" s="227"/>
      <c r="G71" s="227"/>
      <c r="H71" s="227"/>
      <c r="I71" s="76"/>
      <c r="J71" s="6"/>
      <c r="K71" s="6"/>
      <c r="L71" s="41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</row>
    <row r="72" spans="1:60" ht="13.5" thickBot="1" x14ac:dyDescent="0.25">
      <c r="A72" s="6"/>
      <c r="C72" s="77"/>
      <c r="D72" s="78">
        <v>-0.25</v>
      </c>
      <c r="E72" s="78">
        <v>-0.1</v>
      </c>
      <c r="F72" s="79" t="s">
        <v>110</v>
      </c>
      <c r="G72" s="80" t="s">
        <v>296</v>
      </c>
      <c r="H72" s="81" t="s">
        <v>297</v>
      </c>
      <c r="I72" s="6"/>
      <c r="J72" s="6"/>
      <c r="K72" s="6"/>
      <c r="L72" s="41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</row>
    <row r="73" spans="1:60" ht="42" customHeight="1" thickBot="1" x14ac:dyDescent="0.25">
      <c r="A73" s="6"/>
      <c r="C73" s="83" t="s">
        <v>300</v>
      </c>
      <c r="D73" s="84">
        <f>+D62</f>
        <v>4751.21404109589</v>
      </c>
      <c r="E73" s="84">
        <f>+E62</f>
        <v>5701.4568493150682</v>
      </c>
      <c r="F73" s="84">
        <f>+F62</f>
        <v>6334.9520547945203</v>
      </c>
      <c r="G73" s="84">
        <f>+G62</f>
        <v>6968.4472602739734</v>
      </c>
      <c r="H73" s="85">
        <f>+H62</f>
        <v>7918.6900684931506</v>
      </c>
      <c r="I73" s="6"/>
      <c r="J73" s="6"/>
      <c r="K73" s="6"/>
      <c r="L73" s="41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</row>
    <row r="74" spans="1:60" x14ac:dyDescent="0.2">
      <c r="A74" s="6"/>
      <c r="C74" s="93">
        <v>0.25</v>
      </c>
      <c r="D74" s="94">
        <f t="shared" ref="D74:H78" si="1">+D$73/$C74</f>
        <v>19004.85616438356</v>
      </c>
      <c r="E74" s="94">
        <f t="shared" si="1"/>
        <v>22805.827397260273</v>
      </c>
      <c r="F74" s="94">
        <f t="shared" si="1"/>
        <v>25339.808219178081</v>
      </c>
      <c r="G74" s="94">
        <f t="shared" si="1"/>
        <v>27873.789041095893</v>
      </c>
      <c r="H74" s="94">
        <f t="shared" si="1"/>
        <v>31674.760273972603</v>
      </c>
      <c r="I74" s="15"/>
      <c r="J74" s="6"/>
      <c r="K74" s="6"/>
      <c r="L74" s="41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</row>
    <row r="75" spans="1:60" x14ac:dyDescent="0.2">
      <c r="A75" s="6"/>
      <c r="C75" s="93">
        <f>+C74+0.25</f>
        <v>0.5</v>
      </c>
      <c r="D75" s="94">
        <f t="shared" si="1"/>
        <v>9502.42808219178</v>
      </c>
      <c r="E75" s="95">
        <f t="shared" si="1"/>
        <v>11402.913698630136</v>
      </c>
      <c r="F75" s="95">
        <f t="shared" si="1"/>
        <v>12669.904109589041</v>
      </c>
      <c r="G75" s="95">
        <f t="shared" si="1"/>
        <v>13936.894520547947</v>
      </c>
      <c r="H75" s="94">
        <f t="shared" si="1"/>
        <v>15837.380136986301</v>
      </c>
      <c r="I75" s="6"/>
      <c r="J75" s="6"/>
      <c r="K75" s="6"/>
      <c r="L75" s="41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</row>
    <row r="76" spans="1:60" x14ac:dyDescent="0.2">
      <c r="A76" s="6"/>
      <c r="C76" s="93">
        <f>+C75+0.25</f>
        <v>0.75</v>
      </c>
      <c r="D76" s="94">
        <f t="shared" si="1"/>
        <v>6334.9520547945203</v>
      </c>
      <c r="E76" s="95">
        <f t="shared" si="1"/>
        <v>7601.9424657534246</v>
      </c>
      <c r="F76" s="95">
        <f t="shared" si="1"/>
        <v>8446.6027397260277</v>
      </c>
      <c r="G76" s="95">
        <f t="shared" si="1"/>
        <v>9291.2630136986318</v>
      </c>
      <c r="H76" s="94">
        <f t="shared" si="1"/>
        <v>10558.253424657534</v>
      </c>
      <c r="I76" s="86"/>
      <c r="J76" s="6"/>
      <c r="K76" s="6"/>
      <c r="L76" s="41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</row>
    <row r="77" spans="1:60" x14ac:dyDescent="0.2">
      <c r="A77" s="6"/>
      <c r="C77" s="93">
        <f>+C76+0.25</f>
        <v>1</v>
      </c>
      <c r="D77" s="94">
        <f t="shared" si="1"/>
        <v>4751.21404109589</v>
      </c>
      <c r="E77" s="95">
        <f t="shared" si="1"/>
        <v>5701.4568493150682</v>
      </c>
      <c r="F77" s="95">
        <f t="shared" si="1"/>
        <v>6334.9520547945203</v>
      </c>
      <c r="G77" s="95">
        <f t="shared" si="1"/>
        <v>6968.4472602739734</v>
      </c>
      <c r="H77" s="94">
        <f t="shared" si="1"/>
        <v>7918.6900684931506</v>
      </c>
      <c r="I77" s="6"/>
      <c r="J77" s="6"/>
      <c r="K77" s="6"/>
      <c r="L77" s="41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</row>
    <row r="78" spans="1:60" ht="13.5" thickBot="1" x14ac:dyDescent="0.25">
      <c r="A78" s="6"/>
      <c r="C78" s="96">
        <f>+C77+0.25</f>
        <v>1.25</v>
      </c>
      <c r="D78" s="94">
        <f t="shared" si="1"/>
        <v>3800.9712328767118</v>
      </c>
      <c r="E78" s="94">
        <f t="shared" si="1"/>
        <v>4561.1654794520546</v>
      </c>
      <c r="F78" s="94">
        <f t="shared" si="1"/>
        <v>5067.9616438356161</v>
      </c>
      <c r="G78" s="94">
        <f t="shared" si="1"/>
        <v>5574.7578082191785</v>
      </c>
      <c r="H78" s="94">
        <f t="shared" si="1"/>
        <v>6334.9520547945203</v>
      </c>
      <c r="I78" s="97"/>
      <c r="J78" s="97"/>
      <c r="K78" s="6" t="s">
        <v>0</v>
      </c>
      <c r="L78" s="98"/>
      <c r="M78" s="99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</row>
    <row r="79" spans="1:60" x14ac:dyDescent="0.2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41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</row>
    <row r="80" spans="1:60" x14ac:dyDescent="0.2">
      <c r="A80" s="6"/>
      <c r="B80" s="100"/>
      <c r="C80" s="100"/>
      <c r="D80" s="101"/>
      <c r="E80" s="100"/>
      <c r="F80" s="100"/>
      <c r="G80" s="100"/>
      <c r="H80" s="100"/>
      <c r="I80" s="100"/>
      <c r="J80" s="100"/>
      <c r="K80" s="6" t="s">
        <v>2</v>
      </c>
      <c r="L80" s="6"/>
      <c r="M80" s="6"/>
      <c r="N80" s="41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</row>
    <row r="81" spans="1:60" x14ac:dyDescent="0.2">
      <c r="A81" s="6"/>
      <c r="B81" s="6"/>
      <c r="C81" s="6"/>
      <c r="D81" s="101"/>
      <c r="E81" s="6"/>
      <c r="F81" s="6"/>
      <c r="G81" s="6"/>
      <c r="H81" s="6"/>
      <c r="I81" s="6"/>
      <c r="J81" s="97"/>
      <c r="K81" s="6"/>
      <c r="L81" s="6"/>
      <c r="M81" s="6"/>
      <c r="N81" s="41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</row>
    <row r="82" spans="1:60" x14ac:dyDescent="0.2">
      <c r="A82" s="6"/>
      <c r="B82" s="102"/>
      <c r="C82" s="102"/>
      <c r="D82" s="102"/>
      <c r="E82" s="102"/>
      <c r="F82" s="102"/>
      <c r="G82" s="102"/>
      <c r="H82" s="102"/>
      <c r="I82" s="102"/>
      <c r="J82" s="102"/>
      <c r="K82" s="6"/>
      <c r="L82" s="6"/>
      <c r="M82" s="6"/>
      <c r="N82" s="41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</row>
    <row r="83" spans="1:60" x14ac:dyDescent="0.2">
      <c r="A83" s="6"/>
      <c r="B83" s="102"/>
      <c r="C83" s="102"/>
      <c r="D83" s="102"/>
      <c r="E83" s="102"/>
      <c r="F83" s="102"/>
      <c r="G83" s="102"/>
      <c r="H83" s="102"/>
      <c r="I83" s="102"/>
      <c r="J83" s="102"/>
      <c r="K83" s="6"/>
      <c r="L83" s="6"/>
      <c r="M83" s="6"/>
      <c r="N83" s="41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</row>
    <row r="84" spans="1:60" x14ac:dyDescent="0.2">
      <c r="A84" s="6"/>
      <c r="B84" s="102"/>
      <c r="C84" s="102"/>
      <c r="D84" s="102"/>
      <c r="E84" s="102"/>
      <c r="F84" s="102"/>
      <c r="G84" s="102"/>
      <c r="H84" s="102"/>
      <c r="I84" s="102"/>
      <c r="J84" s="102"/>
      <c r="K84" s="6" t="s">
        <v>0</v>
      </c>
      <c r="L84" s="6"/>
      <c r="M84" s="6"/>
      <c r="N84" s="41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</row>
    <row r="85" spans="1:60" x14ac:dyDescent="0.2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41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</row>
    <row r="86" spans="1:60" x14ac:dyDescent="0.2">
      <c r="A86" s="6"/>
      <c r="B86" s="6"/>
      <c r="C86" s="6"/>
      <c r="D86" s="6"/>
      <c r="E86" s="103"/>
      <c r="F86" s="6"/>
      <c r="G86" s="103"/>
      <c r="H86" s="6"/>
      <c r="I86" s="103"/>
      <c r="J86" s="6"/>
      <c r="K86" s="6"/>
      <c r="L86" s="6"/>
      <c r="M86" s="6"/>
      <c r="N86" s="41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</row>
    <row r="87" spans="1:60" x14ac:dyDescent="0.2">
      <c r="A87" s="6"/>
      <c r="B87" s="6"/>
      <c r="C87" s="6"/>
      <c r="D87" s="22"/>
      <c r="E87" s="22"/>
      <c r="F87" s="22"/>
      <c r="G87" s="22"/>
      <c r="H87" s="22"/>
      <c r="I87" s="22"/>
      <c r="J87" s="22"/>
      <c r="K87" s="6"/>
      <c r="L87" s="6"/>
      <c r="M87" s="6"/>
      <c r="N87" s="41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</row>
    <row r="88" spans="1:60" x14ac:dyDescent="0.2">
      <c r="A88" s="6"/>
      <c r="B88" s="6"/>
      <c r="C88" s="6"/>
      <c r="D88" s="17"/>
      <c r="E88" s="17"/>
      <c r="F88" s="17"/>
      <c r="G88" s="17"/>
      <c r="H88" s="17"/>
      <c r="I88" s="17"/>
      <c r="J88" s="17"/>
      <c r="K88" s="6"/>
      <c r="L88" s="6"/>
      <c r="M88" s="6"/>
      <c r="N88" s="41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</row>
    <row r="89" spans="1:60" x14ac:dyDescent="0.2">
      <c r="A89" s="6"/>
      <c r="B89" s="6"/>
      <c r="C89" s="6"/>
      <c r="D89" s="17"/>
      <c r="E89" s="17"/>
      <c r="F89" s="17"/>
      <c r="G89" s="17"/>
      <c r="H89" s="17"/>
      <c r="I89" s="17"/>
      <c r="J89" s="17"/>
      <c r="K89" s="6"/>
      <c r="L89" s="6"/>
      <c r="M89" s="6"/>
      <c r="N89" s="41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</row>
    <row r="90" spans="1:60" x14ac:dyDescent="0.2">
      <c r="A90" s="6"/>
      <c r="B90" s="6"/>
      <c r="C90" s="6"/>
      <c r="D90" s="6"/>
      <c r="E90" s="6"/>
      <c r="F90" s="6"/>
      <c r="G90" s="6"/>
      <c r="H90" s="6"/>
      <c r="I90" s="6"/>
      <c r="J90" s="6"/>
      <c r="K90" s="6" t="s">
        <v>2</v>
      </c>
      <c r="L90" s="6"/>
      <c r="M90" s="6"/>
      <c r="N90" s="41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</row>
    <row r="91" spans="1:60" x14ac:dyDescent="0.2">
      <c r="A91" s="6"/>
      <c r="B91" s="23"/>
      <c r="C91" s="6"/>
      <c r="D91" s="6"/>
      <c r="E91" s="101"/>
      <c r="F91" s="23"/>
      <c r="G91" s="6"/>
      <c r="H91" s="6"/>
      <c r="I91" s="6"/>
      <c r="J91" s="104"/>
      <c r="K91" s="6"/>
      <c r="L91" s="6"/>
      <c r="M91" s="6"/>
      <c r="N91" s="41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</row>
    <row r="92" spans="1:60" x14ac:dyDescent="0.2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41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</row>
    <row r="93" spans="1:60" x14ac:dyDescent="0.2">
      <c r="A93" s="6"/>
      <c r="B93" s="6"/>
      <c r="C93" s="6"/>
      <c r="D93" s="6"/>
      <c r="E93" s="6"/>
      <c r="F93" s="6"/>
      <c r="G93" s="6"/>
      <c r="H93" s="6"/>
      <c r="I93" s="6"/>
      <c r="J93" s="6"/>
      <c r="K93" s="6" t="s">
        <v>2</v>
      </c>
      <c r="L93" s="6"/>
      <c r="M93" s="6"/>
      <c r="N93" s="41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</row>
    <row r="94" spans="1:60" x14ac:dyDescent="0.2">
      <c r="A94" s="6"/>
      <c r="B94" s="105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41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</row>
    <row r="95" spans="1:60" x14ac:dyDescent="0.2">
      <c r="A95" s="6"/>
      <c r="B95" s="106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</row>
    <row r="96" spans="1:60" x14ac:dyDescent="0.2">
      <c r="A96" s="6"/>
      <c r="B96" s="41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 t="s">
        <v>76</v>
      </c>
      <c r="P96" s="42" t="s">
        <v>11</v>
      </c>
      <c r="Q96" s="42"/>
      <c r="R96" s="42"/>
      <c r="S96" s="42"/>
      <c r="T96" s="42" t="s">
        <v>76</v>
      </c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</row>
    <row r="97" spans="1:60" x14ac:dyDescent="0.2">
      <c r="A97" s="6"/>
      <c r="B97" s="41"/>
      <c r="C97" s="42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 t="s">
        <v>76</v>
      </c>
      <c r="P97" s="42" t="s">
        <v>1</v>
      </c>
      <c r="Q97" s="42"/>
      <c r="R97" s="42"/>
      <c r="S97" s="42"/>
      <c r="T97" s="42" t="s">
        <v>76</v>
      </c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</row>
    <row r="98" spans="1:60" x14ac:dyDescent="0.2">
      <c r="A98" s="6"/>
      <c r="B98" s="41"/>
      <c r="C98" s="42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</row>
    <row r="99" spans="1:60" x14ac:dyDescent="0.2">
      <c r="A99" s="6"/>
      <c r="B99" s="41"/>
      <c r="C99" s="42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</row>
    <row r="100" spans="1:60" x14ac:dyDescent="0.2">
      <c r="A100" s="6"/>
      <c r="B100" s="41"/>
      <c r="C100" s="42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 t="s">
        <v>76</v>
      </c>
      <c r="P100" s="42">
        <f>+F16</f>
        <v>50</v>
      </c>
      <c r="Q100" s="42" t="s">
        <v>78</v>
      </c>
      <c r="R100" s="42"/>
      <c r="S100" s="42"/>
      <c r="T100" s="42" t="s">
        <v>76</v>
      </c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</row>
    <row r="101" spans="1:60" x14ac:dyDescent="0.2">
      <c r="A101" s="6"/>
      <c r="B101" s="41"/>
      <c r="C101" s="42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 t="s">
        <v>76</v>
      </c>
      <c r="P101" s="42" t="e">
        <f>+#REF!</f>
        <v>#REF!</v>
      </c>
      <c r="Q101" s="42" t="s">
        <v>18</v>
      </c>
      <c r="R101" s="42" t="e">
        <f>+#REF!</f>
        <v>#REF!</v>
      </c>
      <c r="S101" s="42" t="s">
        <v>17</v>
      </c>
      <c r="T101" s="42" t="s">
        <v>76</v>
      </c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</row>
    <row r="102" spans="1:60" x14ac:dyDescent="0.2">
      <c r="A102" s="6"/>
      <c r="B102" s="41"/>
      <c r="C102" s="42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 t="s">
        <v>76</v>
      </c>
      <c r="P102" s="42" t="e">
        <f>+#REF!</f>
        <v>#REF!</v>
      </c>
      <c r="Q102" s="42" t="s">
        <v>35</v>
      </c>
      <c r="R102" s="42" t="e">
        <f>+#REF!</f>
        <v>#REF!</v>
      </c>
      <c r="S102" s="42" t="s">
        <v>34</v>
      </c>
      <c r="T102" s="42" t="s">
        <v>76</v>
      </c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</row>
    <row r="103" spans="1:60" x14ac:dyDescent="0.2">
      <c r="A103" s="6"/>
      <c r="B103" s="41"/>
      <c r="C103" s="42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 t="s">
        <v>76</v>
      </c>
      <c r="P103" s="42" t="e">
        <f>+#REF!</f>
        <v>#REF!</v>
      </c>
      <c r="Q103" s="42" t="s">
        <v>28</v>
      </c>
      <c r="R103" s="42" t="e">
        <f>#REF!</f>
        <v>#REF!</v>
      </c>
      <c r="S103" s="42" t="s">
        <v>27</v>
      </c>
      <c r="T103" s="42" t="s">
        <v>76</v>
      </c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</row>
    <row r="104" spans="1:60" x14ac:dyDescent="0.2">
      <c r="A104" s="6"/>
      <c r="B104" s="41"/>
      <c r="C104" s="42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 t="s">
        <v>76</v>
      </c>
      <c r="P104" s="42" t="e">
        <f>+#REF!</f>
        <v>#REF!</v>
      </c>
      <c r="Q104" s="42" t="s">
        <v>37</v>
      </c>
      <c r="R104" s="42" t="e">
        <f>#REF!</f>
        <v>#REF!</v>
      </c>
      <c r="S104" s="42" t="s">
        <v>36</v>
      </c>
      <c r="T104" s="42" t="s">
        <v>76</v>
      </c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</row>
    <row r="105" spans="1:60" x14ac:dyDescent="0.2">
      <c r="A105" s="6"/>
      <c r="B105" s="41"/>
      <c r="C105" s="42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</row>
    <row r="106" spans="1:60" x14ac:dyDescent="0.2">
      <c r="A106" s="6"/>
      <c r="B106" s="41"/>
      <c r="C106" s="42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 t="s">
        <v>76</v>
      </c>
      <c r="P106" s="42" t="e">
        <f>+#REF!</f>
        <v>#REF!</v>
      </c>
      <c r="Q106" s="42" t="s">
        <v>59</v>
      </c>
      <c r="R106" s="42">
        <f>J20</f>
        <v>0</v>
      </c>
      <c r="S106" s="42" t="s">
        <v>58</v>
      </c>
      <c r="T106" s="42" t="s">
        <v>76</v>
      </c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</row>
    <row r="107" spans="1:60" x14ac:dyDescent="0.2">
      <c r="A107" s="6"/>
      <c r="B107" s="41"/>
      <c r="C107" s="42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 t="s">
        <v>76</v>
      </c>
      <c r="P107" s="42">
        <v>0</v>
      </c>
      <c r="Q107" s="42" t="s">
        <v>25</v>
      </c>
      <c r="R107" s="42"/>
      <c r="S107" s="42"/>
      <c r="T107" s="42" t="s">
        <v>76</v>
      </c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</row>
    <row r="108" spans="1:60" x14ac:dyDescent="0.2">
      <c r="A108" s="107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 t="s">
        <v>76</v>
      </c>
      <c r="P108" s="42">
        <f>+G67</f>
        <v>46.456315068493154</v>
      </c>
      <c r="Q108" s="42" t="s">
        <v>49</v>
      </c>
      <c r="R108" s="42"/>
      <c r="S108" s="42"/>
      <c r="T108" s="42" t="s">
        <v>76</v>
      </c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</row>
    <row r="109" spans="1:60" x14ac:dyDescent="0.2">
      <c r="A109" s="42"/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 t="s">
        <v>76</v>
      </c>
      <c r="P109" s="42" t="s">
        <v>76</v>
      </c>
      <c r="Q109" s="42"/>
      <c r="R109" s="42"/>
      <c r="S109" s="42"/>
      <c r="T109" s="42" t="s">
        <v>76</v>
      </c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</row>
    <row r="110" spans="1:60" x14ac:dyDescent="0.2">
      <c r="A110" s="42"/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 t="s">
        <v>77</v>
      </c>
      <c r="P110" s="42" t="s">
        <v>1</v>
      </c>
      <c r="Q110" s="42"/>
      <c r="R110" s="42"/>
      <c r="S110" s="42"/>
      <c r="T110" s="42" t="s">
        <v>77</v>
      </c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</row>
    <row r="111" spans="1:60" x14ac:dyDescent="0.2">
      <c r="A111" s="42"/>
      <c r="B111" s="42"/>
      <c r="C111" s="42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</row>
    <row r="112" spans="1:60" x14ac:dyDescent="0.2">
      <c r="A112" s="42"/>
      <c r="B112" s="42"/>
      <c r="C112" s="42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 t="s">
        <v>77</v>
      </c>
      <c r="P112" s="42"/>
      <c r="Q112" s="42" t="s">
        <v>87</v>
      </c>
      <c r="R112" s="42"/>
      <c r="S112" s="42"/>
      <c r="T112" s="42" t="s">
        <v>77</v>
      </c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</row>
    <row r="113" spans="1:60" x14ac:dyDescent="0.2">
      <c r="A113" s="42"/>
      <c r="B113" s="42"/>
      <c r="C113" s="42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</row>
    <row r="114" spans="1:60" x14ac:dyDescent="0.2">
      <c r="A114" s="42"/>
      <c r="B114" s="42"/>
      <c r="C114" s="42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 t="s">
        <v>77</v>
      </c>
      <c r="P114" s="42" t="s">
        <v>1</v>
      </c>
      <c r="Q114" s="42"/>
      <c r="R114" s="42"/>
      <c r="S114" s="42"/>
      <c r="T114" s="42" t="s">
        <v>77</v>
      </c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</row>
    <row r="115" spans="1:60" x14ac:dyDescent="0.2">
      <c r="A115" s="42"/>
      <c r="B115" s="42"/>
      <c r="C115" s="42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 t="s">
        <v>77</v>
      </c>
      <c r="P115" s="42" t="e">
        <f>0.04*P101+0.25*P102+0.42*P103+0.25*P104+0.04*P106</f>
        <v>#REF!</v>
      </c>
      <c r="Q115" s="42" t="s">
        <v>23</v>
      </c>
      <c r="R115" s="42" t="e">
        <f>0.04*R101+0.25*R102+0.42*R103+0.25*R104+0.04*R106</f>
        <v>#REF!</v>
      </c>
      <c r="S115" s="42" t="s">
        <v>22</v>
      </c>
      <c r="T115" s="42" t="s">
        <v>77</v>
      </c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</row>
    <row r="116" spans="1:60" x14ac:dyDescent="0.2">
      <c r="A116" s="42"/>
      <c r="B116" s="42"/>
      <c r="C116" s="42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</row>
    <row r="117" spans="1:60" x14ac:dyDescent="0.2">
      <c r="A117" s="42"/>
      <c r="B117" s="42"/>
      <c r="C117" s="42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 t="s">
        <v>77</v>
      </c>
      <c r="P117" s="42" t="e">
        <f>0.25*(P101-P115)+0.5*(P102-P115)</f>
        <v>#REF!</v>
      </c>
      <c r="Q117" s="42" t="s">
        <v>47</v>
      </c>
      <c r="R117" s="42" t="e">
        <f>0.25*(R101-R115)+0.5*(R102-R115)</f>
        <v>#REF!</v>
      </c>
      <c r="S117" s="42" t="s">
        <v>39</v>
      </c>
      <c r="T117" s="42" t="s">
        <v>77</v>
      </c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</row>
    <row r="118" spans="1:60" x14ac:dyDescent="0.2">
      <c r="A118" s="42"/>
      <c r="B118" s="42"/>
      <c r="C118" s="42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 t="s">
        <v>77</v>
      </c>
      <c r="P118" s="42" t="e">
        <f>0.25*(P115-P106)+0.5*(P115-P104)</f>
        <v>#REF!</v>
      </c>
      <c r="Q118" s="42" t="s">
        <v>48</v>
      </c>
      <c r="R118" s="42" t="e">
        <f>0.25*(R115-R106)+0.5*(R115-R104)</f>
        <v>#REF!</v>
      </c>
      <c r="S118" s="42" t="s">
        <v>40</v>
      </c>
      <c r="T118" s="42" t="s">
        <v>77</v>
      </c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</row>
    <row r="119" spans="1:60" x14ac:dyDescent="0.2">
      <c r="A119" s="42"/>
      <c r="B119" s="42"/>
      <c r="C119" s="42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 t="s">
        <v>77</v>
      </c>
      <c r="P119" s="42" t="e">
        <f>P117^2</f>
        <v>#REF!</v>
      </c>
      <c r="Q119" s="42" t="s">
        <v>56</v>
      </c>
      <c r="R119" s="42" t="e">
        <f>R117^2</f>
        <v>#REF!</v>
      </c>
      <c r="S119" s="42" t="s">
        <v>50</v>
      </c>
      <c r="T119" s="42" t="s">
        <v>77</v>
      </c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</row>
    <row r="120" spans="1:60" x14ac:dyDescent="0.2">
      <c r="A120" s="42"/>
      <c r="B120" s="42"/>
      <c r="C120" s="42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 t="s">
        <v>77</v>
      </c>
      <c r="P120" s="42" t="e">
        <f>P118^2</f>
        <v>#REF!</v>
      </c>
      <c r="Q120" s="42" t="s">
        <v>57</v>
      </c>
      <c r="R120" s="42" t="e">
        <f>R118^2</f>
        <v>#REF!</v>
      </c>
      <c r="S120" s="42" t="s">
        <v>51</v>
      </c>
      <c r="T120" s="42" t="s">
        <v>77</v>
      </c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</row>
    <row r="121" spans="1:60" x14ac:dyDescent="0.2">
      <c r="A121" s="42"/>
      <c r="B121" s="42"/>
      <c r="C121" s="42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 t="s">
        <v>77</v>
      </c>
      <c r="P121" s="42" t="s">
        <v>1</v>
      </c>
      <c r="Q121" s="42"/>
      <c r="R121" s="42"/>
      <c r="S121" s="42"/>
      <c r="T121" s="42" t="s">
        <v>77</v>
      </c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</row>
    <row r="122" spans="1:60" x14ac:dyDescent="0.2">
      <c r="A122" s="42"/>
      <c r="B122" s="42"/>
      <c r="C122" s="42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 t="s">
        <v>77</v>
      </c>
      <c r="P122" s="42" t="e">
        <f>(P115^2*R119)+(R115-P107)^2*P119</f>
        <v>#REF!</v>
      </c>
      <c r="Q122" s="42" t="s">
        <v>52</v>
      </c>
      <c r="R122" s="42" t="e">
        <f>(P115^2*R120)+(R115-P107)^2*P120</f>
        <v>#REF!</v>
      </c>
      <c r="S122" s="42" t="s">
        <v>55</v>
      </c>
      <c r="T122" s="42" t="s">
        <v>77</v>
      </c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</row>
    <row r="123" spans="1:60" x14ac:dyDescent="0.2">
      <c r="A123" s="42"/>
      <c r="B123" s="42"/>
      <c r="C123" s="42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 t="s">
        <v>77</v>
      </c>
      <c r="P123" s="42" t="e">
        <f>(P115^2*R119)+(R115-P107)^2*P120</f>
        <v>#REF!</v>
      </c>
      <c r="Q123" s="42" t="s">
        <v>53</v>
      </c>
      <c r="R123" s="42" t="e">
        <f>P115^2*R120+(R115-P107)^2*P119</f>
        <v>#REF!</v>
      </c>
      <c r="S123" s="42" t="s">
        <v>54</v>
      </c>
      <c r="T123" s="42" t="s">
        <v>77</v>
      </c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</row>
    <row r="124" spans="1:60" x14ac:dyDescent="0.2">
      <c r="A124" s="42"/>
      <c r="B124" s="42"/>
      <c r="C124" s="42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 t="s">
        <v>77</v>
      </c>
      <c r="P124" s="108" t="e">
        <f>SQRT(P122)</f>
        <v>#REF!</v>
      </c>
      <c r="Q124" s="108" t="s">
        <v>41</v>
      </c>
      <c r="R124" s="108" t="e">
        <f>SQRT(R122)</f>
        <v>#REF!</v>
      </c>
      <c r="S124" s="42" t="s">
        <v>44</v>
      </c>
      <c r="T124" s="42" t="s">
        <v>77</v>
      </c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</row>
    <row r="125" spans="1:60" x14ac:dyDescent="0.2">
      <c r="A125" s="42"/>
      <c r="B125" s="42"/>
      <c r="C125" s="42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</row>
    <row r="126" spans="1:60" x14ac:dyDescent="0.2">
      <c r="A126" s="42"/>
      <c r="B126" s="42"/>
      <c r="C126" s="42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 t="s">
        <v>77</v>
      </c>
      <c r="P126" s="108" t="e">
        <f>SQRT(P123)</f>
        <v>#REF!</v>
      </c>
      <c r="Q126" s="108" t="s">
        <v>42</v>
      </c>
      <c r="R126" s="108" t="e">
        <f>SQRT(R123)</f>
        <v>#REF!</v>
      </c>
      <c r="S126" s="42" t="s">
        <v>43</v>
      </c>
      <c r="T126" s="42" t="s">
        <v>77</v>
      </c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</row>
    <row r="127" spans="1:60" x14ac:dyDescent="0.2">
      <c r="A127" s="42"/>
      <c r="B127" s="42"/>
      <c r="C127" s="42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 t="s">
        <v>77</v>
      </c>
      <c r="P127" s="108" t="e">
        <f>0.66*P124+0.17*P126+0.17*R126</f>
        <v>#REF!</v>
      </c>
      <c r="Q127" s="108" t="s">
        <v>45</v>
      </c>
      <c r="R127" s="108" t="e">
        <f>0.66*R124+0.17*P126+0.17*R126</f>
        <v>#REF!</v>
      </c>
      <c r="S127" s="42" t="s">
        <v>46</v>
      </c>
      <c r="T127" s="42" t="s">
        <v>77</v>
      </c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</row>
    <row r="128" spans="1:60" x14ac:dyDescent="0.2">
      <c r="A128" s="42"/>
      <c r="B128" s="42"/>
      <c r="C128" s="42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 t="s">
        <v>77</v>
      </c>
      <c r="P128" s="42" t="s">
        <v>1</v>
      </c>
      <c r="Q128" s="42"/>
      <c r="R128" s="42"/>
      <c r="S128" s="42"/>
      <c r="T128" s="42" t="s">
        <v>77</v>
      </c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</row>
    <row r="129" spans="1:60" x14ac:dyDescent="0.2">
      <c r="A129" s="42"/>
      <c r="B129" s="42"/>
      <c r="C129" s="42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 t="s">
        <v>77</v>
      </c>
      <c r="P129" s="42" t="s">
        <v>86</v>
      </c>
      <c r="Q129" s="42"/>
      <c r="R129" s="42"/>
      <c r="S129" s="42"/>
      <c r="T129" s="42" t="s">
        <v>77</v>
      </c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</row>
    <row r="130" spans="1:60" x14ac:dyDescent="0.2">
      <c r="A130" s="42"/>
      <c r="B130" s="42"/>
      <c r="C130" s="42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</row>
    <row r="131" spans="1:60" x14ac:dyDescent="0.2">
      <c r="A131" s="42"/>
      <c r="B131" s="42"/>
      <c r="C131" s="42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</row>
    <row r="132" spans="1:60" x14ac:dyDescent="0.2">
      <c r="A132" s="42"/>
      <c r="B132" s="42"/>
      <c r="C132" s="42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</row>
    <row r="133" spans="1:60" x14ac:dyDescent="0.2">
      <c r="A133" s="42"/>
      <c r="B133" s="42"/>
      <c r="C133" s="42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</row>
    <row r="134" spans="1:60" x14ac:dyDescent="0.2">
      <c r="A134" s="42"/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</row>
    <row r="135" spans="1:60" x14ac:dyDescent="0.2">
      <c r="A135" s="42"/>
      <c r="B135" s="42"/>
      <c r="C135" s="42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</row>
    <row r="136" spans="1:60" x14ac:dyDescent="0.2">
      <c r="A136" s="42"/>
      <c r="B136" s="42"/>
      <c r="C136" s="42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</row>
    <row r="137" spans="1:60" x14ac:dyDescent="0.2">
      <c r="A137" s="42"/>
      <c r="B137" s="42"/>
      <c r="C137" s="42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</row>
    <row r="138" spans="1:60" x14ac:dyDescent="0.2">
      <c r="A138" s="42"/>
      <c r="B138" s="42"/>
      <c r="C138" s="42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</row>
    <row r="139" spans="1:60" x14ac:dyDescent="0.2">
      <c r="A139" s="42"/>
      <c r="B139" s="42"/>
      <c r="C139" s="42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 t="s">
        <v>77</v>
      </c>
      <c r="P139" s="42" t="s">
        <v>1</v>
      </c>
      <c r="Q139" s="42"/>
      <c r="R139" s="42"/>
      <c r="S139" s="42"/>
      <c r="T139" s="42" t="s">
        <v>77</v>
      </c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</row>
    <row r="140" spans="1:60" x14ac:dyDescent="0.2">
      <c r="A140" s="42"/>
      <c r="B140" s="42"/>
      <c r="C140" s="42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 t="s">
        <v>77</v>
      </c>
      <c r="P140" s="42" t="e">
        <f>R103</f>
        <v>#REF!</v>
      </c>
      <c r="Q140" s="42" t="s">
        <v>30</v>
      </c>
      <c r="R140" s="42" t="e">
        <f>+P146-P144</f>
        <v>#REF!</v>
      </c>
      <c r="S140" s="42" t="s">
        <v>106</v>
      </c>
      <c r="T140" s="42" t="s">
        <v>77</v>
      </c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</row>
    <row r="141" spans="1:60" x14ac:dyDescent="0.2">
      <c r="A141" s="42"/>
      <c r="B141" s="42"/>
      <c r="C141" s="42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 t="s">
        <v>77</v>
      </c>
      <c r="P141" s="42" t="e">
        <f>P103</f>
        <v>#REF!</v>
      </c>
      <c r="Q141" s="42" t="s">
        <v>33</v>
      </c>
      <c r="R141" s="42" t="e">
        <f>P100*P124</f>
        <v>#REF!</v>
      </c>
      <c r="S141" s="42" t="s">
        <v>187</v>
      </c>
      <c r="T141" s="42" t="s">
        <v>77</v>
      </c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</row>
    <row r="142" spans="1:60" x14ac:dyDescent="0.2">
      <c r="A142" s="42"/>
      <c r="B142" s="42"/>
      <c r="C142" s="42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 t="s">
        <v>77</v>
      </c>
      <c r="P142" s="108" t="e">
        <f>+P145+0.33*(R146-R145)</f>
        <v>#REF!</v>
      </c>
      <c r="Q142" s="42" t="s">
        <v>32</v>
      </c>
      <c r="R142" s="42" t="e">
        <f>P100*R124</f>
        <v>#REF!</v>
      </c>
      <c r="S142" s="42" t="s">
        <v>190</v>
      </c>
      <c r="T142" s="42" t="s">
        <v>77</v>
      </c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</row>
    <row r="143" spans="1:60" x14ac:dyDescent="0.2">
      <c r="A143" s="42"/>
      <c r="B143" s="42"/>
      <c r="C143" s="42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 t="s">
        <v>77</v>
      </c>
      <c r="P143" s="108">
        <f>+G67</f>
        <v>46.456315068493154</v>
      </c>
      <c r="Q143" s="42" t="s">
        <v>31</v>
      </c>
      <c r="R143" s="42" t="e">
        <f>P100*P126</f>
        <v>#REF!</v>
      </c>
      <c r="S143" s="42" t="s">
        <v>188</v>
      </c>
      <c r="T143" s="42" t="s">
        <v>77</v>
      </c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</row>
    <row r="144" spans="1:60" x14ac:dyDescent="0.2">
      <c r="A144" s="42"/>
      <c r="B144" s="42"/>
      <c r="C144" s="42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 t="s">
        <v>77</v>
      </c>
      <c r="P144" s="108" t="e">
        <f>P142-P143</f>
        <v>#REF!</v>
      </c>
      <c r="Q144" s="42" t="s">
        <v>29</v>
      </c>
      <c r="R144" s="42" t="e">
        <f>P100*R126</f>
        <v>#REF!</v>
      </c>
      <c r="S144" s="42" t="s">
        <v>189</v>
      </c>
      <c r="T144" s="42" t="s">
        <v>77</v>
      </c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</row>
    <row r="145" spans="1:60" x14ac:dyDescent="0.2">
      <c r="A145" s="42"/>
      <c r="B145" s="42"/>
      <c r="C145" s="42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 t="s">
        <v>77</v>
      </c>
      <c r="P145" s="108" t="e">
        <f>P100*P115*R115</f>
        <v>#REF!</v>
      </c>
      <c r="Q145" s="42" t="s">
        <v>21</v>
      </c>
      <c r="R145" s="108" t="e">
        <f>P100*P127</f>
        <v>#REF!</v>
      </c>
      <c r="S145" s="42" t="s">
        <v>45</v>
      </c>
      <c r="T145" s="42" t="s">
        <v>77</v>
      </c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</row>
    <row r="146" spans="1:60" x14ac:dyDescent="0.2">
      <c r="A146" s="42"/>
      <c r="B146" s="42"/>
      <c r="C146" s="42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 t="s">
        <v>77</v>
      </c>
      <c r="P146" s="108" t="e">
        <f>P145-P143</f>
        <v>#REF!</v>
      </c>
      <c r="Q146" s="42" t="s">
        <v>20</v>
      </c>
      <c r="R146" s="108" t="e">
        <f>P100*R127</f>
        <v>#REF!</v>
      </c>
      <c r="S146" s="42" t="s">
        <v>46</v>
      </c>
      <c r="T146" s="42" t="s">
        <v>77</v>
      </c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>
        <v>1</v>
      </c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</row>
    <row r="147" spans="1:60" x14ac:dyDescent="0.2">
      <c r="A147" s="42"/>
      <c r="B147" s="42"/>
      <c r="C147" s="42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 t="s">
        <v>77</v>
      </c>
      <c r="P147" s="42" t="s">
        <v>1</v>
      </c>
      <c r="Q147" s="42"/>
      <c r="R147" s="42"/>
      <c r="S147" s="42"/>
      <c r="T147" s="42" t="s">
        <v>77</v>
      </c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</row>
    <row r="148" spans="1:60" x14ac:dyDescent="0.2">
      <c r="A148" s="42"/>
      <c r="B148" s="42"/>
      <c r="C148" s="42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</row>
    <row r="149" spans="1:60" x14ac:dyDescent="0.2">
      <c r="A149" s="42"/>
      <c r="B149" s="42"/>
      <c r="C149" s="42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 t="e">
        <f>+D87&gt;=P144</f>
        <v>#REF!</v>
      </c>
      <c r="Q149" s="42" t="e">
        <f>ABS((D87-P146)/IF(P149,R145,R146))</f>
        <v>#REF!</v>
      </c>
      <c r="R149" s="42" t="e">
        <f>MIN(2.5,ABS((D87-(P144+R140*ABS(D87-P144)/ABS(IF(P149,R145+R140,R146-R140))*MIN(1,Q149)))/(MIN(1.52,Q149)/1.52*IF(P149,R141,R142)+(1.52-MIN(1.52,Q149))/3.04*R143+(1.52-MIN(1.52,Q149))/3.04*R144)))</f>
        <v>#REF!</v>
      </c>
      <c r="S149" s="42" t="e">
        <f t="shared" ref="S149:S154" si="2">1/(1+(0.2316419*R149))</f>
        <v>#REF!</v>
      </c>
      <c r="T149" s="42" t="e">
        <f t="shared" ref="T149:T154" si="3">0.398942281*((2.71828)^((-(R149^2)/2)))</f>
        <v>#REF!</v>
      </c>
      <c r="U149" s="42" t="e">
        <f t="shared" ref="U149:U154" si="4">T149*(0.31938153*S149-0.356563782*S149^2+1.781477937*S149^3-1.821255978*S149^4+1.330274429*S149^5)</f>
        <v>#REF!</v>
      </c>
      <c r="V149" s="42" t="e">
        <f>+E87&gt;=P144</f>
        <v>#REF!</v>
      </c>
      <c r="W149" s="42" t="e">
        <f>ABS((E87-P146)/IF(V149,R145,R146))</f>
        <v>#REF!</v>
      </c>
      <c r="X149" s="42" t="e">
        <f>MIN(2.5,ABS((E87-(P144+R140*ABS(E87-P144)/ABS(IF(V149,R145+R140,R146-R140))*MIN(1,W149)))/(MIN(1.52,W149)/1.52*IF(V149,R141,R142)+(1.52-MIN(1.52,W149))/3.04*R143+(1.52-MIN(1.52,W149))/3.04*R144)))</f>
        <v>#REF!</v>
      </c>
      <c r="Y149" s="42" t="e">
        <f t="shared" ref="Y149:Y154" si="5">1/(1+(0.2316419*X149))</f>
        <v>#REF!</v>
      </c>
      <c r="Z149" s="42" t="e">
        <f t="shared" ref="Z149:Z154" si="6">0.398942281*((2.71828)^((-(X149^2)/2)))</f>
        <v>#REF!</v>
      </c>
      <c r="AA149" s="42" t="e">
        <f t="shared" ref="AA149:AA154" si="7">Z149*(0.31938153*Y149-0.356563782*Y149^2+1.781477937*Y149^3-1.821255978*Y149^4+1.330274429*Y149^5)</f>
        <v>#REF!</v>
      </c>
      <c r="AB149" s="42" t="e">
        <f>+F87&gt;=P144</f>
        <v>#REF!</v>
      </c>
      <c r="AC149" s="42" t="e">
        <f>ABS((F87-P146)/IF(AB149,R145,R146))</f>
        <v>#REF!</v>
      </c>
      <c r="AD149" s="42" t="e">
        <f>MIN(2.5,ABS((F87-(P144+R140*ABS(F87-P144)/ABS(IF(AB149,R145+R140,R146-R140))*MIN(1,AC149)))/(MIN(1.52,AC149)/1.52*IF(AB149,R141,R142)+(1.52-MIN(1.52,AC149))/3.04*R143+(1.52-MIN(1.52,AC149))/3.04*R144)))</f>
        <v>#REF!</v>
      </c>
      <c r="AE149" s="42" t="e">
        <f>1/(1+(0.2316419*AD149))</f>
        <v>#REF!</v>
      </c>
      <c r="AF149" s="42" t="e">
        <f>0.398942281*((2.71828)^((-(AD149^2)/2)))</f>
        <v>#REF!</v>
      </c>
      <c r="AG149" s="42" t="e">
        <f>AF149*(0.31938153*AE149-0.356563782*AE149^2+1.781477937*AE149^3-1.821255978*AE149^4+1.330274429*AE149^5)</f>
        <v>#REF!</v>
      </c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</row>
    <row r="150" spans="1:60" x14ac:dyDescent="0.2">
      <c r="A150" s="42"/>
      <c r="B150" s="42"/>
      <c r="C150" s="42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 t="e">
        <f>MIN(2.5,ABS((D87-P146)/(MIN(1.52,Q149)/1.52*IF(P149,R141,R142)+(1.52-MIN(1.52,Q149))/3.04*R143+(1.52-MIN(1.52,Q149))/3.04*R144)))</f>
        <v>#REF!</v>
      </c>
      <c r="S150" s="42" t="e">
        <f t="shared" si="2"/>
        <v>#REF!</v>
      </c>
      <c r="T150" s="42" t="e">
        <f t="shared" si="3"/>
        <v>#REF!</v>
      </c>
      <c r="U150" s="42" t="e">
        <f t="shared" si="4"/>
        <v>#REF!</v>
      </c>
      <c r="V150" s="42"/>
      <c r="W150" s="42"/>
      <c r="X150" s="42" t="e">
        <f>MIN(2.5,ABS((E87-P146)/(MIN(1.52,W149)/1.52*IF(V149,R141,R142)+(1.52-MIN(1.52,W149))/3.04*R143+(1.52-MIN(1.52,W149))/3.04*R144)))</f>
        <v>#REF!</v>
      </c>
      <c r="Y150" s="42" t="e">
        <f t="shared" si="5"/>
        <v>#REF!</v>
      </c>
      <c r="Z150" s="42" t="e">
        <f t="shared" si="6"/>
        <v>#REF!</v>
      </c>
      <c r="AA150" s="42" t="e">
        <f t="shared" si="7"/>
        <v>#REF!</v>
      </c>
      <c r="AB150" s="42"/>
      <c r="AC150" s="42"/>
      <c r="AD150" s="42" t="e">
        <f>MIN(2.5,ABS((F87-P146)/(MIN(1.52,AC149)/1.52*IF(AB149,R141,R142)+(1.52-MIN(1.52,AC149))/3.04*R143+(1.52-MIN(1.52,AC149))/3.04*R144)))</f>
        <v>#REF!</v>
      </c>
      <c r="AE150" s="42" t="e">
        <f>1/(1+(0.2316419*AD150))</f>
        <v>#REF!</v>
      </c>
      <c r="AF150" s="42" t="e">
        <f>0.398942281*((2.71828)^((-(AD150^2)/2)))</f>
        <v>#REF!</v>
      </c>
      <c r="AG150" s="42" t="e">
        <f>AF150*(0.31938153*AE150-0.356563782*AE150^2+1.781477937*AE150^3-1.821255978*AE150^4+1.330274429*AE150^5)</f>
        <v>#REF!</v>
      </c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</row>
    <row r="151" spans="1:60" x14ac:dyDescent="0.2">
      <c r="A151" s="42"/>
      <c r="B151" s="42"/>
      <c r="C151" s="42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 t="e">
        <f>+G87&gt;=P144</f>
        <v>#REF!</v>
      </c>
      <c r="Q151" s="42" t="e">
        <f>ABS((G87-P146)/IF(P151,R145,R146))</f>
        <v>#REF!</v>
      </c>
      <c r="R151" s="42" t="e">
        <f>MIN(2.5,ABS((G87-(P144+R140*ABS(G87-P144)/ABS(IF(P151,R145+R140,R146-R140))*MIN(1,Q151)))/(MIN(1.52,Q151)/1.52*IF(P151,R141,R142)+(1.52-MIN(1.52,Q151))/3.04*R143+(1.52-MIN(1.52,Q151))/3.04*R144)))</f>
        <v>#REF!</v>
      </c>
      <c r="S151" s="42" t="e">
        <f t="shared" si="2"/>
        <v>#REF!</v>
      </c>
      <c r="T151" s="42" t="e">
        <f t="shared" si="3"/>
        <v>#REF!</v>
      </c>
      <c r="U151" s="42" t="e">
        <f t="shared" si="4"/>
        <v>#REF!</v>
      </c>
      <c r="V151" s="42" t="e">
        <f>+H87&gt;=P144</f>
        <v>#REF!</v>
      </c>
      <c r="W151" s="42" t="e">
        <f>ABS((H87-P146)/IF(V151,R145,R146))</f>
        <v>#REF!</v>
      </c>
      <c r="X151" s="42" t="e">
        <f>MIN(2.5,ABS((H87-(P144+R140*ABS(H87-P144)/ABS(IF(V151,R145+R140,R146-R140))*MIN(1,W151)))/(MIN(1.52,W151)/1.52*IF(V151,R141,R142)+(1.52-MIN(1.52,W151))/3.04*R143+(1.52-MIN(1.52,W151))/3.04*R144)))</f>
        <v>#REF!</v>
      </c>
      <c r="Y151" s="42" t="e">
        <f t="shared" si="5"/>
        <v>#REF!</v>
      </c>
      <c r="Z151" s="42" t="e">
        <f t="shared" si="6"/>
        <v>#REF!</v>
      </c>
      <c r="AA151" s="42" t="e">
        <f t="shared" si="7"/>
        <v>#REF!</v>
      </c>
      <c r="AB151" s="42" t="e">
        <f>+I87&gt;=P144</f>
        <v>#REF!</v>
      </c>
      <c r="AC151" s="42" t="e">
        <f>ABS((I87-P146)/IF(AB151,R145,R146))</f>
        <v>#REF!</v>
      </c>
      <c r="AD151" s="42" t="e">
        <f>MIN(2.5,ABS((I87-(P144+R140*ABS(I87-P144)/ABS(IF(AB151,R145+R140,R146-R140))*MIN(1,AC151)))/(MIN(1.52,AC151)/1.52*IF(AB151,R141,R142)+(1.52-MIN(1.52,AC151))/3.04*R143+(1.52-MIN(1.52,AC151))/3.04*R144)))</f>
        <v>#REF!</v>
      </c>
      <c r="AE151" s="42" t="e">
        <f>1/(1+(0.2316419*AD151))</f>
        <v>#REF!</v>
      </c>
      <c r="AF151" s="42" t="e">
        <f>0.398942281*((2.71828)^((-(AD151^2)/2)))</f>
        <v>#REF!</v>
      </c>
      <c r="AG151" s="42" t="e">
        <f>AF151*(0.31938153*AE151-0.356563782*AE151^2+1.781477937*AE151^3-1.821255978*AE151^4+1.330274429*AE151^5)</f>
        <v>#REF!</v>
      </c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</row>
    <row r="152" spans="1:60" x14ac:dyDescent="0.2">
      <c r="A152" s="42"/>
      <c r="B152" s="42"/>
      <c r="C152" s="42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 t="e">
        <f>MIN(2.5,ABS((G87-P146)/(MIN(1.52,Q151)/1.52*IF(P151,R141,R142)+(1.52-MIN(1.52,Q151))/3.04*R143+(1.52-MIN(1.52,Q151))/3.04*R144)))</f>
        <v>#REF!</v>
      </c>
      <c r="S152" s="42" t="e">
        <f t="shared" si="2"/>
        <v>#REF!</v>
      </c>
      <c r="T152" s="42" t="e">
        <f t="shared" si="3"/>
        <v>#REF!</v>
      </c>
      <c r="U152" s="42" t="e">
        <f t="shared" si="4"/>
        <v>#REF!</v>
      </c>
      <c r="V152" s="42"/>
      <c r="W152" s="42"/>
      <c r="X152" s="42" t="e">
        <f>MIN(2.5,ABS((H87-P146)/(MIN(1.52,W151)/1.52*IF(V151,R141,R142)+(1.52-MIN(1.52,W151))/3.04*R143+(1.52-MIN(1.52,W151))/3.04*R144)))</f>
        <v>#REF!</v>
      </c>
      <c r="Y152" s="42" t="e">
        <f t="shared" si="5"/>
        <v>#REF!</v>
      </c>
      <c r="Z152" s="42" t="e">
        <f t="shared" si="6"/>
        <v>#REF!</v>
      </c>
      <c r="AA152" s="42" t="e">
        <f t="shared" si="7"/>
        <v>#REF!</v>
      </c>
      <c r="AB152" s="42"/>
      <c r="AC152" s="42"/>
      <c r="AD152" s="42" t="e">
        <f>MIN(2.5,ABS((I87-P146)/(MIN(1.52,AC151)/1.52*IF(AB151,R141,R142)+(1.52-MIN(1.52,AC151))/3.04*R143+(1.52-MIN(1.52,AC151))/3.04*R144)))</f>
        <v>#REF!</v>
      </c>
      <c r="AE152" s="42" t="e">
        <f>1/(1+(0.2316419*AD152))</f>
        <v>#REF!</v>
      </c>
      <c r="AF152" s="42" t="e">
        <f>0.398942281*((2.71828)^((-(AD152^2)/2)))</f>
        <v>#REF!</v>
      </c>
      <c r="AG152" s="42" t="e">
        <f>AF152*(0.31938153*AE152-0.356563782*AE152^2+1.781477937*AE152^3-1.821255978*AE152^4+1.330274429*AE152^5)</f>
        <v>#REF!</v>
      </c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</row>
    <row r="153" spans="1:60" x14ac:dyDescent="0.2">
      <c r="A153" s="42"/>
      <c r="B153" s="42"/>
      <c r="C153" s="42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 t="e">
        <f>+J87&gt;=P144</f>
        <v>#REF!</v>
      </c>
      <c r="Q153" s="42" t="e">
        <f>ABS((J87-P146)/IF(P153,R145,R146))</f>
        <v>#REF!</v>
      </c>
      <c r="R153" s="42" t="e">
        <f>MIN(2.5,ABS((J87-(P144+R140*ABS(J87-P144)/ABS(IF(P153,R145+R140,R146-R140))*MIN(1,Q153)))/(MIN(1.52,Q153)/1.52*IF(P153,R141,R142)+(1.52-MIN(1.52,Q153))/3.04*R143+(1.52-MIN(1.52,Q153))/3.04*R144)))</f>
        <v>#REF!</v>
      </c>
      <c r="S153" s="42" t="e">
        <f t="shared" si="2"/>
        <v>#REF!</v>
      </c>
      <c r="T153" s="42" t="e">
        <f t="shared" si="3"/>
        <v>#REF!</v>
      </c>
      <c r="U153" s="42" t="e">
        <f t="shared" si="4"/>
        <v>#REF!</v>
      </c>
      <c r="V153" s="42" t="e">
        <f>0&gt;=P144</f>
        <v>#REF!</v>
      </c>
      <c r="W153" s="42" t="e">
        <f>ABS((0-P146)/IF(V153,R145,R146))</f>
        <v>#REF!</v>
      </c>
      <c r="X153" s="42" t="e">
        <f>MIN(2.5,ABS((0-(P144+R140*ABS(0-P144)/ABS(IF(V153,R145+R140,R146-R140))*MIN(1,W153)))/(MIN(1.52,W153)/1.52*IF(V153,R141,R142)+(1.52-MIN(1.52,W153))/3.04*R143+(1.52-MIN(1.52,W153))/3.04*R144)))</f>
        <v>#REF!</v>
      </c>
      <c r="Y153" s="42" t="e">
        <f t="shared" si="5"/>
        <v>#REF!</v>
      </c>
      <c r="Z153" s="42" t="e">
        <f t="shared" si="6"/>
        <v>#REF!</v>
      </c>
      <c r="AA153" s="42" t="e">
        <f t="shared" si="7"/>
        <v>#REF!</v>
      </c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</row>
    <row r="154" spans="1:60" x14ac:dyDescent="0.2">
      <c r="A154" s="42"/>
      <c r="B154" s="42"/>
      <c r="C154" s="42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 t="e">
        <f>MIN(2.5,ABS((J87-P146)/(MIN(1.52,Q153)/1.52*IF(P153,R141,R142)+(1.52-MIN(1.52,Q153))/3.04*R143+(1.52-MIN(1.52,Q153))/3.04*R144)))</f>
        <v>#REF!</v>
      </c>
      <c r="S154" s="42" t="e">
        <f t="shared" si="2"/>
        <v>#REF!</v>
      </c>
      <c r="T154" s="42" t="e">
        <f t="shared" si="3"/>
        <v>#REF!</v>
      </c>
      <c r="U154" s="42" t="e">
        <f t="shared" si="4"/>
        <v>#REF!</v>
      </c>
      <c r="V154" s="42"/>
      <c r="W154" s="42"/>
      <c r="X154" s="42" t="e">
        <f>MIN(2.5,ABS((0-P146)/(MIN(1.52,W153)/1.52*IF(V153,R141,R142)+(1.52-MIN(1.52,W153))/3.04*R143+(1.52-MIN(1.52,W153))/3.04*R144)))</f>
        <v>#REF!</v>
      </c>
      <c r="Y154" s="42" t="e">
        <f t="shared" si="5"/>
        <v>#REF!</v>
      </c>
      <c r="Z154" s="42" t="e">
        <f t="shared" si="6"/>
        <v>#REF!</v>
      </c>
      <c r="AA154" s="42" t="e">
        <f t="shared" si="7"/>
        <v>#REF!</v>
      </c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</row>
    <row r="155" spans="1:60" x14ac:dyDescent="0.2">
      <c r="A155" s="42"/>
      <c r="B155" s="42"/>
      <c r="C155" s="42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</row>
    <row r="156" spans="1:60" x14ac:dyDescent="0.2">
      <c r="A156" s="42"/>
      <c r="B156" s="42"/>
      <c r="C156" s="42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</row>
    <row r="157" spans="1:60" x14ac:dyDescent="0.2">
      <c r="A157" s="42"/>
      <c r="B157" s="42"/>
      <c r="C157" s="42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</row>
    <row r="158" spans="1:60" x14ac:dyDescent="0.2">
      <c r="A158" s="42"/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</row>
    <row r="159" spans="1:60" x14ac:dyDescent="0.2">
      <c r="A159" s="42"/>
      <c r="B159" s="42"/>
      <c r="C159" s="42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 t="s">
        <v>301</v>
      </c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</row>
    <row r="160" spans="1:60" x14ac:dyDescent="0.2">
      <c r="A160" s="42"/>
      <c r="B160" s="42"/>
      <c r="C160" s="42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>
        <f>P100</f>
        <v>50</v>
      </c>
      <c r="Q160" s="42" t="e">
        <f>P115</f>
        <v>#REF!</v>
      </c>
      <c r="R160" s="42" t="e">
        <f>R115</f>
        <v>#REF!</v>
      </c>
      <c r="S160" s="42">
        <f>I67</f>
        <v>0</v>
      </c>
      <c r="T160" s="42" t="e">
        <f>R145</f>
        <v>#REF!</v>
      </c>
      <c r="U160" s="42" t="e">
        <f>R146</f>
        <v>#REF!</v>
      </c>
      <c r="V160" s="42" t="e">
        <f>R141</f>
        <v>#REF!</v>
      </c>
      <c r="W160" s="42" t="e">
        <f>R143</f>
        <v>#REF!</v>
      </c>
      <c r="X160" s="42" t="e">
        <f>R142</f>
        <v>#REF!</v>
      </c>
      <c r="Y160" s="42" t="e">
        <f>R144</f>
        <v>#REF!</v>
      </c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</row>
    <row r="161" spans="1:60" x14ac:dyDescent="0.2">
      <c r="A161" s="42"/>
      <c r="B161" s="42"/>
      <c r="C161" s="42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</row>
    <row r="162" spans="1:60" x14ac:dyDescent="0.2">
      <c r="A162" s="42"/>
      <c r="B162" s="42"/>
      <c r="C162" s="42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</row>
    <row r="163" spans="1:60" x14ac:dyDescent="0.2">
      <c r="A163" s="42"/>
      <c r="B163" s="42"/>
      <c r="C163" s="42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</row>
    <row r="164" spans="1:60" x14ac:dyDescent="0.2">
      <c r="A164" s="42"/>
      <c r="B164" s="42"/>
      <c r="C164" s="42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</row>
    <row r="165" spans="1:60" x14ac:dyDescent="0.2">
      <c r="A165" s="42"/>
      <c r="B165" s="42"/>
      <c r="C165" s="42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</row>
    <row r="166" spans="1:60" x14ac:dyDescent="0.2">
      <c r="A166" s="42"/>
      <c r="B166" s="42"/>
      <c r="C166" s="42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</row>
    <row r="167" spans="1:60" x14ac:dyDescent="0.2">
      <c r="A167" s="42"/>
      <c r="B167" s="42"/>
      <c r="C167" s="42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</row>
    <row r="168" spans="1:60" x14ac:dyDescent="0.2">
      <c r="A168" s="42"/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</row>
    <row r="169" spans="1:60" x14ac:dyDescent="0.2">
      <c r="A169" s="42"/>
      <c r="B169" s="42"/>
      <c r="C169" s="42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</row>
    <row r="170" spans="1:60" x14ac:dyDescent="0.2">
      <c r="A170" s="42"/>
      <c r="B170" s="42"/>
      <c r="C170" s="42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</row>
    <row r="171" spans="1:60" x14ac:dyDescent="0.2">
      <c r="A171" s="42"/>
      <c r="B171" s="42"/>
      <c r="C171" s="42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</row>
    <row r="172" spans="1:60" x14ac:dyDescent="0.2">
      <c r="A172" s="42"/>
      <c r="B172" s="42"/>
      <c r="C172" s="42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</row>
    <row r="173" spans="1:60" x14ac:dyDescent="0.2">
      <c r="A173" s="42"/>
      <c r="B173" s="42"/>
      <c r="C173" s="42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</row>
    <row r="174" spans="1:60" x14ac:dyDescent="0.2">
      <c r="A174" s="42"/>
      <c r="B174" s="42"/>
      <c r="C174" s="42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</row>
    <row r="175" spans="1:60" x14ac:dyDescent="0.2">
      <c r="A175" s="42"/>
      <c r="B175" s="42"/>
      <c r="C175" s="42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</row>
    <row r="176" spans="1:60" x14ac:dyDescent="0.2">
      <c r="A176" s="42"/>
      <c r="B176" s="42"/>
      <c r="C176" s="42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</row>
    <row r="177" spans="1:60" x14ac:dyDescent="0.2">
      <c r="A177" s="42"/>
      <c r="B177" s="42"/>
      <c r="C177" s="42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</row>
    <row r="178" spans="1:60" x14ac:dyDescent="0.2">
      <c r="A178" s="42"/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</row>
    <row r="179" spans="1:60" x14ac:dyDescent="0.2">
      <c r="A179" s="42"/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</row>
    <row r="180" spans="1:60" x14ac:dyDescent="0.2">
      <c r="A180" s="42"/>
      <c r="B180" s="42"/>
      <c r="C180" s="42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</row>
    <row r="181" spans="1:60" x14ac:dyDescent="0.2">
      <c r="A181" s="42"/>
      <c r="B181" s="42"/>
      <c r="C181" s="42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</row>
    <row r="182" spans="1:60" x14ac:dyDescent="0.2">
      <c r="A182" s="42"/>
      <c r="B182" s="42"/>
      <c r="C182" s="42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</row>
    <row r="183" spans="1:60" x14ac:dyDescent="0.2">
      <c r="A183" s="42"/>
      <c r="B183" s="42"/>
      <c r="C183" s="42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</row>
    <row r="184" spans="1:60" x14ac:dyDescent="0.2">
      <c r="A184" s="42"/>
      <c r="B184" s="42"/>
      <c r="C184" s="42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</row>
    <row r="185" spans="1:60" x14ac:dyDescent="0.2">
      <c r="A185" s="42"/>
      <c r="B185" s="42"/>
      <c r="C185" s="42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</row>
    <row r="186" spans="1:60" x14ac:dyDescent="0.2">
      <c r="A186" s="42"/>
      <c r="B186" s="42"/>
      <c r="C186" s="42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</row>
    <row r="187" spans="1:60" x14ac:dyDescent="0.2">
      <c r="A187" s="42"/>
      <c r="B187" s="42"/>
      <c r="C187" s="42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</row>
    <row r="188" spans="1:60" x14ac:dyDescent="0.2">
      <c r="A188" s="42"/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</row>
    <row r="189" spans="1:60" x14ac:dyDescent="0.2">
      <c r="A189" s="42"/>
      <c r="B189" s="42"/>
      <c r="C189" s="42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</row>
    <row r="190" spans="1:60" x14ac:dyDescent="0.2">
      <c r="A190" s="42"/>
      <c r="B190" s="42"/>
      <c r="C190" s="42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</row>
    <row r="191" spans="1:60" x14ac:dyDescent="0.2">
      <c r="A191" s="42"/>
      <c r="B191" s="42" t="s">
        <v>302</v>
      </c>
      <c r="C191" s="42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</row>
    <row r="192" spans="1:60" x14ac:dyDescent="0.2">
      <c r="A192" s="42"/>
      <c r="B192" s="42" t="s">
        <v>303</v>
      </c>
      <c r="C192" s="42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</row>
    <row r="193" spans="1:60" x14ac:dyDescent="0.2">
      <c r="A193" s="42"/>
      <c r="B193" s="42" t="s">
        <v>304</v>
      </c>
      <c r="C193" s="42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</row>
    <row r="194" spans="1:60" x14ac:dyDescent="0.2">
      <c r="A194" s="42"/>
      <c r="B194" s="42" t="s">
        <v>305</v>
      </c>
      <c r="C194" s="42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</row>
    <row r="195" spans="1:60" x14ac:dyDescent="0.2">
      <c r="A195" s="42"/>
      <c r="B195" s="42"/>
      <c r="C195" s="42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</row>
    <row r="196" spans="1:60" x14ac:dyDescent="0.2">
      <c r="A196" s="42"/>
      <c r="B196" s="42"/>
      <c r="C196" s="42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</row>
    <row r="197" spans="1:60" x14ac:dyDescent="0.2">
      <c r="A197" s="42"/>
      <c r="B197" s="42"/>
      <c r="C197" s="42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</row>
    <row r="198" spans="1:60" x14ac:dyDescent="0.2">
      <c r="A198" s="42"/>
      <c r="B198" s="42"/>
      <c r="C198" s="42"/>
      <c r="D198" s="42"/>
      <c r="E198" s="42"/>
      <c r="F198" s="42"/>
      <c r="G198" s="42"/>
      <c r="H198" s="42"/>
      <c r="I198" s="42"/>
      <c r="J198" s="42"/>
      <c r="K198" s="42" t="s">
        <v>0</v>
      </c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</row>
    <row r="199" spans="1:60" x14ac:dyDescent="0.2">
      <c r="A199" s="42"/>
      <c r="B199" s="42"/>
      <c r="C199" s="42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</row>
    <row r="200" spans="1:60" x14ac:dyDescent="0.2">
      <c r="A200" s="42"/>
      <c r="B200" s="42"/>
      <c r="C200" s="42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</row>
    <row r="201" spans="1:60" x14ac:dyDescent="0.2">
      <c r="A201" s="42"/>
      <c r="B201" s="42"/>
      <c r="C201" s="42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</row>
    <row r="202" spans="1:60" x14ac:dyDescent="0.2">
      <c r="A202" s="42"/>
      <c r="B202" s="42"/>
      <c r="C202" s="42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</row>
    <row r="203" spans="1:60" x14ac:dyDescent="0.2">
      <c r="A203" s="42"/>
      <c r="B203" s="42"/>
      <c r="C203" s="42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</row>
    <row r="204" spans="1:60" x14ac:dyDescent="0.2">
      <c r="A204" s="42"/>
      <c r="B204" s="42"/>
      <c r="C204" s="42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</row>
    <row r="205" spans="1:60" x14ac:dyDescent="0.2">
      <c r="A205" s="42"/>
      <c r="B205" s="42"/>
      <c r="C205" s="42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</row>
    <row r="206" spans="1:60" x14ac:dyDescent="0.2">
      <c r="A206" s="42"/>
      <c r="B206" s="42"/>
      <c r="C206" s="42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</row>
    <row r="207" spans="1:60" x14ac:dyDescent="0.2">
      <c r="A207" s="42"/>
      <c r="B207" s="42"/>
      <c r="C207" s="42"/>
      <c r="D207" s="42"/>
      <c r="E207" s="42"/>
      <c r="F207" s="42"/>
      <c r="G207" s="42"/>
      <c r="H207" s="42"/>
      <c r="I207" s="42"/>
      <c r="J207" s="42"/>
      <c r="K207" s="42" t="s">
        <v>0</v>
      </c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</row>
    <row r="208" spans="1:60" x14ac:dyDescent="0.2">
      <c r="A208" s="42"/>
      <c r="B208" s="42"/>
      <c r="C208" s="42"/>
      <c r="D208" s="42"/>
      <c r="E208" s="42"/>
      <c r="F208" s="42"/>
      <c r="G208" s="42"/>
      <c r="H208" s="42"/>
      <c r="I208" s="42"/>
      <c r="J208" s="42"/>
      <c r="K208" s="42"/>
      <c r="L208" s="42"/>
      <c r="M208" s="42"/>
      <c r="N208" s="42"/>
      <c r="O208" s="42"/>
      <c r="P208" s="42"/>
      <c r="Q208" s="42"/>
      <c r="R208" s="42"/>
      <c r="S208" s="42"/>
      <c r="T208" s="42"/>
      <c r="U208" s="42"/>
      <c r="V208" s="42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2"/>
      <c r="AH208" s="42"/>
      <c r="AI208" s="42"/>
      <c r="AJ208" s="42"/>
      <c r="AK208" s="42"/>
      <c r="AL208" s="42"/>
      <c r="AM208" s="42"/>
      <c r="AN208" s="42"/>
      <c r="AO208" s="42"/>
      <c r="AP208" s="42"/>
      <c r="AQ208" s="42"/>
      <c r="AR208" s="42"/>
      <c r="AS208" s="42"/>
      <c r="AT208" s="42"/>
      <c r="AU208" s="42"/>
      <c r="AV208" s="42"/>
      <c r="AW208" s="42"/>
      <c r="AX208" s="42"/>
      <c r="AY208" s="42"/>
      <c r="AZ208" s="42"/>
      <c r="BA208" s="42"/>
      <c r="BB208" s="42"/>
      <c r="BC208" s="42"/>
      <c r="BD208" s="42"/>
      <c r="BE208" s="42"/>
      <c r="BF208" s="42"/>
      <c r="BG208" s="42"/>
      <c r="BH208" s="42"/>
    </row>
    <row r="209" spans="1:60" x14ac:dyDescent="0.2">
      <c r="A209" s="42"/>
      <c r="B209" s="42"/>
      <c r="C209" s="42"/>
      <c r="D209" s="42"/>
      <c r="E209" s="42"/>
      <c r="F209" s="42"/>
      <c r="G209" s="42"/>
      <c r="H209" s="42"/>
      <c r="I209" s="42"/>
      <c r="J209" s="42"/>
      <c r="K209" s="42"/>
      <c r="L209" s="42"/>
      <c r="M209" s="42"/>
      <c r="N209" s="42"/>
      <c r="O209" s="42"/>
      <c r="P209" s="42"/>
      <c r="Q209" s="42"/>
      <c r="R209" s="42"/>
      <c r="S209" s="42"/>
      <c r="T209" s="42"/>
      <c r="U209" s="42"/>
      <c r="V209" s="42"/>
      <c r="W209" s="42"/>
      <c r="X209" s="42"/>
      <c r="Y209" s="42"/>
      <c r="Z209" s="42"/>
      <c r="AA209" s="42"/>
      <c r="AB209" s="42"/>
      <c r="AC209" s="42"/>
      <c r="AD209" s="42"/>
      <c r="AE209" s="42"/>
      <c r="AF209" s="42"/>
      <c r="AG209" s="42"/>
      <c r="AH209" s="42"/>
      <c r="AI209" s="42"/>
      <c r="AJ209" s="42"/>
      <c r="AK209" s="42"/>
      <c r="AL209" s="42"/>
      <c r="AM209" s="42"/>
      <c r="AN209" s="42"/>
      <c r="AO209" s="42"/>
      <c r="AP209" s="42"/>
      <c r="AQ209" s="42"/>
      <c r="AR209" s="42"/>
      <c r="AS209" s="42"/>
      <c r="AT209" s="42"/>
      <c r="AU209" s="42"/>
      <c r="AV209" s="42"/>
      <c r="AW209" s="42"/>
      <c r="AX209" s="42"/>
      <c r="AY209" s="42"/>
      <c r="AZ209" s="42"/>
      <c r="BA209" s="42"/>
      <c r="BB209" s="42"/>
      <c r="BC209" s="42"/>
      <c r="BD209" s="42"/>
      <c r="BE209" s="42"/>
      <c r="BF209" s="42"/>
      <c r="BG209" s="42"/>
      <c r="BH209" s="42"/>
    </row>
    <row r="210" spans="1:60" x14ac:dyDescent="0.2">
      <c r="A210" s="42"/>
      <c r="B210" s="42"/>
      <c r="C210" s="42"/>
      <c r="D210" s="42"/>
      <c r="E210" s="42"/>
      <c r="F210" s="42"/>
      <c r="G210" s="42"/>
      <c r="H210" s="42"/>
      <c r="I210" s="42"/>
      <c r="J210" s="42"/>
      <c r="K210" s="42" t="s">
        <v>0</v>
      </c>
      <c r="L210" s="42"/>
      <c r="M210" s="42"/>
      <c r="N210" s="42"/>
      <c r="O210" s="42"/>
      <c r="P210" s="42"/>
      <c r="Q210" s="42"/>
      <c r="R210" s="42"/>
      <c r="S210" s="42"/>
      <c r="T210" s="42"/>
      <c r="U210" s="42"/>
      <c r="V210" s="42"/>
      <c r="W210" s="42"/>
      <c r="X210" s="42"/>
      <c r="Y210" s="42"/>
      <c r="Z210" s="42"/>
      <c r="AA210" s="42"/>
      <c r="AB210" s="42"/>
      <c r="AC210" s="42"/>
      <c r="AD210" s="42"/>
      <c r="AE210" s="42"/>
      <c r="AF210" s="42"/>
      <c r="AG210" s="42"/>
      <c r="AH210" s="42"/>
      <c r="AI210" s="42"/>
      <c r="AJ210" s="42"/>
      <c r="AK210" s="42"/>
      <c r="AL210" s="42"/>
      <c r="AM210" s="42"/>
      <c r="AN210" s="42"/>
      <c r="AO210" s="42"/>
      <c r="AP210" s="42"/>
      <c r="AQ210" s="42"/>
      <c r="AR210" s="42"/>
      <c r="AS210" s="42"/>
      <c r="AT210" s="42"/>
      <c r="AU210" s="42"/>
      <c r="AV210" s="42"/>
      <c r="AW210" s="42"/>
      <c r="AX210" s="42"/>
      <c r="AY210" s="42"/>
      <c r="AZ210" s="42"/>
      <c r="BA210" s="42"/>
      <c r="BB210" s="42"/>
      <c r="BC210" s="42"/>
      <c r="BD210" s="42"/>
      <c r="BE210" s="42"/>
      <c r="BF210" s="42"/>
      <c r="BG210" s="42"/>
      <c r="BH210" s="42"/>
    </row>
    <row r="211" spans="1:60" x14ac:dyDescent="0.2">
      <c r="A211" s="42"/>
      <c r="B211" s="42"/>
      <c r="C211" s="42"/>
      <c r="D211" s="42"/>
      <c r="E211" s="42"/>
      <c r="F211" s="42"/>
      <c r="G211" s="42"/>
      <c r="H211" s="42"/>
      <c r="I211" s="42"/>
      <c r="J211" s="42"/>
      <c r="K211" s="42"/>
      <c r="L211" s="42"/>
      <c r="M211" s="42"/>
      <c r="N211" s="42"/>
      <c r="O211" s="42"/>
      <c r="P211" s="42"/>
      <c r="Q211" s="42"/>
      <c r="R211" s="42"/>
      <c r="S211" s="42"/>
      <c r="T211" s="42"/>
      <c r="U211" s="42"/>
      <c r="V211" s="42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2"/>
      <c r="AH211" s="42"/>
      <c r="AI211" s="42"/>
      <c r="AJ211" s="42"/>
      <c r="AK211" s="42"/>
      <c r="AL211" s="42"/>
      <c r="AM211" s="42"/>
      <c r="AN211" s="42"/>
      <c r="AO211" s="42"/>
      <c r="AP211" s="42"/>
      <c r="AQ211" s="42"/>
      <c r="AR211" s="42"/>
      <c r="AS211" s="42"/>
      <c r="AT211" s="42"/>
      <c r="AU211" s="42"/>
      <c r="AV211" s="42"/>
      <c r="AW211" s="42"/>
      <c r="AX211" s="42"/>
      <c r="AY211" s="42"/>
      <c r="AZ211" s="42"/>
      <c r="BA211" s="42"/>
      <c r="BB211" s="42"/>
      <c r="BC211" s="42"/>
      <c r="BD211" s="42"/>
      <c r="BE211" s="42"/>
      <c r="BF211" s="42"/>
      <c r="BG211" s="42"/>
      <c r="BH211" s="42"/>
    </row>
    <row r="212" spans="1:60" x14ac:dyDescent="0.2">
      <c r="A212" s="42"/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</row>
    <row r="213" spans="1:60" x14ac:dyDescent="0.2">
      <c r="A213" s="42"/>
      <c r="B213" s="42"/>
      <c r="C213" s="42"/>
      <c r="D213" s="42"/>
      <c r="E213" s="42"/>
      <c r="F213" s="42"/>
      <c r="G213" s="42"/>
      <c r="H213" s="42"/>
      <c r="I213" s="42"/>
      <c r="J213" s="42"/>
      <c r="K213" s="42"/>
      <c r="L213" s="42"/>
      <c r="M213" s="42"/>
      <c r="N213" s="42"/>
      <c r="O213" s="42"/>
      <c r="P213" s="42"/>
      <c r="Q213" s="42"/>
      <c r="R213" s="42"/>
      <c r="S213" s="42"/>
      <c r="T213" s="42"/>
      <c r="U213" s="42"/>
      <c r="V213" s="42"/>
      <c r="W213" s="42"/>
      <c r="X213" s="42"/>
      <c r="Y213" s="42"/>
      <c r="Z213" s="42"/>
      <c r="AA213" s="42"/>
      <c r="AB213" s="42"/>
      <c r="AC213" s="42"/>
      <c r="AD213" s="42"/>
      <c r="AE213" s="42"/>
      <c r="AF213" s="42"/>
      <c r="AG213" s="42"/>
      <c r="AH213" s="42"/>
      <c r="AI213" s="42"/>
      <c r="AJ213" s="42"/>
      <c r="AK213" s="42"/>
      <c r="AL213" s="42"/>
      <c r="AM213" s="42"/>
      <c r="AN213" s="42"/>
      <c r="AO213" s="42"/>
      <c r="AP213" s="42"/>
      <c r="AQ213" s="42"/>
      <c r="AR213" s="42"/>
      <c r="AS213" s="42"/>
      <c r="AT213" s="42"/>
      <c r="AU213" s="42"/>
      <c r="AV213" s="42"/>
      <c r="AW213" s="42"/>
      <c r="AX213" s="42"/>
      <c r="AY213" s="42"/>
      <c r="AZ213" s="42"/>
      <c r="BA213" s="42"/>
      <c r="BB213" s="42"/>
      <c r="BC213" s="42"/>
      <c r="BD213" s="42"/>
      <c r="BE213" s="42"/>
      <c r="BF213" s="42"/>
      <c r="BG213" s="42"/>
      <c r="BH213" s="42"/>
    </row>
    <row r="214" spans="1:60" x14ac:dyDescent="0.2">
      <c r="A214" s="42"/>
      <c r="B214" s="42"/>
      <c r="C214" s="42"/>
      <c r="D214" s="42"/>
      <c r="E214" s="42"/>
      <c r="F214" s="42"/>
      <c r="G214" s="42"/>
      <c r="H214" s="42"/>
      <c r="I214" s="42"/>
      <c r="J214" s="42"/>
      <c r="K214" s="42"/>
      <c r="L214" s="42"/>
      <c r="M214" s="42"/>
      <c r="N214" s="42"/>
      <c r="O214" s="42"/>
      <c r="P214" s="42"/>
      <c r="Q214" s="42"/>
      <c r="R214" s="42"/>
      <c r="S214" s="42"/>
      <c r="T214" s="42"/>
      <c r="U214" s="42"/>
      <c r="V214" s="42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2"/>
      <c r="AH214" s="42"/>
      <c r="AI214" s="42"/>
      <c r="AJ214" s="42"/>
      <c r="AK214" s="42"/>
      <c r="AL214" s="42"/>
      <c r="AM214" s="42"/>
      <c r="AN214" s="42"/>
      <c r="AO214" s="42"/>
      <c r="AP214" s="42"/>
      <c r="AQ214" s="42"/>
      <c r="AR214" s="42"/>
      <c r="AS214" s="42"/>
      <c r="AT214" s="42"/>
      <c r="AU214" s="42"/>
      <c r="AV214" s="42"/>
      <c r="AW214" s="42"/>
      <c r="AX214" s="42"/>
      <c r="AY214" s="42"/>
      <c r="AZ214" s="42"/>
      <c r="BA214" s="42"/>
      <c r="BB214" s="42"/>
      <c r="BC214" s="42"/>
      <c r="BD214" s="42"/>
      <c r="BE214" s="42"/>
      <c r="BF214" s="42"/>
      <c r="BG214" s="42"/>
      <c r="BH214" s="42"/>
    </row>
    <row r="215" spans="1:60" x14ac:dyDescent="0.2">
      <c r="A215" s="42"/>
      <c r="B215" s="42"/>
      <c r="C215" s="42"/>
      <c r="D215" s="42"/>
      <c r="E215" s="42"/>
      <c r="F215" s="42"/>
      <c r="G215" s="42"/>
      <c r="H215" s="42"/>
      <c r="I215" s="42"/>
      <c r="J215" s="42"/>
      <c r="K215" s="42"/>
      <c r="L215" s="42"/>
      <c r="M215" s="42"/>
      <c r="N215" s="42"/>
      <c r="O215" s="42"/>
      <c r="P215" s="42"/>
      <c r="Q215" s="42"/>
      <c r="R215" s="42"/>
      <c r="S215" s="42"/>
      <c r="T215" s="42"/>
      <c r="U215" s="42"/>
      <c r="V215" s="42"/>
      <c r="W215" s="42"/>
      <c r="X215" s="42"/>
      <c r="Y215" s="42"/>
      <c r="Z215" s="42"/>
      <c r="AA215" s="42"/>
      <c r="AB215" s="42"/>
      <c r="AC215" s="42"/>
      <c r="AD215" s="42"/>
      <c r="AE215" s="42"/>
      <c r="AF215" s="42"/>
      <c r="AG215" s="42"/>
      <c r="AH215" s="42"/>
      <c r="AI215" s="42"/>
      <c r="AJ215" s="42"/>
      <c r="AK215" s="42"/>
      <c r="AL215" s="42"/>
      <c r="AM215" s="42"/>
      <c r="AN215" s="42"/>
      <c r="AO215" s="42"/>
      <c r="AP215" s="42"/>
      <c r="AQ215" s="42"/>
      <c r="AR215" s="42"/>
      <c r="AS215" s="42"/>
      <c r="AT215" s="42"/>
      <c r="AU215" s="42"/>
      <c r="AV215" s="42"/>
      <c r="AW215" s="42"/>
      <c r="AX215" s="42"/>
      <c r="AY215" s="42"/>
      <c r="AZ215" s="42"/>
      <c r="BA215" s="42"/>
      <c r="BB215" s="42"/>
      <c r="BC215" s="42"/>
      <c r="BD215" s="42"/>
      <c r="BE215" s="42"/>
      <c r="BF215" s="42"/>
      <c r="BG215" s="42"/>
      <c r="BH215" s="42"/>
    </row>
    <row r="216" spans="1:60" x14ac:dyDescent="0.2">
      <c r="A216" s="42"/>
      <c r="B216" s="42"/>
      <c r="C216" s="42"/>
      <c r="D216" s="42"/>
      <c r="E216" s="42"/>
      <c r="F216" s="42"/>
      <c r="G216" s="42"/>
      <c r="H216" s="42"/>
      <c r="I216" s="42"/>
      <c r="J216" s="42"/>
      <c r="K216" s="42"/>
      <c r="L216" s="42"/>
      <c r="M216" s="42"/>
      <c r="N216" s="42"/>
      <c r="O216" s="42"/>
      <c r="P216" s="42"/>
      <c r="Q216" s="42"/>
      <c r="R216" s="42"/>
      <c r="S216" s="42"/>
      <c r="T216" s="42"/>
      <c r="U216" s="42"/>
      <c r="V216" s="42"/>
      <c r="W216" s="42"/>
      <c r="X216" s="42"/>
      <c r="Y216" s="42"/>
      <c r="Z216" s="42"/>
      <c r="AA216" s="42"/>
      <c r="AB216" s="42"/>
      <c r="AC216" s="42"/>
      <c r="AD216" s="42"/>
      <c r="AE216" s="42"/>
      <c r="AF216" s="42"/>
      <c r="AG216" s="42"/>
      <c r="AH216" s="42"/>
      <c r="AI216" s="42"/>
      <c r="AJ216" s="42"/>
      <c r="AK216" s="42"/>
      <c r="AL216" s="42"/>
      <c r="AM216" s="42"/>
      <c r="AN216" s="42"/>
      <c r="AO216" s="42"/>
      <c r="AP216" s="42"/>
      <c r="AQ216" s="42"/>
      <c r="AR216" s="42"/>
      <c r="AS216" s="42"/>
      <c r="AT216" s="42"/>
      <c r="AU216" s="42"/>
      <c r="AV216" s="42"/>
      <c r="AW216" s="42"/>
      <c r="AX216" s="42"/>
      <c r="AY216" s="42"/>
      <c r="AZ216" s="42"/>
      <c r="BA216" s="42"/>
      <c r="BB216" s="42"/>
      <c r="BC216" s="42"/>
      <c r="BD216" s="42"/>
      <c r="BE216" s="42"/>
      <c r="BF216" s="42"/>
      <c r="BG216" s="42"/>
      <c r="BH216" s="42"/>
    </row>
    <row r="217" spans="1:60" x14ac:dyDescent="0.2">
      <c r="A217" s="42"/>
      <c r="B217" s="42"/>
      <c r="C217" s="42"/>
      <c r="D217" s="42"/>
      <c r="E217" s="42"/>
      <c r="F217" s="42"/>
      <c r="G217" s="42"/>
      <c r="H217" s="42"/>
      <c r="I217" s="42"/>
      <c r="J217" s="42"/>
      <c r="K217" s="42"/>
      <c r="L217" s="42"/>
      <c r="M217" s="42"/>
      <c r="N217" s="42"/>
      <c r="O217" s="42"/>
      <c r="P217" s="42"/>
      <c r="Q217" s="42"/>
      <c r="R217" s="42"/>
      <c r="S217" s="42"/>
      <c r="T217" s="42"/>
      <c r="U217" s="42"/>
      <c r="V217" s="42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2"/>
      <c r="AH217" s="42"/>
      <c r="AI217" s="42"/>
      <c r="AJ217" s="42"/>
      <c r="AK217" s="42"/>
      <c r="AL217" s="42"/>
      <c r="AM217" s="42"/>
      <c r="AN217" s="42"/>
      <c r="AO217" s="42"/>
      <c r="AP217" s="42"/>
      <c r="AQ217" s="42"/>
      <c r="AR217" s="42"/>
      <c r="AS217" s="42"/>
      <c r="AT217" s="42"/>
      <c r="AU217" s="42"/>
      <c r="AV217" s="42"/>
      <c r="AW217" s="42"/>
      <c r="AX217" s="42"/>
      <c r="AY217" s="42"/>
      <c r="AZ217" s="42"/>
      <c r="BA217" s="42"/>
      <c r="BB217" s="42"/>
      <c r="BC217" s="42"/>
      <c r="BD217" s="42"/>
      <c r="BE217" s="42"/>
      <c r="BF217" s="42"/>
      <c r="BG217" s="42"/>
      <c r="BH217" s="42"/>
    </row>
    <row r="218" spans="1:60" x14ac:dyDescent="0.2">
      <c r="A218" s="42"/>
      <c r="B218" s="42"/>
      <c r="C218" s="42"/>
      <c r="D218" s="42"/>
      <c r="E218" s="42"/>
      <c r="F218" s="42"/>
      <c r="G218" s="42"/>
      <c r="H218" s="42"/>
      <c r="I218" s="42"/>
      <c r="J218" s="42"/>
      <c r="K218" s="42"/>
      <c r="L218" s="42"/>
      <c r="M218" s="42"/>
      <c r="N218" s="42"/>
      <c r="O218" s="42"/>
      <c r="P218" s="42"/>
      <c r="Q218" s="42"/>
      <c r="R218" s="42"/>
      <c r="S218" s="42"/>
      <c r="T218" s="42"/>
      <c r="U218" s="42"/>
      <c r="V218" s="42"/>
      <c r="W218" s="42"/>
      <c r="X218" s="42"/>
      <c r="Y218" s="42"/>
      <c r="Z218" s="42"/>
      <c r="AA218" s="42"/>
      <c r="AB218" s="42"/>
      <c r="AC218" s="42"/>
      <c r="AD218" s="42"/>
      <c r="AE218" s="42"/>
      <c r="AF218" s="42"/>
      <c r="AG218" s="42"/>
      <c r="AH218" s="42"/>
      <c r="AI218" s="42"/>
      <c r="AJ218" s="42"/>
      <c r="AK218" s="42"/>
      <c r="AL218" s="42"/>
      <c r="AM218" s="42"/>
      <c r="AN218" s="42"/>
      <c r="AO218" s="42"/>
      <c r="AP218" s="42"/>
      <c r="AQ218" s="42"/>
      <c r="AR218" s="42"/>
      <c r="AS218" s="42"/>
      <c r="AT218" s="42"/>
      <c r="AU218" s="42"/>
      <c r="AV218" s="42"/>
      <c r="AW218" s="42"/>
      <c r="AX218" s="42"/>
      <c r="AY218" s="42"/>
      <c r="AZ218" s="42"/>
      <c r="BA218" s="42"/>
      <c r="BB218" s="42"/>
      <c r="BC218" s="42"/>
      <c r="BD218" s="42"/>
      <c r="BE218" s="42"/>
      <c r="BF218" s="42"/>
      <c r="BG218" s="42"/>
      <c r="BH218" s="42"/>
    </row>
    <row r="219" spans="1:60" x14ac:dyDescent="0.2">
      <c r="A219" s="42"/>
      <c r="B219" s="42"/>
      <c r="C219" s="42"/>
      <c r="D219" s="42"/>
      <c r="E219" s="42"/>
      <c r="F219" s="42"/>
      <c r="G219" s="42"/>
      <c r="H219" s="42"/>
      <c r="I219" s="42"/>
      <c r="J219" s="42"/>
      <c r="K219" s="42"/>
      <c r="L219" s="42"/>
      <c r="M219" s="42"/>
      <c r="N219" s="42"/>
      <c r="O219" s="42"/>
      <c r="P219" s="42"/>
      <c r="Q219" s="42"/>
      <c r="R219" s="42"/>
      <c r="S219" s="42"/>
      <c r="T219" s="42"/>
      <c r="U219" s="42"/>
      <c r="V219" s="42"/>
      <c r="W219" s="42"/>
      <c r="X219" s="42"/>
      <c r="Y219" s="42"/>
      <c r="Z219" s="42"/>
      <c r="AA219" s="42"/>
      <c r="AB219" s="42"/>
      <c r="AC219" s="42"/>
      <c r="AD219" s="42"/>
      <c r="AE219" s="42"/>
      <c r="AF219" s="42"/>
      <c r="AG219" s="42"/>
      <c r="AH219" s="42"/>
      <c r="AI219" s="42"/>
      <c r="AJ219" s="42"/>
      <c r="AK219" s="42"/>
      <c r="AL219" s="42"/>
      <c r="AM219" s="42"/>
      <c r="AN219" s="42"/>
      <c r="AO219" s="42"/>
      <c r="AP219" s="42"/>
      <c r="AQ219" s="42"/>
      <c r="AR219" s="42"/>
      <c r="AS219" s="42"/>
      <c r="AT219" s="42"/>
      <c r="AU219" s="42"/>
      <c r="AV219" s="42"/>
      <c r="AW219" s="42"/>
      <c r="AX219" s="42"/>
      <c r="AY219" s="42"/>
      <c r="AZ219" s="42"/>
      <c r="BA219" s="42"/>
      <c r="BB219" s="42"/>
      <c r="BC219" s="42"/>
      <c r="BD219" s="42"/>
      <c r="BE219" s="42"/>
      <c r="BF219" s="42"/>
      <c r="BG219" s="42"/>
      <c r="BH219" s="42"/>
    </row>
    <row r="220" spans="1:60" x14ac:dyDescent="0.2">
      <c r="A220" s="42"/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</row>
    <row r="221" spans="1:60" x14ac:dyDescent="0.2">
      <c r="A221" s="42"/>
      <c r="B221" s="42"/>
      <c r="C221" s="42"/>
      <c r="D221" s="42"/>
      <c r="E221" s="42"/>
      <c r="F221" s="42"/>
      <c r="G221" s="42"/>
      <c r="H221" s="42"/>
      <c r="I221" s="42"/>
      <c r="J221" s="42"/>
      <c r="K221" s="42"/>
      <c r="L221" s="42"/>
      <c r="M221" s="42"/>
      <c r="N221" s="42"/>
      <c r="O221" s="42"/>
      <c r="P221" s="42"/>
      <c r="Q221" s="42"/>
      <c r="R221" s="42"/>
      <c r="S221" s="42"/>
      <c r="T221" s="42"/>
      <c r="U221" s="42"/>
      <c r="V221" s="42"/>
      <c r="W221" s="42"/>
      <c r="X221" s="42"/>
      <c r="Y221" s="42"/>
      <c r="Z221" s="42"/>
      <c r="AA221" s="42"/>
      <c r="AB221" s="42"/>
      <c r="AC221" s="42"/>
      <c r="AD221" s="42"/>
      <c r="AE221" s="42"/>
      <c r="AF221" s="42"/>
      <c r="AG221" s="42"/>
      <c r="AH221" s="42"/>
      <c r="AI221" s="42"/>
      <c r="AJ221" s="42"/>
      <c r="AK221" s="42"/>
      <c r="AL221" s="42"/>
      <c r="AM221" s="42"/>
      <c r="AN221" s="42"/>
      <c r="AO221" s="42"/>
      <c r="AP221" s="42"/>
      <c r="AQ221" s="42"/>
      <c r="AR221" s="42"/>
      <c r="AS221" s="42"/>
      <c r="AT221" s="42"/>
      <c r="AU221" s="42"/>
      <c r="AV221" s="42"/>
      <c r="AW221" s="42"/>
      <c r="AX221" s="42"/>
      <c r="AY221" s="42"/>
      <c r="AZ221" s="42"/>
      <c r="BA221" s="42"/>
      <c r="BB221" s="42"/>
      <c r="BC221" s="42"/>
      <c r="BD221" s="42"/>
      <c r="BE221" s="42"/>
      <c r="BF221" s="42"/>
      <c r="BG221" s="42"/>
      <c r="BH221" s="42"/>
    </row>
    <row r="222" spans="1:60" x14ac:dyDescent="0.2">
      <c r="A222" s="42"/>
      <c r="B222" s="42"/>
      <c r="C222" s="42"/>
      <c r="D222" s="42"/>
      <c r="E222" s="42"/>
      <c r="F222" s="42"/>
      <c r="G222" s="42"/>
      <c r="H222" s="42"/>
      <c r="I222" s="42"/>
      <c r="J222" s="42"/>
      <c r="K222" s="42"/>
      <c r="L222" s="42"/>
      <c r="M222" s="42"/>
      <c r="N222" s="42"/>
      <c r="O222" s="42"/>
      <c r="P222" s="42"/>
      <c r="Q222" s="42"/>
      <c r="R222" s="42"/>
      <c r="S222" s="42"/>
      <c r="T222" s="42"/>
      <c r="U222" s="42"/>
      <c r="V222" s="42"/>
      <c r="W222" s="42"/>
      <c r="X222" s="42"/>
      <c r="Y222" s="42"/>
      <c r="Z222" s="42"/>
      <c r="AA222" s="42"/>
      <c r="AB222" s="42"/>
      <c r="AC222" s="42"/>
      <c r="AD222" s="42"/>
      <c r="AE222" s="42"/>
      <c r="AF222" s="42"/>
      <c r="AG222" s="42"/>
      <c r="AH222" s="42"/>
      <c r="AI222" s="42"/>
      <c r="AJ222" s="42"/>
      <c r="AK222" s="42"/>
      <c r="AL222" s="42"/>
      <c r="AM222" s="42"/>
      <c r="AN222" s="42"/>
      <c r="AO222" s="42"/>
      <c r="AP222" s="42"/>
      <c r="AQ222" s="42"/>
      <c r="AR222" s="42"/>
      <c r="AS222" s="42"/>
      <c r="AT222" s="42"/>
      <c r="AU222" s="42"/>
      <c r="AV222" s="42"/>
      <c r="AW222" s="42"/>
      <c r="AX222" s="42"/>
      <c r="AY222" s="42"/>
      <c r="AZ222" s="42"/>
      <c r="BA222" s="42"/>
      <c r="BB222" s="42"/>
      <c r="BC222" s="42"/>
      <c r="BD222" s="42"/>
      <c r="BE222" s="42"/>
      <c r="BF222" s="42"/>
      <c r="BG222" s="42"/>
      <c r="BH222" s="42"/>
    </row>
    <row r="223" spans="1:60" x14ac:dyDescent="0.2">
      <c r="A223" s="42"/>
      <c r="B223" s="42"/>
      <c r="C223" s="42"/>
      <c r="D223" s="42"/>
      <c r="E223" s="42"/>
      <c r="F223" s="42"/>
      <c r="G223" s="42"/>
      <c r="H223" s="42"/>
      <c r="I223" s="42"/>
      <c r="J223" s="42"/>
      <c r="K223" s="42"/>
      <c r="L223" s="42"/>
      <c r="M223" s="42"/>
      <c r="N223" s="42"/>
      <c r="O223" s="42"/>
      <c r="P223" s="42"/>
      <c r="Q223" s="42"/>
      <c r="R223" s="42"/>
      <c r="S223" s="42"/>
      <c r="T223" s="42"/>
      <c r="U223" s="42"/>
      <c r="V223" s="42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2"/>
      <c r="AH223" s="42"/>
      <c r="AI223" s="42"/>
      <c r="AJ223" s="42"/>
      <c r="AK223" s="42"/>
      <c r="AL223" s="42"/>
      <c r="AM223" s="42"/>
      <c r="AN223" s="42"/>
      <c r="AO223" s="42"/>
      <c r="AP223" s="42"/>
      <c r="AQ223" s="42"/>
      <c r="AR223" s="42"/>
      <c r="AS223" s="42"/>
      <c r="AT223" s="42"/>
      <c r="AU223" s="42"/>
      <c r="AV223" s="42"/>
      <c r="AW223" s="42"/>
      <c r="AX223" s="42"/>
      <c r="AY223" s="42"/>
      <c r="AZ223" s="42"/>
      <c r="BA223" s="42"/>
      <c r="BB223" s="42"/>
      <c r="BC223" s="42"/>
      <c r="BD223" s="42"/>
      <c r="BE223" s="42"/>
      <c r="BF223" s="42"/>
      <c r="BG223" s="42"/>
      <c r="BH223" s="42"/>
    </row>
    <row r="224" spans="1:60" x14ac:dyDescent="0.2">
      <c r="A224" s="42"/>
      <c r="B224" s="42"/>
      <c r="C224" s="42"/>
      <c r="D224" s="42"/>
      <c r="E224" s="42"/>
      <c r="F224" s="42"/>
      <c r="G224" s="42"/>
      <c r="H224" s="42"/>
      <c r="I224" s="42"/>
      <c r="J224" s="42"/>
      <c r="K224" s="42"/>
      <c r="L224" s="42"/>
      <c r="M224" s="42"/>
      <c r="N224" s="42"/>
      <c r="O224" s="42"/>
      <c r="P224" s="42"/>
      <c r="Q224" s="42"/>
      <c r="R224" s="42"/>
      <c r="S224" s="42"/>
      <c r="T224" s="42"/>
      <c r="U224" s="42"/>
      <c r="V224" s="42"/>
      <c r="W224" s="42"/>
      <c r="X224" s="42"/>
      <c r="Y224" s="42"/>
      <c r="Z224" s="42"/>
      <c r="AA224" s="42"/>
      <c r="AB224" s="42"/>
      <c r="AC224" s="42"/>
      <c r="AD224" s="42"/>
      <c r="AE224" s="42"/>
      <c r="AF224" s="42"/>
      <c r="AG224" s="42"/>
      <c r="AH224" s="42"/>
      <c r="AI224" s="42"/>
      <c r="AJ224" s="42"/>
      <c r="AK224" s="42"/>
      <c r="AL224" s="42"/>
      <c r="AM224" s="42"/>
      <c r="AN224" s="42"/>
      <c r="AO224" s="42"/>
      <c r="AP224" s="42"/>
      <c r="AQ224" s="42"/>
      <c r="AR224" s="42"/>
      <c r="AS224" s="42"/>
      <c r="AT224" s="42"/>
      <c r="AU224" s="42"/>
      <c r="AV224" s="42"/>
      <c r="AW224" s="42"/>
      <c r="AX224" s="42"/>
      <c r="AY224" s="42"/>
      <c r="AZ224" s="42"/>
      <c r="BA224" s="42"/>
      <c r="BB224" s="42"/>
      <c r="BC224" s="42"/>
      <c r="BD224" s="42"/>
      <c r="BE224" s="42"/>
      <c r="BF224" s="42"/>
      <c r="BG224" s="42"/>
      <c r="BH224" s="42"/>
    </row>
    <row r="225" spans="1:60" x14ac:dyDescent="0.2">
      <c r="A225" s="42"/>
      <c r="B225" s="42"/>
      <c r="C225" s="42"/>
      <c r="D225" s="42"/>
      <c r="E225" s="42"/>
      <c r="F225" s="42"/>
      <c r="G225" s="42"/>
      <c r="H225" s="42"/>
      <c r="I225" s="42"/>
      <c r="J225" s="42"/>
      <c r="K225" s="42" t="s">
        <v>0</v>
      </c>
      <c r="L225" s="42"/>
      <c r="M225" s="42"/>
      <c r="N225" s="42"/>
      <c r="O225" s="42"/>
      <c r="P225" s="42"/>
      <c r="Q225" s="42"/>
      <c r="R225" s="42"/>
      <c r="S225" s="42"/>
      <c r="T225" s="42"/>
      <c r="U225" s="42"/>
      <c r="V225" s="42"/>
      <c r="W225" s="42"/>
      <c r="X225" s="42"/>
      <c r="Y225" s="42"/>
      <c r="Z225" s="42"/>
      <c r="AA225" s="42"/>
      <c r="AB225" s="42"/>
      <c r="AC225" s="42"/>
      <c r="AD225" s="42"/>
      <c r="AE225" s="42"/>
      <c r="AF225" s="42"/>
      <c r="AG225" s="42"/>
      <c r="AH225" s="42"/>
      <c r="AI225" s="42"/>
      <c r="AJ225" s="42"/>
      <c r="AK225" s="42"/>
      <c r="AL225" s="42"/>
      <c r="AM225" s="42"/>
      <c r="AN225" s="42"/>
      <c r="AO225" s="42"/>
      <c r="AP225" s="42"/>
      <c r="AQ225" s="42"/>
      <c r="AR225" s="42"/>
      <c r="AS225" s="42"/>
      <c r="AT225" s="42"/>
      <c r="AU225" s="42"/>
      <c r="AV225" s="42"/>
      <c r="AW225" s="42"/>
      <c r="AX225" s="42"/>
      <c r="AY225" s="42"/>
      <c r="AZ225" s="42"/>
      <c r="BA225" s="42"/>
      <c r="BB225" s="42"/>
      <c r="BC225" s="42"/>
      <c r="BD225" s="42"/>
      <c r="BE225" s="42"/>
      <c r="BF225" s="42"/>
      <c r="BG225" s="42"/>
      <c r="BH225" s="42"/>
    </row>
    <row r="226" spans="1:60" x14ac:dyDescent="0.2">
      <c r="A226" s="42"/>
      <c r="B226" s="42"/>
      <c r="C226" s="42"/>
      <c r="D226" s="42"/>
      <c r="E226" s="42"/>
      <c r="F226" s="42"/>
      <c r="G226" s="42"/>
      <c r="H226" s="42"/>
      <c r="I226" s="42"/>
      <c r="J226" s="42"/>
      <c r="K226" s="42"/>
      <c r="L226" s="42"/>
      <c r="M226" s="42"/>
      <c r="N226" s="42"/>
      <c r="O226" s="42"/>
      <c r="P226" s="42"/>
      <c r="Q226" s="42"/>
      <c r="R226" s="42"/>
      <c r="S226" s="42"/>
      <c r="T226" s="42"/>
      <c r="U226" s="42"/>
      <c r="V226" s="42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2"/>
      <c r="AH226" s="42"/>
      <c r="AI226" s="42"/>
      <c r="AJ226" s="42"/>
      <c r="AK226" s="42"/>
      <c r="AL226" s="42"/>
      <c r="AM226" s="42"/>
      <c r="AN226" s="42"/>
      <c r="AO226" s="42"/>
      <c r="AP226" s="42"/>
      <c r="AQ226" s="42"/>
      <c r="AR226" s="42"/>
      <c r="AS226" s="42"/>
      <c r="AT226" s="42"/>
      <c r="AU226" s="42"/>
      <c r="AV226" s="42"/>
      <c r="AW226" s="42"/>
      <c r="AX226" s="42"/>
      <c r="AY226" s="42"/>
      <c r="AZ226" s="42"/>
      <c r="BA226" s="42"/>
      <c r="BB226" s="42"/>
      <c r="BC226" s="42"/>
      <c r="BD226" s="42"/>
      <c r="BE226" s="42"/>
      <c r="BF226" s="42"/>
      <c r="BG226" s="42"/>
      <c r="BH226" s="42"/>
    </row>
    <row r="227" spans="1:60" x14ac:dyDescent="0.2">
      <c r="A227" s="42"/>
      <c r="B227" s="42"/>
      <c r="C227" s="42"/>
      <c r="D227" s="42"/>
      <c r="E227" s="42"/>
      <c r="F227" s="42"/>
      <c r="G227" s="42"/>
      <c r="H227" s="42"/>
      <c r="I227" s="42"/>
      <c r="J227" s="42"/>
      <c r="K227" s="42"/>
      <c r="L227" s="42"/>
      <c r="M227" s="42"/>
      <c r="N227" s="42"/>
      <c r="O227" s="42"/>
      <c r="P227" s="42"/>
      <c r="Q227" s="42"/>
      <c r="R227" s="42"/>
      <c r="S227" s="42"/>
      <c r="T227" s="42"/>
      <c r="U227" s="42"/>
      <c r="V227" s="42"/>
      <c r="W227" s="42"/>
      <c r="X227" s="42"/>
      <c r="Y227" s="42"/>
      <c r="Z227" s="42"/>
      <c r="AA227" s="42"/>
      <c r="AB227" s="42"/>
      <c r="AC227" s="42"/>
      <c r="AD227" s="42"/>
      <c r="AE227" s="42"/>
      <c r="AF227" s="42"/>
      <c r="AG227" s="42"/>
      <c r="AH227" s="42"/>
      <c r="AI227" s="42"/>
      <c r="AJ227" s="42"/>
      <c r="AK227" s="42"/>
      <c r="AL227" s="42"/>
      <c r="AM227" s="42"/>
      <c r="AN227" s="42"/>
      <c r="AO227" s="42"/>
      <c r="AP227" s="42"/>
      <c r="AQ227" s="42"/>
      <c r="AR227" s="42"/>
      <c r="AS227" s="42"/>
      <c r="AT227" s="42"/>
      <c r="AU227" s="42"/>
      <c r="AV227" s="42"/>
      <c r="AW227" s="42"/>
      <c r="AX227" s="42"/>
      <c r="AY227" s="42"/>
      <c r="AZ227" s="42"/>
      <c r="BA227" s="42"/>
      <c r="BB227" s="42"/>
      <c r="BC227" s="42"/>
      <c r="BD227" s="42"/>
      <c r="BE227" s="42"/>
      <c r="BF227" s="42"/>
      <c r="BG227" s="42"/>
      <c r="BH227" s="42"/>
    </row>
    <row r="228" spans="1:60" x14ac:dyDescent="0.2">
      <c r="A228" s="42"/>
      <c r="B228" s="42"/>
      <c r="C228" s="42"/>
      <c r="D228" s="42"/>
      <c r="E228" s="42"/>
      <c r="F228" s="42"/>
      <c r="G228" s="42"/>
      <c r="H228" s="42"/>
      <c r="I228" s="42"/>
      <c r="J228" s="42"/>
      <c r="K228" s="42"/>
      <c r="L228" s="42"/>
      <c r="M228" s="42"/>
      <c r="N228" s="42"/>
      <c r="O228" s="42"/>
      <c r="P228" s="42"/>
      <c r="Q228" s="42"/>
      <c r="R228" s="42"/>
      <c r="S228" s="42"/>
      <c r="T228" s="42"/>
      <c r="U228" s="42"/>
      <c r="V228" s="42"/>
      <c r="W228" s="42"/>
      <c r="X228" s="42"/>
      <c r="Y228" s="42"/>
      <c r="Z228" s="42"/>
      <c r="AA228" s="42"/>
      <c r="AB228" s="42"/>
      <c r="AC228" s="42"/>
      <c r="AD228" s="42"/>
      <c r="AE228" s="42"/>
      <c r="AF228" s="42"/>
      <c r="AG228" s="42"/>
      <c r="AH228" s="42"/>
      <c r="AI228" s="42"/>
      <c r="AJ228" s="42"/>
      <c r="AK228" s="42"/>
      <c r="AL228" s="42"/>
      <c r="AM228" s="42"/>
      <c r="AN228" s="42"/>
      <c r="AO228" s="42"/>
      <c r="AP228" s="42"/>
      <c r="AQ228" s="42"/>
      <c r="AR228" s="42"/>
      <c r="AS228" s="42"/>
      <c r="AT228" s="42"/>
      <c r="AU228" s="42"/>
      <c r="AV228" s="42"/>
      <c r="AW228" s="42"/>
      <c r="AX228" s="42"/>
      <c r="AY228" s="42"/>
      <c r="AZ228" s="42"/>
      <c r="BA228" s="42"/>
      <c r="BB228" s="42"/>
      <c r="BC228" s="42"/>
      <c r="BD228" s="42"/>
      <c r="BE228" s="42"/>
      <c r="BF228" s="42"/>
      <c r="BG228" s="42"/>
      <c r="BH228" s="42"/>
    </row>
    <row r="229" spans="1:60" x14ac:dyDescent="0.2">
      <c r="A229" s="42"/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</row>
    <row r="230" spans="1:60" x14ac:dyDescent="0.2">
      <c r="A230" s="42"/>
      <c r="B230" s="42"/>
      <c r="C230" s="42"/>
      <c r="D230" s="42"/>
      <c r="E230" s="42"/>
      <c r="F230" s="42"/>
      <c r="G230" s="42"/>
      <c r="H230" s="42"/>
      <c r="I230" s="42"/>
      <c r="J230" s="42"/>
      <c r="K230" s="42"/>
      <c r="L230" s="42"/>
      <c r="M230" s="42"/>
      <c r="N230" s="42"/>
      <c r="O230" s="42"/>
      <c r="P230" s="42"/>
      <c r="Q230" s="42"/>
      <c r="R230" s="42"/>
      <c r="S230" s="42"/>
      <c r="T230" s="42"/>
      <c r="U230" s="42"/>
      <c r="V230" s="42"/>
      <c r="W230" s="42"/>
      <c r="X230" s="42"/>
      <c r="Y230" s="42"/>
      <c r="Z230" s="42"/>
      <c r="AA230" s="42"/>
      <c r="AB230" s="42"/>
      <c r="AC230" s="42"/>
      <c r="AD230" s="42"/>
      <c r="AE230" s="42"/>
      <c r="AF230" s="42"/>
      <c r="AG230" s="42"/>
      <c r="AH230" s="42"/>
      <c r="AI230" s="42"/>
      <c r="AJ230" s="42"/>
      <c r="AK230" s="42"/>
      <c r="AL230" s="42"/>
      <c r="AM230" s="42"/>
      <c r="AN230" s="42"/>
      <c r="AO230" s="42"/>
      <c r="AP230" s="42"/>
      <c r="AQ230" s="42"/>
      <c r="AR230" s="42"/>
      <c r="AS230" s="42"/>
      <c r="AT230" s="42"/>
      <c r="AU230" s="42"/>
      <c r="AV230" s="42"/>
      <c r="AW230" s="42"/>
      <c r="AX230" s="42"/>
      <c r="AY230" s="42"/>
      <c r="AZ230" s="42"/>
      <c r="BA230" s="42"/>
      <c r="BB230" s="42"/>
      <c r="BC230" s="42"/>
      <c r="BD230" s="42"/>
      <c r="BE230" s="42"/>
      <c r="BF230" s="42"/>
      <c r="BG230" s="42"/>
      <c r="BH230" s="42"/>
    </row>
    <row r="231" spans="1:60" x14ac:dyDescent="0.2">
      <c r="A231" s="42"/>
      <c r="B231" s="42"/>
      <c r="C231" s="42"/>
      <c r="D231" s="42"/>
      <c r="E231" s="42"/>
      <c r="F231" s="42"/>
      <c r="G231" s="42"/>
      <c r="H231" s="42"/>
      <c r="I231" s="42"/>
      <c r="J231" s="42"/>
      <c r="K231" s="42"/>
      <c r="L231" s="42"/>
      <c r="M231" s="42"/>
      <c r="N231" s="42"/>
      <c r="O231" s="42"/>
      <c r="P231" s="42"/>
      <c r="Q231" s="42"/>
      <c r="R231" s="42"/>
      <c r="S231" s="42"/>
      <c r="T231" s="42"/>
      <c r="U231" s="42"/>
      <c r="V231" s="42"/>
      <c r="W231" s="42"/>
      <c r="X231" s="42"/>
      <c r="Y231" s="42"/>
      <c r="Z231" s="42"/>
      <c r="AA231" s="42"/>
      <c r="AB231" s="42"/>
      <c r="AC231" s="42"/>
      <c r="AD231" s="42"/>
      <c r="AE231" s="42"/>
      <c r="AF231" s="42"/>
      <c r="AG231" s="42"/>
      <c r="AH231" s="42"/>
      <c r="AI231" s="42"/>
      <c r="AJ231" s="42"/>
      <c r="AK231" s="42"/>
      <c r="AL231" s="42"/>
      <c r="AM231" s="42"/>
      <c r="AN231" s="42"/>
      <c r="AO231" s="42"/>
      <c r="AP231" s="42"/>
      <c r="AQ231" s="42"/>
      <c r="AR231" s="42"/>
      <c r="AS231" s="42"/>
      <c r="AT231" s="42"/>
      <c r="AU231" s="42"/>
      <c r="AV231" s="42"/>
      <c r="AW231" s="42"/>
      <c r="AX231" s="42"/>
      <c r="AY231" s="42"/>
      <c r="AZ231" s="42"/>
      <c r="BA231" s="42"/>
      <c r="BB231" s="42"/>
      <c r="BC231" s="42"/>
      <c r="BD231" s="42"/>
      <c r="BE231" s="42"/>
      <c r="BF231" s="42"/>
      <c r="BG231" s="42"/>
      <c r="BH231" s="42"/>
    </row>
    <row r="232" spans="1:60" x14ac:dyDescent="0.2">
      <c r="A232" s="42"/>
      <c r="B232" s="42"/>
      <c r="C232" s="42"/>
      <c r="D232" s="42"/>
      <c r="E232" s="42"/>
      <c r="F232" s="42"/>
      <c r="G232" s="42"/>
      <c r="H232" s="42"/>
      <c r="I232" s="42"/>
      <c r="J232" s="42"/>
      <c r="K232" s="42"/>
      <c r="L232" s="42"/>
      <c r="M232" s="42"/>
      <c r="N232" s="42"/>
      <c r="O232" s="42"/>
      <c r="P232" s="42"/>
      <c r="Q232" s="42"/>
      <c r="R232" s="42"/>
      <c r="S232" s="42"/>
      <c r="T232" s="42"/>
      <c r="U232" s="42"/>
      <c r="V232" s="42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2"/>
      <c r="AH232" s="42"/>
      <c r="AI232" s="42"/>
      <c r="AJ232" s="42"/>
      <c r="AK232" s="42"/>
      <c r="AL232" s="42"/>
      <c r="AM232" s="42"/>
      <c r="AN232" s="42"/>
      <c r="AO232" s="42"/>
      <c r="AP232" s="42"/>
      <c r="AQ232" s="42"/>
      <c r="AR232" s="42"/>
      <c r="AS232" s="42"/>
      <c r="AT232" s="42"/>
      <c r="AU232" s="42"/>
      <c r="AV232" s="42"/>
      <c r="AW232" s="42"/>
      <c r="AX232" s="42"/>
      <c r="AY232" s="42"/>
      <c r="AZ232" s="42"/>
      <c r="BA232" s="42"/>
      <c r="BB232" s="42"/>
      <c r="BC232" s="42"/>
      <c r="BD232" s="42"/>
      <c r="BE232" s="42"/>
      <c r="BF232" s="42"/>
      <c r="BG232" s="42"/>
      <c r="BH232" s="42"/>
    </row>
    <row r="233" spans="1:60" x14ac:dyDescent="0.2">
      <c r="A233" s="42"/>
      <c r="B233" s="42"/>
      <c r="C233" s="42"/>
      <c r="D233" s="42"/>
      <c r="E233" s="42"/>
      <c r="F233" s="42"/>
      <c r="G233" s="42"/>
      <c r="H233" s="42"/>
      <c r="I233" s="42"/>
      <c r="J233" s="42"/>
      <c r="K233" s="42"/>
      <c r="L233" s="42"/>
      <c r="M233" s="42"/>
      <c r="N233" s="42"/>
      <c r="O233" s="42"/>
      <c r="P233" s="42"/>
      <c r="Q233" s="42"/>
      <c r="R233" s="42"/>
      <c r="S233" s="42"/>
      <c r="T233" s="42"/>
      <c r="U233" s="42"/>
      <c r="V233" s="42"/>
      <c r="W233" s="42"/>
      <c r="X233" s="42"/>
      <c r="Y233" s="42"/>
      <c r="Z233" s="42"/>
      <c r="AA233" s="42"/>
      <c r="AB233" s="42"/>
      <c r="AC233" s="42"/>
      <c r="AD233" s="42"/>
      <c r="AE233" s="42"/>
      <c r="AF233" s="42"/>
      <c r="AG233" s="42"/>
      <c r="AH233" s="42"/>
      <c r="AI233" s="42"/>
      <c r="AJ233" s="42"/>
      <c r="AK233" s="42"/>
      <c r="AL233" s="42"/>
      <c r="AM233" s="42"/>
      <c r="AN233" s="42"/>
      <c r="AO233" s="42"/>
      <c r="AP233" s="42"/>
      <c r="AQ233" s="42"/>
      <c r="AR233" s="42"/>
      <c r="AS233" s="42"/>
      <c r="AT233" s="42"/>
      <c r="AU233" s="42"/>
      <c r="AV233" s="42"/>
      <c r="AW233" s="42"/>
      <c r="AX233" s="42"/>
      <c r="AY233" s="42"/>
      <c r="AZ233" s="42"/>
      <c r="BA233" s="42"/>
      <c r="BB233" s="42"/>
      <c r="BC233" s="42"/>
      <c r="BD233" s="42"/>
      <c r="BE233" s="42"/>
      <c r="BF233" s="42"/>
      <c r="BG233" s="42"/>
      <c r="BH233" s="42"/>
    </row>
    <row r="234" spans="1:60" x14ac:dyDescent="0.2">
      <c r="A234" s="42"/>
      <c r="B234" s="42"/>
      <c r="C234" s="42"/>
      <c r="D234" s="42"/>
      <c r="E234" s="42"/>
      <c r="F234" s="42"/>
      <c r="G234" s="42"/>
      <c r="H234" s="42"/>
      <c r="I234" s="42"/>
      <c r="J234" s="42"/>
      <c r="K234" s="42"/>
      <c r="L234" s="42"/>
      <c r="M234" s="42"/>
      <c r="N234" s="42"/>
      <c r="O234" s="42"/>
      <c r="P234" s="42"/>
      <c r="Q234" s="42"/>
      <c r="R234" s="42"/>
      <c r="S234" s="42"/>
      <c r="T234" s="42"/>
      <c r="U234" s="42"/>
      <c r="V234" s="42"/>
      <c r="W234" s="42"/>
      <c r="X234" s="42"/>
      <c r="Y234" s="42"/>
      <c r="Z234" s="42"/>
      <c r="AA234" s="42"/>
      <c r="AB234" s="42"/>
      <c r="AC234" s="42"/>
      <c r="AD234" s="42"/>
      <c r="AE234" s="42"/>
      <c r="AF234" s="42"/>
      <c r="AG234" s="42"/>
      <c r="AH234" s="42"/>
      <c r="AI234" s="42"/>
      <c r="AJ234" s="42"/>
      <c r="AK234" s="42"/>
      <c r="AL234" s="42"/>
      <c r="AM234" s="42"/>
      <c r="AN234" s="42"/>
      <c r="AO234" s="42"/>
      <c r="AP234" s="42"/>
      <c r="AQ234" s="42"/>
      <c r="AR234" s="42"/>
      <c r="AS234" s="42"/>
      <c r="AT234" s="42"/>
      <c r="AU234" s="42"/>
      <c r="AV234" s="42"/>
      <c r="AW234" s="42"/>
      <c r="AX234" s="42"/>
      <c r="AY234" s="42"/>
      <c r="AZ234" s="42"/>
      <c r="BA234" s="42"/>
      <c r="BB234" s="42"/>
      <c r="BC234" s="42"/>
      <c r="BD234" s="42"/>
      <c r="BE234" s="42"/>
      <c r="BF234" s="42"/>
      <c r="BG234" s="42"/>
      <c r="BH234" s="42"/>
    </row>
    <row r="235" spans="1:60" x14ac:dyDescent="0.2">
      <c r="A235" s="42"/>
      <c r="B235" s="42"/>
      <c r="C235" s="42"/>
      <c r="D235" s="42"/>
      <c r="E235" s="42"/>
      <c r="F235" s="42"/>
      <c r="G235" s="42"/>
      <c r="H235" s="42"/>
      <c r="I235" s="42"/>
      <c r="J235" s="42"/>
      <c r="K235" s="42"/>
      <c r="L235" s="42"/>
      <c r="M235" s="42"/>
      <c r="N235" s="42"/>
      <c r="O235" s="42"/>
      <c r="P235" s="42"/>
      <c r="Q235" s="42"/>
      <c r="R235" s="42"/>
      <c r="S235" s="42"/>
      <c r="T235" s="42"/>
      <c r="U235" s="42"/>
      <c r="V235" s="42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2"/>
      <c r="AH235" s="42"/>
      <c r="AI235" s="42"/>
      <c r="AJ235" s="42"/>
      <c r="AK235" s="42"/>
      <c r="AL235" s="42"/>
      <c r="AM235" s="42"/>
      <c r="AN235" s="42"/>
      <c r="AO235" s="42"/>
      <c r="AP235" s="42"/>
      <c r="AQ235" s="42"/>
      <c r="AR235" s="42"/>
      <c r="AS235" s="42"/>
      <c r="AT235" s="42"/>
      <c r="AU235" s="42"/>
      <c r="AV235" s="42"/>
      <c r="AW235" s="42"/>
      <c r="AX235" s="42"/>
      <c r="AY235" s="42"/>
      <c r="AZ235" s="42"/>
      <c r="BA235" s="42"/>
      <c r="BB235" s="42"/>
      <c r="BC235" s="42"/>
      <c r="BD235" s="42"/>
      <c r="BE235" s="42"/>
      <c r="BF235" s="42"/>
      <c r="BG235" s="42"/>
      <c r="BH235" s="42"/>
    </row>
    <row r="236" spans="1:60" x14ac:dyDescent="0.2">
      <c r="A236" s="42"/>
      <c r="B236" s="42"/>
      <c r="C236" s="42"/>
      <c r="D236" s="42"/>
      <c r="E236" s="42"/>
      <c r="F236" s="42"/>
      <c r="G236" s="42"/>
      <c r="H236" s="42"/>
      <c r="I236" s="42"/>
      <c r="J236" s="42"/>
      <c r="K236" s="42"/>
      <c r="L236" s="42"/>
      <c r="M236" s="42"/>
      <c r="N236" s="42"/>
      <c r="O236" s="42"/>
      <c r="P236" s="42"/>
      <c r="Q236" s="42"/>
      <c r="R236" s="42"/>
      <c r="S236" s="42"/>
      <c r="T236" s="42"/>
      <c r="U236" s="42"/>
      <c r="V236" s="42"/>
      <c r="W236" s="42"/>
      <c r="X236" s="42"/>
      <c r="Y236" s="42"/>
      <c r="Z236" s="42"/>
      <c r="AA236" s="42"/>
      <c r="AB236" s="42"/>
      <c r="AC236" s="42"/>
      <c r="AD236" s="42"/>
      <c r="AE236" s="42"/>
      <c r="AF236" s="42"/>
      <c r="AG236" s="42"/>
      <c r="AH236" s="42"/>
      <c r="AI236" s="42"/>
      <c r="AJ236" s="42"/>
      <c r="AK236" s="42"/>
      <c r="AL236" s="42"/>
      <c r="AM236" s="42"/>
      <c r="AN236" s="42"/>
      <c r="AO236" s="42"/>
      <c r="AP236" s="42"/>
      <c r="AQ236" s="42"/>
      <c r="AR236" s="42"/>
      <c r="AS236" s="42"/>
      <c r="AT236" s="42"/>
      <c r="AU236" s="42"/>
      <c r="AV236" s="42"/>
      <c r="AW236" s="42"/>
      <c r="AX236" s="42"/>
      <c r="AY236" s="42"/>
      <c r="AZ236" s="42"/>
      <c r="BA236" s="42"/>
      <c r="BB236" s="42"/>
      <c r="BC236" s="42"/>
      <c r="BD236" s="42"/>
      <c r="BE236" s="42"/>
      <c r="BF236" s="42"/>
      <c r="BG236" s="42"/>
      <c r="BH236" s="42"/>
    </row>
    <row r="237" spans="1:60" x14ac:dyDescent="0.2">
      <c r="A237" s="42"/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</row>
    <row r="238" spans="1:60" x14ac:dyDescent="0.2">
      <c r="A238" s="42"/>
      <c r="B238" s="42"/>
      <c r="C238" s="42"/>
      <c r="D238" s="42"/>
      <c r="E238" s="42"/>
      <c r="F238" s="42"/>
      <c r="G238" s="42"/>
      <c r="H238" s="42"/>
      <c r="I238" s="42"/>
      <c r="J238" s="42"/>
      <c r="K238" s="42"/>
      <c r="L238" s="42"/>
      <c r="M238" s="42"/>
      <c r="N238" s="42"/>
      <c r="O238" s="42"/>
      <c r="P238" s="42"/>
      <c r="Q238" s="42"/>
      <c r="R238" s="42"/>
      <c r="S238" s="42"/>
      <c r="T238" s="42"/>
      <c r="U238" s="42"/>
      <c r="V238" s="42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2"/>
      <c r="AH238" s="42"/>
      <c r="AI238" s="42"/>
      <c r="AJ238" s="42"/>
      <c r="AK238" s="42"/>
      <c r="AL238" s="42"/>
      <c r="AM238" s="42"/>
      <c r="AN238" s="42"/>
      <c r="AO238" s="42"/>
      <c r="AP238" s="42"/>
      <c r="AQ238" s="42"/>
      <c r="AR238" s="42"/>
      <c r="AS238" s="42"/>
      <c r="AT238" s="42"/>
      <c r="AU238" s="42"/>
      <c r="AV238" s="42"/>
      <c r="AW238" s="42"/>
      <c r="AX238" s="42"/>
      <c r="AY238" s="42"/>
      <c r="AZ238" s="42"/>
      <c r="BA238" s="42"/>
      <c r="BB238" s="42"/>
      <c r="BC238" s="42"/>
      <c r="BD238" s="42"/>
      <c r="BE238" s="42"/>
      <c r="BF238" s="42"/>
      <c r="BG238" s="42"/>
      <c r="BH238" s="42"/>
    </row>
    <row r="239" spans="1:60" x14ac:dyDescent="0.2">
      <c r="A239" s="42"/>
      <c r="B239" s="42"/>
      <c r="C239" s="42"/>
      <c r="D239" s="42"/>
      <c r="E239" s="42"/>
      <c r="F239" s="42"/>
      <c r="G239" s="42"/>
      <c r="H239" s="42"/>
      <c r="I239" s="42"/>
      <c r="J239" s="42"/>
      <c r="K239" s="42"/>
      <c r="L239" s="42"/>
      <c r="M239" s="42"/>
      <c r="N239" s="42"/>
      <c r="O239" s="42"/>
      <c r="P239" s="42"/>
      <c r="Q239" s="42"/>
      <c r="R239" s="42"/>
      <c r="S239" s="42"/>
      <c r="T239" s="42"/>
      <c r="U239" s="42"/>
      <c r="V239" s="42"/>
      <c r="W239" s="42"/>
      <c r="X239" s="42"/>
      <c r="Y239" s="42"/>
      <c r="Z239" s="42"/>
      <c r="AA239" s="42"/>
      <c r="AB239" s="42"/>
      <c r="AC239" s="42"/>
      <c r="AD239" s="42"/>
      <c r="AE239" s="42"/>
      <c r="AF239" s="42"/>
      <c r="AG239" s="42"/>
      <c r="AH239" s="42"/>
      <c r="AI239" s="42"/>
      <c r="AJ239" s="42"/>
      <c r="AK239" s="42"/>
      <c r="AL239" s="42"/>
      <c r="AM239" s="42"/>
      <c r="AN239" s="42"/>
      <c r="AO239" s="42"/>
      <c r="AP239" s="42"/>
      <c r="AQ239" s="42"/>
      <c r="AR239" s="42"/>
      <c r="AS239" s="42"/>
      <c r="AT239" s="42"/>
      <c r="AU239" s="42"/>
      <c r="AV239" s="42"/>
      <c r="AW239" s="42"/>
      <c r="AX239" s="42"/>
      <c r="AY239" s="42"/>
      <c r="AZ239" s="42"/>
      <c r="BA239" s="42"/>
      <c r="BB239" s="42"/>
      <c r="BC239" s="42"/>
      <c r="BD239" s="42"/>
      <c r="BE239" s="42"/>
      <c r="BF239" s="42"/>
      <c r="BG239" s="42"/>
      <c r="BH239" s="42"/>
    </row>
    <row r="240" spans="1:60" x14ac:dyDescent="0.2">
      <c r="A240" s="42"/>
      <c r="B240" s="42"/>
      <c r="C240" s="42"/>
      <c r="D240" s="42"/>
      <c r="E240" s="42"/>
      <c r="F240" s="42"/>
      <c r="G240" s="42"/>
      <c r="H240" s="42"/>
      <c r="I240" s="42"/>
      <c r="J240" s="42"/>
      <c r="K240" s="42"/>
      <c r="L240" s="42"/>
      <c r="M240" s="42"/>
      <c r="N240" s="42"/>
      <c r="O240" s="42"/>
      <c r="P240" s="42"/>
      <c r="Q240" s="42"/>
      <c r="R240" s="42"/>
      <c r="S240" s="42"/>
      <c r="T240" s="42"/>
      <c r="U240" s="42"/>
      <c r="V240" s="42"/>
      <c r="W240" s="42"/>
      <c r="X240" s="42"/>
      <c r="Y240" s="42"/>
      <c r="Z240" s="42"/>
      <c r="AA240" s="42"/>
      <c r="AB240" s="42"/>
      <c r="AC240" s="42"/>
      <c r="AD240" s="42"/>
      <c r="AE240" s="42"/>
      <c r="AF240" s="42"/>
      <c r="AG240" s="42"/>
      <c r="AH240" s="42"/>
      <c r="AI240" s="42"/>
      <c r="AJ240" s="42"/>
      <c r="AK240" s="42"/>
      <c r="AL240" s="42"/>
      <c r="AM240" s="42"/>
      <c r="AN240" s="42"/>
      <c r="AO240" s="42"/>
      <c r="AP240" s="42"/>
      <c r="AQ240" s="42"/>
      <c r="AR240" s="42"/>
      <c r="AS240" s="42"/>
      <c r="AT240" s="42"/>
      <c r="AU240" s="42"/>
      <c r="AV240" s="42"/>
      <c r="AW240" s="42"/>
      <c r="AX240" s="42"/>
      <c r="AY240" s="42"/>
      <c r="AZ240" s="42"/>
      <c r="BA240" s="42"/>
      <c r="BB240" s="42"/>
      <c r="BC240" s="42"/>
      <c r="BD240" s="42"/>
      <c r="BE240" s="42"/>
      <c r="BF240" s="42"/>
      <c r="BG240" s="42"/>
      <c r="BH240" s="42"/>
    </row>
    <row r="241" spans="1:60" x14ac:dyDescent="0.2">
      <c r="A241" s="42"/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</row>
    <row r="242" spans="1:60" x14ac:dyDescent="0.2">
      <c r="A242" s="42"/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</row>
    <row r="243" spans="1:60" x14ac:dyDescent="0.2">
      <c r="A243" s="42"/>
      <c r="B243" s="42"/>
      <c r="C243" s="42"/>
      <c r="D243" s="42"/>
      <c r="E243" s="42"/>
      <c r="F243" s="42"/>
      <c r="G243" s="42"/>
      <c r="H243" s="42"/>
      <c r="I243" s="42"/>
      <c r="J243" s="42"/>
      <c r="K243" s="42"/>
      <c r="L243" s="42"/>
      <c r="M243" s="42"/>
      <c r="N243" s="42"/>
      <c r="O243" s="42"/>
      <c r="P243" s="42"/>
      <c r="Q243" s="42"/>
      <c r="R243" s="42"/>
      <c r="S243" s="42"/>
      <c r="T243" s="42"/>
      <c r="U243" s="42"/>
      <c r="V243" s="42"/>
      <c r="W243" s="42"/>
      <c r="X243" s="42"/>
      <c r="Y243" s="42"/>
      <c r="Z243" s="42"/>
      <c r="AA243" s="42"/>
      <c r="AB243" s="42"/>
      <c r="AC243" s="42"/>
      <c r="AD243" s="42"/>
      <c r="AE243" s="42"/>
      <c r="AF243" s="42"/>
      <c r="AG243" s="42"/>
      <c r="AH243" s="42"/>
      <c r="AI243" s="42"/>
      <c r="AJ243" s="42"/>
      <c r="AK243" s="42"/>
      <c r="AL243" s="42"/>
      <c r="AM243" s="42"/>
      <c r="AN243" s="42"/>
      <c r="AO243" s="42"/>
      <c r="AP243" s="42"/>
      <c r="AQ243" s="42"/>
      <c r="AR243" s="42"/>
      <c r="AS243" s="42"/>
      <c r="AT243" s="42"/>
      <c r="AU243" s="42"/>
      <c r="AV243" s="42"/>
      <c r="AW243" s="42"/>
      <c r="AX243" s="42"/>
      <c r="AY243" s="42"/>
      <c r="AZ243" s="42"/>
      <c r="BA243" s="42"/>
      <c r="BB243" s="42"/>
      <c r="BC243" s="42"/>
      <c r="BD243" s="42"/>
      <c r="BE243" s="42"/>
      <c r="BF243" s="42"/>
      <c r="BG243" s="42"/>
      <c r="BH243" s="42"/>
    </row>
    <row r="244" spans="1:60" x14ac:dyDescent="0.2">
      <c r="A244" s="42"/>
      <c r="B244" s="42" t="s">
        <v>302</v>
      </c>
      <c r="C244" s="42"/>
      <c r="D244" s="42"/>
      <c r="E244" s="42"/>
      <c r="F244" s="42"/>
      <c r="G244" s="42"/>
      <c r="H244" s="42"/>
      <c r="I244" s="42"/>
      <c r="J244" s="42"/>
      <c r="K244" s="42"/>
      <c r="L244" s="42"/>
      <c r="M244" s="42"/>
      <c r="N244" s="42"/>
      <c r="O244" s="42"/>
      <c r="P244" s="42"/>
      <c r="Q244" s="42"/>
      <c r="R244" s="42"/>
      <c r="S244" s="42"/>
      <c r="T244" s="42"/>
      <c r="U244" s="42"/>
      <c r="V244" s="42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2"/>
      <c r="AH244" s="42"/>
      <c r="AI244" s="42"/>
      <c r="AJ244" s="42"/>
      <c r="AK244" s="42"/>
      <c r="AL244" s="42"/>
      <c r="AM244" s="42"/>
      <c r="AN244" s="42"/>
      <c r="AO244" s="42"/>
      <c r="AP244" s="42"/>
      <c r="AQ244" s="42"/>
      <c r="AR244" s="42"/>
      <c r="AS244" s="42"/>
      <c r="AT244" s="42"/>
      <c r="AU244" s="42"/>
      <c r="AV244" s="42"/>
      <c r="AW244" s="42"/>
      <c r="AX244" s="42"/>
      <c r="AY244" s="42"/>
      <c r="AZ244" s="42"/>
      <c r="BA244" s="42"/>
      <c r="BB244" s="42"/>
      <c r="BC244" s="42"/>
      <c r="BD244" s="42"/>
      <c r="BE244" s="42"/>
      <c r="BF244" s="42"/>
      <c r="BG244" s="42"/>
      <c r="BH244" s="42"/>
    </row>
    <row r="245" spans="1:60" x14ac:dyDescent="0.2">
      <c r="A245" s="42"/>
      <c r="B245" s="42" t="s">
        <v>303</v>
      </c>
      <c r="C245" s="42"/>
      <c r="D245" s="42"/>
      <c r="E245" s="42"/>
      <c r="F245" s="42"/>
      <c r="G245" s="42"/>
      <c r="H245" s="42"/>
      <c r="I245" s="42"/>
      <c r="J245" s="42"/>
      <c r="K245" s="42"/>
      <c r="L245" s="42"/>
      <c r="M245" s="42"/>
      <c r="N245" s="42"/>
      <c r="O245" s="42"/>
      <c r="P245" s="42"/>
      <c r="Q245" s="42"/>
      <c r="R245" s="42"/>
      <c r="S245" s="42"/>
      <c r="T245" s="42"/>
      <c r="U245" s="42"/>
      <c r="V245" s="42"/>
      <c r="W245" s="42"/>
      <c r="X245" s="42"/>
      <c r="Y245" s="42"/>
      <c r="Z245" s="42"/>
      <c r="AA245" s="42"/>
      <c r="AB245" s="42"/>
      <c r="AC245" s="42"/>
      <c r="AD245" s="42"/>
      <c r="AE245" s="42"/>
      <c r="AF245" s="42"/>
      <c r="AG245" s="42"/>
      <c r="AH245" s="42"/>
      <c r="AI245" s="42"/>
      <c r="AJ245" s="42"/>
      <c r="AK245" s="42"/>
      <c r="AL245" s="42"/>
      <c r="AM245" s="42"/>
      <c r="AN245" s="42"/>
      <c r="AO245" s="42"/>
      <c r="AP245" s="42"/>
      <c r="AQ245" s="42"/>
      <c r="AR245" s="42"/>
      <c r="AS245" s="42"/>
      <c r="AT245" s="42"/>
      <c r="AU245" s="42"/>
      <c r="AV245" s="42"/>
      <c r="AW245" s="42"/>
      <c r="AX245" s="42"/>
      <c r="AY245" s="42"/>
      <c r="AZ245" s="42"/>
      <c r="BA245" s="42"/>
      <c r="BB245" s="42"/>
      <c r="BC245" s="42"/>
      <c r="BD245" s="42"/>
      <c r="BE245" s="42"/>
      <c r="BF245" s="42"/>
      <c r="BG245" s="42"/>
      <c r="BH245" s="42"/>
    </row>
    <row r="246" spans="1:60" x14ac:dyDescent="0.2">
      <c r="A246" s="42"/>
      <c r="B246" s="42" t="s">
        <v>0</v>
      </c>
      <c r="C246" s="42"/>
      <c r="D246" s="42"/>
      <c r="E246" s="42"/>
      <c r="F246" s="42"/>
      <c r="G246" s="42"/>
      <c r="H246" s="42"/>
      <c r="I246" s="42"/>
      <c r="J246" s="42"/>
      <c r="K246" s="42" t="s">
        <v>0</v>
      </c>
      <c r="L246" s="42"/>
      <c r="M246" s="42"/>
      <c r="N246" s="42"/>
      <c r="O246" s="42"/>
      <c r="P246" s="42"/>
      <c r="Q246" s="42"/>
      <c r="R246" s="42"/>
      <c r="S246" s="42"/>
      <c r="T246" s="42"/>
      <c r="U246" s="42"/>
      <c r="V246" s="42"/>
      <c r="W246" s="42"/>
      <c r="X246" s="42"/>
      <c r="Y246" s="42"/>
      <c r="Z246" s="42"/>
      <c r="AA246" s="42"/>
      <c r="AB246" s="42"/>
      <c r="AC246" s="42"/>
      <c r="AD246" s="42"/>
      <c r="AE246" s="42"/>
      <c r="AF246" s="42"/>
      <c r="AG246" s="42"/>
      <c r="AH246" s="42"/>
      <c r="AI246" s="42"/>
      <c r="AJ246" s="42"/>
      <c r="AK246" s="42"/>
      <c r="AL246" s="42"/>
      <c r="AM246" s="42"/>
      <c r="AN246" s="42"/>
      <c r="AO246" s="42"/>
      <c r="AP246" s="42"/>
      <c r="AQ246" s="42"/>
      <c r="AR246" s="42"/>
      <c r="AS246" s="42"/>
      <c r="AT246" s="42"/>
      <c r="AU246" s="42"/>
      <c r="AV246" s="42"/>
      <c r="AW246" s="42"/>
      <c r="AX246" s="42"/>
      <c r="AY246" s="42"/>
      <c r="AZ246" s="42"/>
      <c r="BA246" s="42"/>
      <c r="BB246" s="42"/>
      <c r="BC246" s="42"/>
      <c r="BD246" s="42"/>
      <c r="BE246" s="42"/>
      <c r="BF246" s="42"/>
      <c r="BG246" s="42"/>
      <c r="BH246" s="42"/>
    </row>
    <row r="247" spans="1:60" x14ac:dyDescent="0.2">
      <c r="A247" s="42"/>
      <c r="B247" s="42" t="s">
        <v>305</v>
      </c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  <c r="N247" s="42"/>
      <c r="O247" s="42"/>
      <c r="P247" s="42"/>
      <c r="Q247" s="42"/>
      <c r="R247" s="42"/>
      <c r="S247" s="42"/>
      <c r="T247" s="42"/>
      <c r="U247" s="42"/>
      <c r="V247" s="42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2"/>
      <c r="AH247" s="42"/>
      <c r="AI247" s="42"/>
      <c r="AJ247" s="42"/>
      <c r="AK247" s="42"/>
      <c r="AL247" s="42"/>
      <c r="AM247" s="42"/>
      <c r="AN247" s="42"/>
      <c r="AO247" s="42"/>
      <c r="AP247" s="42"/>
      <c r="AQ247" s="42"/>
      <c r="AR247" s="42"/>
      <c r="AS247" s="42"/>
      <c r="AT247" s="42"/>
      <c r="AU247" s="42"/>
      <c r="AV247" s="42"/>
      <c r="AW247" s="42"/>
      <c r="AX247" s="42"/>
      <c r="AY247" s="42"/>
      <c r="AZ247" s="42"/>
      <c r="BA247" s="42"/>
      <c r="BB247" s="42"/>
      <c r="BC247" s="42"/>
      <c r="BD247" s="42"/>
      <c r="BE247" s="42"/>
      <c r="BF247" s="42"/>
      <c r="BG247" s="42"/>
      <c r="BH247" s="42"/>
    </row>
    <row r="248" spans="1:60" x14ac:dyDescent="0.2">
      <c r="A248" s="42"/>
      <c r="B248" s="42"/>
      <c r="C248" s="42"/>
      <c r="D248" s="42"/>
      <c r="E248" s="42"/>
      <c r="F248" s="42"/>
      <c r="G248" s="42"/>
      <c r="H248" s="42"/>
      <c r="I248" s="42"/>
      <c r="J248" s="42"/>
      <c r="K248" s="42" t="s">
        <v>0</v>
      </c>
      <c r="L248" s="42"/>
      <c r="M248" s="42"/>
      <c r="N248" s="42"/>
      <c r="O248" s="42"/>
      <c r="P248" s="42"/>
      <c r="Q248" s="42"/>
      <c r="R248" s="42"/>
      <c r="S248" s="42"/>
      <c r="T248" s="42"/>
      <c r="U248" s="42"/>
      <c r="V248" s="42"/>
      <c r="W248" s="42"/>
      <c r="X248" s="42"/>
      <c r="Y248" s="42"/>
      <c r="Z248" s="42"/>
      <c r="AA248" s="42"/>
      <c r="AB248" s="42"/>
      <c r="AC248" s="42"/>
      <c r="AD248" s="42"/>
      <c r="AE248" s="42"/>
      <c r="AF248" s="42"/>
      <c r="AG248" s="42"/>
      <c r="AH248" s="42"/>
      <c r="AI248" s="42"/>
      <c r="AJ248" s="42"/>
      <c r="AK248" s="42"/>
      <c r="AL248" s="42"/>
      <c r="AM248" s="42"/>
      <c r="AN248" s="42"/>
      <c r="AO248" s="42"/>
      <c r="AP248" s="42"/>
      <c r="AQ248" s="42"/>
      <c r="AR248" s="42"/>
      <c r="AS248" s="42"/>
      <c r="AT248" s="42"/>
      <c r="AU248" s="42"/>
      <c r="AV248" s="42"/>
      <c r="AW248" s="42"/>
      <c r="AX248" s="42"/>
      <c r="AY248" s="42"/>
      <c r="AZ248" s="42"/>
      <c r="BA248" s="42"/>
      <c r="BB248" s="42"/>
      <c r="BC248" s="42"/>
      <c r="BD248" s="42"/>
      <c r="BE248" s="42"/>
      <c r="BF248" s="42"/>
      <c r="BG248" s="42"/>
      <c r="BH248" s="42"/>
    </row>
    <row r="249" spans="1:60" x14ac:dyDescent="0.2">
      <c r="A249" s="42"/>
      <c r="B249" s="42"/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  <c r="N249" s="42"/>
      <c r="O249" s="42"/>
      <c r="P249" s="42"/>
      <c r="Q249" s="42"/>
      <c r="R249" s="42"/>
      <c r="S249" s="42"/>
      <c r="T249" s="42"/>
      <c r="U249" s="42"/>
      <c r="V249" s="42"/>
      <c r="W249" s="42"/>
      <c r="X249" s="42"/>
      <c r="Y249" s="42"/>
      <c r="Z249" s="42"/>
      <c r="AA249" s="42"/>
      <c r="AB249" s="42"/>
      <c r="AC249" s="42"/>
      <c r="AD249" s="42"/>
      <c r="AE249" s="42"/>
      <c r="AF249" s="42"/>
      <c r="AG249" s="42"/>
      <c r="AH249" s="42"/>
      <c r="AI249" s="42"/>
      <c r="AJ249" s="42"/>
      <c r="AK249" s="42"/>
      <c r="AL249" s="42"/>
      <c r="AM249" s="42"/>
      <c r="AN249" s="42"/>
      <c r="AO249" s="42"/>
      <c r="AP249" s="42"/>
      <c r="AQ249" s="42"/>
      <c r="AR249" s="42"/>
      <c r="AS249" s="42"/>
      <c r="AT249" s="42"/>
      <c r="AU249" s="42"/>
      <c r="AV249" s="42"/>
      <c r="AW249" s="42"/>
      <c r="AX249" s="42"/>
      <c r="AY249" s="42"/>
      <c r="AZ249" s="42"/>
      <c r="BA249" s="42"/>
      <c r="BB249" s="42"/>
      <c r="BC249" s="42"/>
      <c r="BD249" s="42"/>
      <c r="BE249" s="42"/>
      <c r="BF249" s="42"/>
      <c r="BG249" s="42"/>
      <c r="BH249" s="42"/>
    </row>
    <row r="250" spans="1:60" x14ac:dyDescent="0.2">
      <c r="A250" s="42"/>
      <c r="B250" s="42"/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2"/>
      <c r="R250" s="42"/>
      <c r="S250" s="42"/>
      <c r="T250" s="42"/>
      <c r="U250" s="42"/>
      <c r="V250" s="42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2"/>
      <c r="AH250" s="42"/>
      <c r="AI250" s="42"/>
      <c r="AJ250" s="42"/>
      <c r="AK250" s="42"/>
      <c r="AL250" s="42"/>
      <c r="AM250" s="42"/>
      <c r="AN250" s="42"/>
      <c r="AO250" s="42"/>
      <c r="AP250" s="42"/>
      <c r="AQ250" s="42"/>
      <c r="AR250" s="42"/>
      <c r="AS250" s="42"/>
      <c r="AT250" s="42"/>
      <c r="AU250" s="42"/>
      <c r="AV250" s="42"/>
      <c r="AW250" s="42"/>
      <c r="AX250" s="42"/>
      <c r="AY250" s="42"/>
      <c r="AZ250" s="42"/>
      <c r="BA250" s="42"/>
      <c r="BB250" s="42"/>
      <c r="BC250" s="42"/>
      <c r="BD250" s="42"/>
      <c r="BE250" s="42"/>
      <c r="BF250" s="42"/>
      <c r="BG250" s="42"/>
      <c r="BH250" s="42"/>
    </row>
    <row r="251" spans="1:60" x14ac:dyDescent="0.2">
      <c r="A251" s="42"/>
      <c r="B251" s="42"/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  <c r="N251" s="42"/>
      <c r="O251" s="42"/>
      <c r="P251" s="42"/>
      <c r="Q251" s="42"/>
      <c r="R251" s="42"/>
      <c r="S251" s="42"/>
      <c r="T251" s="42"/>
      <c r="U251" s="42"/>
      <c r="V251" s="42"/>
      <c r="W251" s="42"/>
      <c r="X251" s="42"/>
      <c r="Y251" s="42"/>
      <c r="Z251" s="42"/>
      <c r="AA251" s="42"/>
      <c r="AB251" s="42"/>
      <c r="AC251" s="42"/>
      <c r="AD251" s="42"/>
      <c r="AE251" s="42"/>
      <c r="AF251" s="42"/>
      <c r="AG251" s="42"/>
      <c r="AH251" s="42"/>
      <c r="AI251" s="42"/>
      <c r="AJ251" s="42"/>
      <c r="AK251" s="42"/>
      <c r="AL251" s="42"/>
      <c r="AM251" s="42"/>
      <c r="AN251" s="42"/>
      <c r="AO251" s="42"/>
      <c r="AP251" s="42"/>
      <c r="AQ251" s="42"/>
      <c r="AR251" s="42"/>
      <c r="AS251" s="42"/>
      <c r="AT251" s="42"/>
      <c r="AU251" s="42"/>
      <c r="AV251" s="42"/>
      <c r="AW251" s="42"/>
      <c r="AX251" s="42"/>
      <c r="AY251" s="42"/>
      <c r="AZ251" s="42"/>
      <c r="BA251" s="42"/>
      <c r="BB251" s="42"/>
      <c r="BC251" s="42"/>
      <c r="BD251" s="42"/>
      <c r="BE251" s="42"/>
      <c r="BF251" s="42"/>
      <c r="BG251" s="42"/>
      <c r="BH251" s="42"/>
    </row>
    <row r="252" spans="1:60" x14ac:dyDescent="0.2">
      <c r="A252" s="42"/>
      <c r="B252" s="42"/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  <c r="N252" s="42"/>
      <c r="O252" s="42"/>
      <c r="P252" s="42"/>
      <c r="Q252" s="42"/>
      <c r="R252" s="42"/>
      <c r="S252" s="42"/>
      <c r="T252" s="42"/>
      <c r="U252" s="42"/>
      <c r="V252" s="42"/>
      <c r="W252" s="42"/>
      <c r="X252" s="42"/>
      <c r="Y252" s="42"/>
      <c r="Z252" s="42"/>
      <c r="AA252" s="42"/>
      <c r="AB252" s="42"/>
      <c r="AC252" s="42"/>
      <c r="AD252" s="42"/>
      <c r="AE252" s="42"/>
      <c r="AF252" s="42"/>
      <c r="AG252" s="42"/>
      <c r="AH252" s="42"/>
      <c r="AI252" s="42"/>
      <c r="AJ252" s="42"/>
      <c r="AK252" s="42"/>
      <c r="AL252" s="42"/>
      <c r="AM252" s="42"/>
      <c r="AN252" s="42"/>
      <c r="AO252" s="42"/>
      <c r="AP252" s="42"/>
      <c r="AQ252" s="42"/>
      <c r="AR252" s="42"/>
      <c r="AS252" s="42"/>
      <c r="AT252" s="42"/>
      <c r="AU252" s="42"/>
      <c r="AV252" s="42"/>
      <c r="AW252" s="42"/>
      <c r="AX252" s="42"/>
      <c r="AY252" s="42"/>
      <c r="AZ252" s="42"/>
      <c r="BA252" s="42"/>
      <c r="BB252" s="42"/>
      <c r="BC252" s="42"/>
      <c r="BD252" s="42"/>
      <c r="BE252" s="42"/>
      <c r="BF252" s="42"/>
      <c r="BG252" s="42"/>
      <c r="BH252" s="42"/>
    </row>
    <row r="253" spans="1:60" x14ac:dyDescent="0.2">
      <c r="A253" s="42"/>
      <c r="B253" s="42"/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2"/>
      <c r="R253" s="42"/>
      <c r="S253" s="42"/>
      <c r="T253" s="42"/>
      <c r="U253" s="42"/>
      <c r="V253" s="42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2"/>
      <c r="AH253" s="42"/>
      <c r="AI253" s="42"/>
      <c r="AJ253" s="42"/>
      <c r="AK253" s="42"/>
      <c r="AL253" s="42"/>
      <c r="AM253" s="42"/>
      <c r="AN253" s="42"/>
      <c r="AO253" s="42"/>
      <c r="AP253" s="42"/>
      <c r="AQ253" s="42"/>
      <c r="AR253" s="42"/>
      <c r="AS253" s="42"/>
      <c r="AT253" s="42"/>
      <c r="AU253" s="42"/>
      <c r="AV253" s="42"/>
      <c r="AW253" s="42"/>
      <c r="AX253" s="42"/>
      <c r="AY253" s="42"/>
      <c r="AZ253" s="42"/>
      <c r="BA253" s="42"/>
      <c r="BB253" s="42"/>
      <c r="BC253" s="42"/>
      <c r="BD253" s="42"/>
      <c r="BE253" s="42"/>
      <c r="BF253" s="42"/>
      <c r="BG253" s="42"/>
      <c r="BH253" s="42"/>
    </row>
    <row r="254" spans="1:60" x14ac:dyDescent="0.2">
      <c r="A254" s="42"/>
      <c r="B254" s="42"/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  <c r="N254" s="42"/>
      <c r="O254" s="42"/>
      <c r="P254" s="42"/>
      <c r="Q254" s="42"/>
      <c r="R254" s="42"/>
      <c r="S254" s="42"/>
      <c r="T254" s="42"/>
      <c r="U254" s="42"/>
      <c r="V254" s="42"/>
      <c r="W254" s="42"/>
      <c r="X254" s="42"/>
      <c r="Y254" s="42"/>
      <c r="Z254" s="42"/>
      <c r="AA254" s="42"/>
      <c r="AB254" s="42"/>
      <c r="AC254" s="42"/>
      <c r="AD254" s="42"/>
      <c r="AE254" s="42"/>
      <c r="AF254" s="42"/>
      <c r="AG254" s="42"/>
      <c r="AH254" s="42"/>
      <c r="AI254" s="42"/>
      <c r="AJ254" s="42"/>
      <c r="AK254" s="42"/>
      <c r="AL254" s="42"/>
      <c r="AM254" s="42"/>
      <c r="AN254" s="42"/>
      <c r="AO254" s="42"/>
      <c r="AP254" s="42"/>
      <c r="AQ254" s="42"/>
      <c r="AR254" s="42"/>
      <c r="AS254" s="42"/>
      <c r="AT254" s="42"/>
      <c r="AU254" s="42"/>
      <c r="AV254" s="42"/>
      <c r="AW254" s="42"/>
      <c r="AX254" s="42"/>
      <c r="AY254" s="42"/>
      <c r="AZ254" s="42"/>
      <c r="BA254" s="42"/>
      <c r="BB254" s="42"/>
      <c r="BC254" s="42"/>
      <c r="BD254" s="42"/>
      <c r="BE254" s="42"/>
      <c r="BF254" s="42"/>
      <c r="BG254" s="42"/>
      <c r="BH254" s="42"/>
    </row>
    <row r="255" spans="1:60" x14ac:dyDescent="0.2">
      <c r="A255" s="42"/>
      <c r="B255" s="42"/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  <c r="N255" s="42"/>
      <c r="O255" s="42"/>
      <c r="P255" s="42"/>
      <c r="Q255" s="42"/>
      <c r="R255" s="42"/>
      <c r="S255" s="42"/>
      <c r="T255" s="42"/>
      <c r="U255" s="42"/>
      <c r="V255" s="42"/>
      <c r="W255" s="42"/>
      <c r="X255" s="42"/>
      <c r="Y255" s="42"/>
      <c r="Z255" s="42"/>
      <c r="AA255" s="42"/>
      <c r="AB255" s="42"/>
      <c r="AC255" s="42"/>
      <c r="AD255" s="42"/>
      <c r="AE255" s="42"/>
      <c r="AF255" s="42"/>
      <c r="AG255" s="42"/>
      <c r="AH255" s="42"/>
      <c r="AI255" s="42"/>
      <c r="AJ255" s="42"/>
      <c r="AK255" s="42"/>
      <c r="AL255" s="42"/>
      <c r="AM255" s="42"/>
      <c r="AN255" s="42"/>
      <c r="AO255" s="42"/>
      <c r="AP255" s="42"/>
      <c r="AQ255" s="42"/>
      <c r="AR255" s="42"/>
      <c r="AS255" s="42"/>
      <c r="AT255" s="42"/>
      <c r="AU255" s="42"/>
      <c r="AV255" s="42"/>
      <c r="AW255" s="42"/>
      <c r="AX255" s="42"/>
      <c r="AY255" s="42"/>
      <c r="AZ255" s="42"/>
      <c r="BA255" s="42"/>
      <c r="BB255" s="42"/>
      <c r="BC255" s="42"/>
      <c r="BD255" s="42"/>
      <c r="BE255" s="42"/>
      <c r="BF255" s="42"/>
      <c r="BG255" s="42"/>
      <c r="BH255" s="42"/>
    </row>
    <row r="256" spans="1:60" x14ac:dyDescent="0.2">
      <c r="A256" s="42"/>
      <c r="B256" s="42"/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  <c r="N256" s="42"/>
      <c r="O256" s="42"/>
      <c r="P256" s="42"/>
      <c r="Q256" s="42"/>
      <c r="R256" s="42"/>
      <c r="S256" s="42"/>
      <c r="T256" s="42"/>
      <c r="U256" s="42"/>
      <c r="V256" s="42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2"/>
      <c r="AH256" s="42"/>
      <c r="AI256" s="42"/>
      <c r="AJ256" s="42"/>
      <c r="AK256" s="42"/>
      <c r="AL256" s="42"/>
      <c r="AM256" s="42"/>
      <c r="AN256" s="42"/>
      <c r="AO256" s="42"/>
      <c r="AP256" s="42"/>
      <c r="AQ256" s="42"/>
      <c r="AR256" s="42"/>
      <c r="AS256" s="42"/>
      <c r="AT256" s="42"/>
      <c r="AU256" s="42"/>
      <c r="AV256" s="42"/>
      <c r="AW256" s="42"/>
      <c r="AX256" s="42"/>
      <c r="AY256" s="42"/>
      <c r="AZ256" s="42"/>
      <c r="BA256" s="42"/>
      <c r="BB256" s="42"/>
      <c r="BC256" s="42"/>
      <c r="BD256" s="42"/>
      <c r="BE256" s="42"/>
      <c r="BF256" s="42"/>
      <c r="BG256" s="42"/>
      <c r="BH256" s="42"/>
    </row>
    <row r="257" spans="1:60" x14ac:dyDescent="0.2">
      <c r="A257" s="42"/>
      <c r="B257" s="42"/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2"/>
      <c r="P257" s="42"/>
      <c r="Q257" s="42"/>
      <c r="R257" s="42"/>
      <c r="S257" s="42"/>
      <c r="T257" s="42"/>
      <c r="U257" s="42"/>
      <c r="V257" s="42"/>
      <c r="W257" s="42"/>
      <c r="X257" s="42"/>
      <c r="Y257" s="42"/>
      <c r="Z257" s="42"/>
      <c r="AA257" s="42"/>
      <c r="AB257" s="42"/>
      <c r="AC257" s="42"/>
      <c r="AD257" s="42"/>
      <c r="AE257" s="42"/>
      <c r="AF257" s="42"/>
      <c r="AG257" s="42"/>
      <c r="AH257" s="42"/>
      <c r="AI257" s="42"/>
      <c r="AJ257" s="42"/>
      <c r="AK257" s="42"/>
      <c r="AL257" s="42"/>
      <c r="AM257" s="42"/>
      <c r="AN257" s="42"/>
      <c r="AO257" s="42"/>
      <c r="AP257" s="42"/>
      <c r="AQ257" s="42"/>
      <c r="AR257" s="42"/>
      <c r="AS257" s="42"/>
      <c r="AT257" s="42"/>
      <c r="AU257" s="42"/>
      <c r="AV257" s="42"/>
      <c r="AW257" s="42"/>
      <c r="AX257" s="42"/>
      <c r="AY257" s="42"/>
      <c r="AZ257" s="42"/>
      <c r="BA257" s="42"/>
      <c r="BB257" s="42"/>
      <c r="BC257" s="42"/>
      <c r="BD257" s="42"/>
      <c r="BE257" s="42"/>
      <c r="BF257" s="42"/>
      <c r="BG257" s="42"/>
      <c r="BH257" s="42"/>
    </row>
    <row r="258" spans="1:60" x14ac:dyDescent="0.2">
      <c r="A258" s="42"/>
      <c r="B258" s="42"/>
      <c r="C258" s="42"/>
      <c r="D258" s="42"/>
      <c r="E258" s="42"/>
      <c r="F258" s="42"/>
      <c r="G258" s="42"/>
      <c r="H258" s="42"/>
      <c r="I258" s="42"/>
      <c r="J258" s="42"/>
      <c r="K258" s="42"/>
      <c r="L258" s="42"/>
      <c r="M258" s="42"/>
      <c r="N258" s="42"/>
      <c r="O258" s="42"/>
      <c r="P258" s="42"/>
      <c r="Q258" s="42"/>
      <c r="R258" s="42"/>
      <c r="S258" s="42"/>
      <c r="T258" s="42"/>
      <c r="U258" s="42"/>
      <c r="V258" s="42"/>
      <c r="W258" s="42"/>
      <c r="X258" s="42"/>
      <c r="Y258" s="42"/>
      <c r="Z258" s="42"/>
      <c r="AA258" s="42"/>
      <c r="AB258" s="42"/>
      <c r="AC258" s="42"/>
      <c r="AD258" s="42"/>
      <c r="AE258" s="42"/>
      <c r="AF258" s="42"/>
      <c r="AG258" s="42"/>
      <c r="AH258" s="42"/>
      <c r="AI258" s="42"/>
      <c r="AJ258" s="42"/>
      <c r="AK258" s="42"/>
      <c r="AL258" s="42"/>
      <c r="AM258" s="42"/>
      <c r="AN258" s="42"/>
      <c r="AO258" s="42"/>
      <c r="AP258" s="42"/>
      <c r="AQ258" s="42"/>
      <c r="AR258" s="42"/>
      <c r="AS258" s="42"/>
      <c r="AT258" s="42"/>
      <c r="AU258" s="42"/>
      <c r="AV258" s="42"/>
      <c r="AW258" s="42"/>
      <c r="AX258" s="42"/>
      <c r="AY258" s="42"/>
      <c r="AZ258" s="42"/>
      <c r="BA258" s="42"/>
      <c r="BB258" s="42"/>
      <c r="BC258" s="42"/>
      <c r="BD258" s="42"/>
      <c r="BE258" s="42"/>
      <c r="BF258" s="42"/>
      <c r="BG258" s="42"/>
      <c r="BH258" s="42"/>
    </row>
    <row r="259" spans="1:60" x14ac:dyDescent="0.2">
      <c r="A259" s="42"/>
      <c r="B259" s="42"/>
      <c r="C259" s="42"/>
      <c r="D259" s="42"/>
      <c r="E259" s="42"/>
      <c r="F259" s="42"/>
      <c r="G259" s="42"/>
      <c r="H259" s="42"/>
      <c r="I259" s="42"/>
      <c r="J259" s="42"/>
      <c r="K259" s="42"/>
      <c r="L259" s="42"/>
      <c r="M259" s="42"/>
      <c r="N259" s="42"/>
      <c r="O259" s="42"/>
      <c r="P259" s="42"/>
      <c r="Q259" s="42"/>
      <c r="R259" s="42"/>
      <c r="S259" s="42"/>
      <c r="T259" s="42"/>
      <c r="U259" s="42"/>
      <c r="V259" s="42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2"/>
      <c r="AH259" s="42"/>
      <c r="AI259" s="42"/>
      <c r="AJ259" s="42"/>
      <c r="AK259" s="42"/>
      <c r="AL259" s="42"/>
      <c r="AM259" s="42"/>
      <c r="AN259" s="42"/>
      <c r="AO259" s="42"/>
      <c r="AP259" s="42"/>
      <c r="AQ259" s="42"/>
      <c r="AR259" s="42"/>
      <c r="AS259" s="42"/>
      <c r="AT259" s="42"/>
      <c r="AU259" s="42"/>
      <c r="AV259" s="42"/>
      <c r="AW259" s="42"/>
      <c r="AX259" s="42"/>
      <c r="AY259" s="42"/>
      <c r="AZ259" s="42"/>
      <c r="BA259" s="42"/>
      <c r="BB259" s="42"/>
      <c r="BC259" s="42"/>
      <c r="BD259" s="42"/>
      <c r="BE259" s="42"/>
      <c r="BF259" s="42"/>
      <c r="BG259" s="42"/>
      <c r="BH259" s="42"/>
    </row>
    <row r="260" spans="1:60" x14ac:dyDescent="0.2">
      <c r="A260" s="42"/>
      <c r="B260" s="42"/>
      <c r="C260" s="42"/>
      <c r="D260" s="42"/>
      <c r="E260" s="42"/>
      <c r="F260" s="42"/>
      <c r="G260" s="42"/>
      <c r="H260" s="42"/>
      <c r="I260" s="42"/>
      <c r="J260" s="42"/>
      <c r="K260" s="42"/>
      <c r="L260" s="42"/>
      <c r="M260" s="42"/>
      <c r="N260" s="42"/>
      <c r="O260" s="42"/>
      <c r="P260" s="42"/>
      <c r="Q260" s="42"/>
      <c r="R260" s="42"/>
      <c r="S260" s="42"/>
      <c r="T260" s="42"/>
      <c r="U260" s="42"/>
      <c r="V260" s="42"/>
      <c r="W260" s="42"/>
      <c r="X260" s="42"/>
      <c r="Y260" s="42"/>
      <c r="Z260" s="42"/>
      <c r="AA260" s="42"/>
      <c r="AB260" s="42"/>
      <c r="AC260" s="42"/>
      <c r="AD260" s="42"/>
      <c r="AE260" s="42"/>
      <c r="AF260" s="42"/>
      <c r="AG260" s="42"/>
      <c r="AH260" s="42"/>
      <c r="AI260" s="42"/>
      <c r="AJ260" s="42"/>
      <c r="AK260" s="42"/>
      <c r="AL260" s="42"/>
      <c r="AM260" s="42"/>
      <c r="AN260" s="42"/>
      <c r="AO260" s="42"/>
      <c r="AP260" s="42"/>
      <c r="AQ260" s="42"/>
      <c r="AR260" s="42"/>
      <c r="AS260" s="42"/>
      <c r="AT260" s="42"/>
      <c r="AU260" s="42"/>
      <c r="AV260" s="42"/>
      <c r="AW260" s="42"/>
      <c r="AX260" s="42"/>
      <c r="AY260" s="42"/>
      <c r="AZ260" s="42"/>
      <c r="BA260" s="42"/>
      <c r="BB260" s="42"/>
      <c r="BC260" s="42"/>
      <c r="BD260" s="42"/>
      <c r="BE260" s="42"/>
      <c r="BF260" s="42"/>
      <c r="BG260" s="42"/>
      <c r="BH260" s="42"/>
    </row>
    <row r="261" spans="1:60" x14ac:dyDescent="0.2">
      <c r="A261" s="42"/>
      <c r="B261" s="42"/>
      <c r="C261" s="42"/>
      <c r="D261" s="42"/>
      <c r="E261" s="42"/>
      <c r="F261" s="42"/>
      <c r="G261" s="42"/>
      <c r="H261" s="42"/>
      <c r="I261" s="42"/>
      <c r="J261" s="42"/>
      <c r="K261" s="42"/>
      <c r="L261" s="42"/>
      <c r="M261" s="42"/>
      <c r="N261" s="42"/>
      <c r="O261" s="42"/>
      <c r="P261" s="42"/>
      <c r="Q261" s="42"/>
      <c r="R261" s="42"/>
      <c r="S261" s="42"/>
      <c r="T261" s="42"/>
      <c r="U261" s="42"/>
      <c r="V261" s="42"/>
      <c r="W261" s="42"/>
      <c r="X261" s="42"/>
      <c r="Y261" s="42"/>
      <c r="Z261" s="42"/>
      <c r="AA261" s="42"/>
      <c r="AB261" s="42"/>
      <c r="AC261" s="42"/>
      <c r="AD261" s="42"/>
      <c r="AE261" s="42"/>
      <c r="AF261" s="42"/>
      <c r="AG261" s="42"/>
      <c r="AH261" s="42"/>
      <c r="AI261" s="42"/>
      <c r="AJ261" s="42"/>
      <c r="AK261" s="42"/>
      <c r="AL261" s="42"/>
      <c r="AM261" s="42"/>
      <c r="AN261" s="42"/>
      <c r="AO261" s="42"/>
      <c r="AP261" s="42"/>
      <c r="AQ261" s="42"/>
      <c r="AR261" s="42"/>
      <c r="AS261" s="42"/>
      <c r="AT261" s="42"/>
      <c r="AU261" s="42"/>
      <c r="AV261" s="42"/>
      <c r="AW261" s="42"/>
      <c r="AX261" s="42"/>
      <c r="AY261" s="42"/>
      <c r="AZ261" s="42"/>
      <c r="BA261" s="42"/>
      <c r="BB261" s="42"/>
      <c r="BC261" s="42"/>
      <c r="BD261" s="42"/>
      <c r="BE261" s="42"/>
      <c r="BF261" s="42"/>
      <c r="BG261" s="42"/>
      <c r="BH261" s="42"/>
    </row>
    <row r="262" spans="1:60" x14ac:dyDescent="0.2">
      <c r="A262" s="42"/>
      <c r="B262" s="42"/>
      <c r="C262" s="42"/>
      <c r="D262" s="42"/>
      <c r="E262" s="42"/>
      <c r="F262" s="42"/>
      <c r="G262" s="42"/>
      <c r="H262" s="42"/>
      <c r="I262" s="42"/>
      <c r="J262" s="42"/>
      <c r="K262" s="42"/>
      <c r="L262" s="42"/>
      <c r="M262" s="42"/>
      <c r="N262" s="42"/>
      <c r="O262" s="42"/>
      <c r="P262" s="42"/>
      <c r="Q262" s="42"/>
      <c r="R262" s="42"/>
      <c r="S262" s="42"/>
      <c r="T262" s="42"/>
      <c r="U262" s="42"/>
      <c r="V262" s="42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2"/>
      <c r="AH262" s="42"/>
      <c r="AI262" s="42"/>
      <c r="AJ262" s="42"/>
      <c r="AK262" s="42"/>
      <c r="AL262" s="42"/>
      <c r="AM262" s="42"/>
      <c r="AN262" s="42"/>
      <c r="AO262" s="42"/>
      <c r="AP262" s="42"/>
      <c r="AQ262" s="42"/>
      <c r="AR262" s="42"/>
      <c r="AS262" s="42"/>
      <c r="AT262" s="42"/>
      <c r="AU262" s="42"/>
      <c r="AV262" s="42"/>
      <c r="AW262" s="42"/>
      <c r="AX262" s="42"/>
      <c r="AY262" s="42"/>
      <c r="AZ262" s="42"/>
      <c r="BA262" s="42"/>
      <c r="BB262" s="42"/>
      <c r="BC262" s="42"/>
      <c r="BD262" s="42"/>
      <c r="BE262" s="42"/>
      <c r="BF262" s="42"/>
      <c r="BG262" s="42"/>
      <c r="BH262" s="42"/>
    </row>
    <row r="263" spans="1:60" x14ac:dyDescent="0.2">
      <c r="A263" s="42"/>
      <c r="B263" s="42"/>
      <c r="C263" s="42"/>
      <c r="D263" s="42"/>
      <c r="E263" s="42"/>
      <c r="F263" s="42"/>
      <c r="G263" s="42"/>
      <c r="H263" s="42"/>
      <c r="I263" s="42"/>
      <c r="J263" s="42"/>
      <c r="K263" s="42"/>
      <c r="L263" s="42"/>
      <c r="M263" s="42"/>
      <c r="N263" s="42"/>
      <c r="O263" s="42"/>
      <c r="P263" s="42"/>
      <c r="Q263" s="42"/>
      <c r="R263" s="42"/>
      <c r="S263" s="42"/>
      <c r="T263" s="42"/>
      <c r="U263" s="42"/>
      <c r="V263" s="42"/>
      <c r="W263" s="42"/>
      <c r="X263" s="42"/>
      <c r="Y263" s="42"/>
      <c r="Z263" s="42"/>
      <c r="AA263" s="42"/>
      <c r="AB263" s="42"/>
      <c r="AC263" s="42"/>
      <c r="AD263" s="42"/>
      <c r="AE263" s="42"/>
      <c r="AF263" s="42"/>
      <c r="AG263" s="42"/>
      <c r="AH263" s="42"/>
      <c r="AI263" s="42"/>
      <c r="AJ263" s="42"/>
      <c r="AK263" s="42"/>
      <c r="AL263" s="42"/>
      <c r="AM263" s="42"/>
      <c r="AN263" s="42"/>
      <c r="AO263" s="42"/>
      <c r="AP263" s="42"/>
      <c r="AQ263" s="42"/>
      <c r="AR263" s="42"/>
      <c r="AS263" s="42"/>
      <c r="AT263" s="42"/>
      <c r="AU263" s="42"/>
      <c r="AV263" s="42"/>
      <c r="AW263" s="42"/>
      <c r="AX263" s="42"/>
      <c r="AY263" s="42"/>
      <c r="AZ263" s="42"/>
      <c r="BA263" s="42"/>
      <c r="BB263" s="42"/>
      <c r="BC263" s="42"/>
      <c r="BD263" s="42"/>
      <c r="BE263" s="42"/>
      <c r="BF263" s="42"/>
      <c r="BG263" s="42"/>
      <c r="BH263" s="42"/>
    </row>
    <row r="264" spans="1:60" x14ac:dyDescent="0.2">
      <c r="A264" s="42"/>
      <c r="B264" s="42"/>
      <c r="C264" s="42"/>
      <c r="D264" s="42"/>
      <c r="E264" s="42"/>
      <c r="F264" s="42"/>
      <c r="G264" s="42"/>
      <c r="H264" s="42"/>
      <c r="I264" s="42"/>
      <c r="J264" s="42"/>
      <c r="K264" s="42"/>
      <c r="L264" s="42"/>
      <c r="M264" s="42"/>
      <c r="N264" s="42"/>
      <c r="O264" s="42"/>
      <c r="P264" s="42"/>
      <c r="Q264" s="42"/>
      <c r="R264" s="42"/>
      <c r="S264" s="42"/>
      <c r="T264" s="42"/>
      <c r="U264" s="42"/>
      <c r="V264" s="42"/>
      <c r="W264" s="42"/>
      <c r="X264" s="42"/>
      <c r="Y264" s="42"/>
      <c r="Z264" s="42"/>
      <c r="AA264" s="42"/>
      <c r="AB264" s="42"/>
      <c r="AC264" s="42"/>
      <c r="AD264" s="42"/>
      <c r="AE264" s="42"/>
      <c r="AF264" s="42"/>
      <c r="AG264" s="42"/>
      <c r="AH264" s="42"/>
      <c r="AI264" s="42"/>
      <c r="AJ264" s="42"/>
      <c r="AK264" s="42"/>
      <c r="AL264" s="42"/>
      <c r="AM264" s="42"/>
      <c r="AN264" s="42"/>
      <c r="AO264" s="42"/>
      <c r="AP264" s="42"/>
      <c r="AQ264" s="42"/>
      <c r="AR264" s="42"/>
      <c r="AS264" s="42"/>
      <c r="AT264" s="42"/>
      <c r="AU264" s="42"/>
      <c r="AV264" s="42"/>
      <c r="AW264" s="42"/>
      <c r="AX264" s="42"/>
      <c r="AY264" s="42"/>
      <c r="AZ264" s="42"/>
      <c r="BA264" s="42"/>
      <c r="BB264" s="42"/>
      <c r="BC264" s="42"/>
      <c r="BD264" s="42"/>
      <c r="BE264" s="42"/>
      <c r="BF264" s="42"/>
      <c r="BG264" s="42"/>
      <c r="BH264" s="42"/>
    </row>
    <row r="265" spans="1:60" x14ac:dyDescent="0.2">
      <c r="A265" s="42"/>
      <c r="B265" s="42"/>
      <c r="C265" s="42"/>
      <c r="D265" s="42"/>
      <c r="E265" s="42"/>
      <c r="F265" s="42"/>
      <c r="G265" s="42"/>
      <c r="H265" s="42"/>
      <c r="I265" s="42"/>
      <c r="J265" s="42"/>
      <c r="K265" s="42"/>
      <c r="L265" s="42"/>
      <c r="M265" s="42"/>
      <c r="N265" s="42"/>
      <c r="O265" s="42"/>
      <c r="P265" s="42"/>
      <c r="Q265" s="42"/>
      <c r="R265" s="42"/>
      <c r="S265" s="42"/>
      <c r="T265" s="42"/>
      <c r="U265" s="42"/>
      <c r="V265" s="42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2"/>
      <c r="AH265" s="42"/>
      <c r="AI265" s="42"/>
      <c r="AJ265" s="42"/>
      <c r="AK265" s="42"/>
      <c r="AL265" s="42"/>
      <c r="AM265" s="42"/>
      <c r="AN265" s="42"/>
      <c r="AO265" s="42"/>
      <c r="AP265" s="42"/>
      <c r="AQ265" s="42"/>
      <c r="AR265" s="42"/>
      <c r="AS265" s="42"/>
      <c r="AT265" s="42"/>
      <c r="AU265" s="42"/>
      <c r="AV265" s="42"/>
      <c r="AW265" s="42"/>
      <c r="AX265" s="42"/>
      <c r="AY265" s="42"/>
      <c r="AZ265" s="42"/>
      <c r="BA265" s="42"/>
      <c r="BB265" s="42"/>
      <c r="BC265" s="42"/>
      <c r="BD265" s="42"/>
      <c r="BE265" s="42"/>
      <c r="BF265" s="42"/>
      <c r="BG265" s="42"/>
      <c r="BH265" s="42"/>
    </row>
    <row r="266" spans="1:60" x14ac:dyDescent="0.2">
      <c r="A266" s="42"/>
      <c r="B266" s="42"/>
      <c r="C266" s="42"/>
      <c r="D266" s="42"/>
      <c r="E266" s="42"/>
      <c r="F266" s="42"/>
      <c r="G266" s="42"/>
      <c r="H266" s="42"/>
      <c r="I266" s="42"/>
      <c r="J266" s="42"/>
      <c r="K266" s="42" t="s">
        <v>0</v>
      </c>
      <c r="L266" s="42"/>
      <c r="M266" s="42"/>
      <c r="N266" s="42"/>
      <c r="O266" s="42"/>
      <c r="P266" s="42"/>
      <c r="Q266" s="42"/>
      <c r="R266" s="42"/>
      <c r="S266" s="42"/>
      <c r="T266" s="42"/>
      <c r="U266" s="42"/>
      <c r="V266" s="42"/>
      <c r="W266" s="42"/>
      <c r="X266" s="42"/>
      <c r="Y266" s="42"/>
      <c r="Z266" s="42"/>
      <c r="AA266" s="42"/>
      <c r="AB266" s="42"/>
      <c r="AC266" s="42"/>
      <c r="AD266" s="42"/>
      <c r="AE266" s="42"/>
      <c r="AF266" s="42"/>
      <c r="AG266" s="42"/>
      <c r="AH266" s="42"/>
      <c r="AI266" s="42"/>
      <c r="AJ266" s="42"/>
      <c r="AK266" s="42"/>
      <c r="AL266" s="42"/>
      <c r="AM266" s="42"/>
      <c r="AN266" s="42"/>
      <c r="AO266" s="42"/>
      <c r="AP266" s="42"/>
      <c r="AQ266" s="42"/>
      <c r="AR266" s="42"/>
      <c r="AS266" s="42"/>
      <c r="AT266" s="42"/>
      <c r="AU266" s="42"/>
      <c r="AV266" s="42"/>
      <c r="AW266" s="42"/>
      <c r="AX266" s="42"/>
      <c r="AY266" s="42"/>
      <c r="AZ266" s="42"/>
      <c r="BA266" s="42"/>
      <c r="BB266" s="42"/>
      <c r="BC266" s="42"/>
      <c r="BD266" s="42"/>
      <c r="BE266" s="42"/>
      <c r="BF266" s="42"/>
      <c r="BG266" s="42"/>
      <c r="BH266" s="42"/>
    </row>
    <row r="267" spans="1:60" x14ac:dyDescent="0.2">
      <c r="A267" s="42"/>
      <c r="B267" s="42"/>
      <c r="C267" s="42"/>
      <c r="D267" s="42"/>
      <c r="E267" s="42"/>
      <c r="F267" s="42"/>
      <c r="G267" s="42"/>
      <c r="H267" s="42"/>
      <c r="I267" s="42"/>
      <c r="J267" s="42"/>
      <c r="K267" s="42"/>
      <c r="L267" s="42"/>
      <c r="M267" s="42"/>
      <c r="N267" s="42"/>
      <c r="O267" s="42"/>
      <c r="P267" s="42"/>
      <c r="Q267" s="42"/>
      <c r="R267" s="42"/>
      <c r="S267" s="42"/>
      <c r="T267" s="42"/>
      <c r="U267" s="42"/>
      <c r="V267" s="42"/>
      <c r="W267" s="42"/>
      <c r="X267" s="42"/>
      <c r="Y267" s="42"/>
      <c r="Z267" s="42"/>
      <c r="AA267" s="42"/>
      <c r="AB267" s="42"/>
      <c r="AC267" s="42"/>
      <c r="AD267" s="42"/>
      <c r="AE267" s="42"/>
      <c r="AF267" s="42"/>
      <c r="AG267" s="42"/>
      <c r="AH267" s="42"/>
      <c r="AI267" s="42"/>
      <c r="AJ267" s="42"/>
      <c r="AK267" s="42"/>
      <c r="AL267" s="42"/>
      <c r="AM267" s="42"/>
      <c r="AN267" s="42"/>
      <c r="AO267" s="42"/>
      <c r="AP267" s="42"/>
      <c r="AQ267" s="42"/>
      <c r="AR267" s="42"/>
      <c r="AS267" s="42"/>
      <c r="AT267" s="42"/>
      <c r="AU267" s="42"/>
      <c r="AV267" s="42"/>
      <c r="AW267" s="42"/>
      <c r="AX267" s="42"/>
      <c r="AY267" s="42"/>
      <c r="AZ267" s="42"/>
      <c r="BA267" s="42"/>
      <c r="BB267" s="42"/>
      <c r="BC267" s="42"/>
      <c r="BD267" s="42"/>
      <c r="BE267" s="42"/>
      <c r="BF267" s="42"/>
      <c r="BG267" s="42"/>
      <c r="BH267" s="42"/>
    </row>
    <row r="268" spans="1:60" x14ac:dyDescent="0.2">
      <c r="A268" s="42"/>
      <c r="B268" s="42"/>
      <c r="C268" s="42"/>
      <c r="D268" s="42"/>
      <c r="E268" s="42"/>
      <c r="F268" s="42"/>
      <c r="G268" s="42"/>
      <c r="H268" s="42"/>
      <c r="I268" s="42"/>
      <c r="J268" s="42"/>
      <c r="K268" s="42"/>
      <c r="L268" s="42"/>
      <c r="M268" s="42"/>
      <c r="N268" s="42"/>
      <c r="O268" s="42"/>
      <c r="P268" s="42"/>
      <c r="Q268" s="42"/>
      <c r="R268" s="42"/>
      <c r="S268" s="42"/>
      <c r="T268" s="42"/>
      <c r="U268" s="42"/>
      <c r="V268" s="42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2"/>
      <c r="AH268" s="42"/>
      <c r="AI268" s="42"/>
      <c r="AJ268" s="42"/>
      <c r="AK268" s="42"/>
      <c r="AL268" s="42"/>
      <c r="AM268" s="42"/>
      <c r="AN268" s="42"/>
      <c r="AO268" s="42"/>
      <c r="AP268" s="42"/>
      <c r="AQ268" s="42"/>
      <c r="AR268" s="42"/>
      <c r="AS268" s="42"/>
      <c r="AT268" s="42"/>
      <c r="AU268" s="42"/>
      <c r="AV268" s="42"/>
      <c r="AW268" s="42"/>
      <c r="AX268" s="42"/>
      <c r="AY268" s="42"/>
      <c r="AZ268" s="42"/>
      <c r="BA268" s="42"/>
      <c r="BB268" s="42"/>
      <c r="BC268" s="42"/>
      <c r="BD268" s="42"/>
      <c r="BE268" s="42"/>
      <c r="BF268" s="42"/>
      <c r="BG268" s="42"/>
      <c r="BH268" s="42"/>
    </row>
    <row r="269" spans="1:60" x14ac:dyDescent="0.2">
      <c r="A269" s="42"/>
      <c r="B269" s="42"/>
      <c r="C269" s="42"/>
      <c r="D269" s="42"/>
      <c r="E269" s="42"/>
      <c r="F269" s="42"/>
      <c r="G269" s="42"/>
      <c r="H269" s="42"/>
      <c r="I269" s="42"/>
      <c r="J269" s="42"/>
      <c r="K269" s="42"/>
      <c r="L269" s="42"/>
      <c r="M269" s="42"/>
      <c r="N269" s="42"/>
      <c r="O269" s="42"/>
      <c r="P269" s="42"/>
      <c r="Q269" s="42"/>
      <c r="R269" s="42"/>
      <c r="S269" s="42"/>
      <c r="T269" s="42"/>
      <c r="U269" s="42"/>
      <c r="V269" s="42"/>
      <c r="W269" s="42"/>
      <c r="X269" s="42"/>
      <c r="Y269" s="42"/>
      <c r="Z269" s="42"/>
      <c r="AA269" s="42"/>
      <c r="AB269" s="42"/>
      <c r="AC269" s="42"/>
      <c r="AD269" s="42"/>
      <c r="AE269" s="42"/>
      <c r="AF269" s="42"/>
      <c r="AG269" s="42"/>
      <c r="AH269" s="42"/>
      <c r="AI269" s="42"/>
      <c r="AJ269" s="42"/>
      <c r="AK269" s="42"/>
      <c r="AL269" s="42"/>
      <c r="AM269" s="42"/>
      <c r="AN269" s="42"/>
      <c r="AO269" s="42"/>
      <c r="AP269" s="42"/>
      <c r="AQ269" s="42"/>
      <c r="AR269" s="42"/>
      <c r="AS269" s="42"/>
      <c r="AT269" s="42"/>
      <c r="AU269" s="42"/>
      <c r="AV269" s="42"/>
      <c r="AW269" s="42"/>
      <c r="AX269" s="42"/>
      <c r="AY269" s="42"/>
      <c r="AZ269" s="42"/>
      <c r="BA269" s="42"/>
      <c r="BB269" s="42"/>
      <c r="BC269" s="42"/>
      <c r="BD269" s="42"/>
      <c r="BE269" s="42"/>
      <c r="BF269" s="42"/>
      <c r="BG269" s="42"/>
      <c r="BH269" s="42"/>
    </row>
    <row r="270" spans="1:60" x14ac:dyDescent="0.2">
      <c r="A270" s="42"/>
      <c r="B270" s="42"/>
      <c r="C270" s="42"/>
      <c r="D270" s="42"/>
      <c r="E270" s="42"/>
      <c r="F270" s="42"/>
      <c r="G270" s="42"/>
      <c r="H270" s="42"/>
      <c r="I270" s="42"/>
      <c r="J270" s="42"/>
      <c r="K270" s="42"/>
      <c r="L270" s="42"/>
      <c r="M270" s="42"/>
      <c r="N270" s="42"/>
      <c r="O270" s="42"/>
      <c r="P270" s="42"/>
      <c r="Q270" s="42"/>
      <c r="R270" s="42"/>
      <c r="S270" s="42"/>
      <c r="T270" s="42"/>
      <c r="U270" s="42"/>
      <c r="V270" s="42"/>
      <c r="W270" s="42"/>
      <c r="X270" s="42"/>
      <c r="Y270" s="42"/>
      <c r="Z270" s="42"/>
      <c r="AA270" s="42"/>
      <c r="AB270" s="42"/>
      <c r="AC270" s="42"/>
      <c r="AD270" s="42"/>
      <c r="AE270" s="42"/>
      <c r="AF270" s="42"/>
      <c r="AG270" s="42"/>
      <c r="AH270" s="42"/>
      <c r="AI270" s="42"/>
      <c r="AJ270" s="42"/>
      <c r="AK270" s="42"/>
      <c r="AL270" s="42"/>
      <c r="AM270" s="42"/>
      <c r="AN270" s="42"/>
      <c r="AO270" s="42"/>
      <c r="AP270" s="42"/>
      <c r="AQ270" s="42"/>
      <c r="AR270" s="42"/>
      <c r="AS270" s="42"/>
      <c r="AT270" s="42"/>
      <c r="AU270" s="42"/>
      <c r="AV270" s="42"/>
      <c r="AW270" s="42"/>
      <c r="AX270" s="42"/>
      <c r="AY270" s="42"/>
      <c r="AZ270" s="42"/>
      <c r="BA270" s="42"/>
      <c r="BB270" s="42"/>
      <c r="BC270" s="42"/>
      <c r="BD270" s="42"/>
      <c r="BE270" s="42"/>
      <c r="BF270" s="42"/>
      <c r="BG270" s="42"/>
      <c r="BH270" s="42"/>
    </row>
    <row r="271" spans="1:60" x14ac:dyDescent="0.2">
      <c r="A271" s="42"/>
      <c r="B271" s="42"/>
      <c r="C271" s="42"/>
      <c r="D271" s="42"/>
      <c r="E271" s="42"/>
      <c r="F271" s="42"/>
      <c r="G271" s="42"/>
      <c r="H271" s="42"/>
      <c r="I271" s="42"/>
      <c r="J271" s="42"/>
      <c r="K271" s="42"/>
      <c r="L271" s="42"/>
      <c r="M271" s="42"/>
      <c r="N271" s="42"/>
      <c r="O271" s="42"/>
      <c r="P271" s="42"/>
      <c r="Q271" s="42"/>
      <c r="R271" s="42"/>
      <c r="S271" s="42"/>
      <c r="T271" s="42"/>
      <c r="U271" s="42"/>
      <c r="V271" s="42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2"/>
      <c r="AH271" s="42"/>
      <c r="AI271" s="42"/>
      <c r="AJ271" s="42"/>
      <c r="AK271" s="42"/>
      <c r="AL271" s="42"/>
      <c r="AM271" s="42"/>
      <c r="AN271" s="42"/>
      <c r="AO271" s="42"/>
      <c r="AP271" s="42"/>
      <c r="AQ271" s="42"/>
      <c r="AR271" s="42"/>
      <c r="AS271" s="42"/>
      <c r="AT271" s="42"/>
      <c r="AU271" s="42"/>
      <c r="AV271" s="42"/>
      <c r="AW271" s="42"/>
      <c r="AX271" s="42"/>
      <c r="AY271" s="42"/>
      <c r="AZ271" s="42"/>
      <c r="BA271" s="42"/>
      <c r="BB271" s="42"/>
      <c r="BC271" s="42"/>
      <c r="BD271" s="42"/>
      <c r="BE271" s="42"/>
      <c r="BF271" s="42"/>
      <c r="BG271" s="42"/>
      <c r="BH271" s="42"/>
    </row>
    <row r="272" spans="1:60" x14ac:dyDescent="0.2">
      <c r="A272" s="42"/>
      <c r="B272" s="42"/>
      <c r="C272" s="42"/>
      <c r="D272" s="42"/>
      <c r="E272" s="42"/>
      <c r="F272" s="42"/>
      <c r="G272" s="42"/>
      <c r="H272" s="42"/>
      <c r="I272" s="42"/>
      <c r="J272" s="42"/>
      <c r="K272" s="42"/>
      <c r="L272" s="42"/>
      <c r="M272" s="42"/>
      <c r="N272" s="42"/>
      <c r="O272" s="42"/>
      <c r="P272" s="42"/>
      <c r="Q272" s="42"/>
      <c r="R272" s="42"/>
      <c r="S272" s="42"/>
      <c r="T272" s="42"/>
      <c r="U272" s="42"/>
      <c r="V272" s="42"/>
      <c r="W272" s="42"/>
      <c r="X272" s="42"/>
      <c r="Y272" s="42"/>
      <c r="Z272" s="42"/>
      <c r="AA272" s="42"/>
      <c r="AB272" s="42"/>
      <c r="AC272" s="42"/>
      <c r="AD272" s="42"/>
      <c r="AE272" s="42"/>
      <c r="AF272" s="42"/>
      <c r="AG272" s="42"/>
      <c r="AH272" s="42"/>
      <c r="AI272" s="42"/>
      <c r="AJ272" s="42"/>
      <c r="AK272" s="42"/>
      <c r="AL272" s="42"/>
      <c r="AM272" s="42"/>
      <c r="AN272" s="42"/>
      <c r="AO272" s="42"/>
      <c r="AP272" s="42"/>
      <c r="AQ272" s="42"/>
      <c r="AR272" s="42"/>
      <c r="AS272" s="42"/>
      <c r="AT272" s="42"/>
      <c r="AU272" s="42"/>
      <c r="AV272" s="42"/>
      <c r="AW272" s="42"/>
      <c r="AX272" s="42"/>
      <c r="AY272" s="42"/>
      <c r="AZ272" s="42"/>
      <c r="BA272" s="42"/>
      <c r="BB272" s="42"/>
      <c r="BC272" s="42"/>
      <c r="BD272" s="42"/>
      <c r="BE272" s="42"/>
      <c r="BF272" s="42"/>
      <c r="BG272" s="42"/>
      <c r="BH272" s="42"/>
    </row>
    <row r="273" spans="1:60" x14ac:dyDescent="0.2">
      <c r="A273" s="42"/>
      <c r="B273" s="42"/>
      <c r="C273" s="42"/>
      <c r="D273" s="42"/>
      <c r="E273" s="42"/>
      <c r="F273" s="42"/>
      <c r="G273" s="42"/>
      <c r="H273" s="42"/>
      <c r="I273" s="42"/>
      <c r="J273" s="42"/>
      <c r="K273" s="42"/>
      <c r="L273" s="42"/>
      <c r="M273" s="42"/>
      <c r="N273" s="42"/>
      <c r="O273" s="42"/>
      <c r="P273" s="42"/>
      <c r="Q273" s="42"/>
      <c r="R273" s="42"/>
      <c r="S273" s="42"/>
      <c r="T273" s="42"/>
      <c r="U273" s="42"/>
      <c r="V273" s="42"/>
      <c r="W273" s="42"/>
      <c r="X273" s="42"/>
      <c r="Y273" s="42"/>
      <c r="Z273" s="42"/>
      <c r="AA273" s="42"/>
      <c r="AB273" s="42"/>
      <c r="AC273" s="42"/>
      <c r="AD273" s="42"/>
      <c r="AE273" s="42"/>
      <c r="AF273" s="42"/>
      <c r="AG273" s="42"/>
      <c r="AH273" s="42"/>
      <c r="AI273" s="42"/>
      <c r="AJ273" s="42"/>
      <c r="AK273" s="42"/>
      <c r="AL273" s="42"/>
      <c r="AM273" s="42"/>
      <c r="AN273" s="42"/>
      <c r="AO273" s="42"/>
      <c r="AP273" s="42"/>
      <c r="AQ273" s="42"/>
      <c r="AR273" s="42"/>
      <c r="AS273" s="42"/>
      <c r="AT273" s="42"/>
      <c r="AU273" s="42"/>
      <c r="AV273" s="42"/>
      <c r="AW273" s="42"/>
      <c r="AX273" s="42"/>
      <c r="AY273" s="42"/>
      <c r="AZ273" s="42"/>
      <c r="BA273" s="42"/>
      <c r="BB273" s="42"/>
      <c r="BC273" s="42"/>
      <c r="BD273" s="42"/>
      <c r="BE273" s="42"/>
      <c r="BF273" s="42"/>
      <c r="BG273" s="42"/>
      <c r="BH273" s="42"/>
    </row>
    <row r="274" spans="1:60" x14ac:dyDescent="0.2">
      <c r="A274" s="42"/>
      <c r="B274" s="42"/>
      <c r="C274" s="42"/>
      <c r="D274" s="42"/>
      <c r="E274" s="42"/>
      <c r="F274" s="42"/>
      <c r="G274" s="42"/>
      <c r="H274" s="42"/>
      <c r="I274" s="42"/>
      <c r="J274" s="42"/>
      <c r="K274" s="42"/>
      <c r="L274" s="42"/>
      <c r="M274" s="42"/>
      <c r="N274" s="42"/>
      <c r="O274" s="42"/>
      <c r="P274" s="42"/>
      <c r="Q274" s="42"/>
      <c r="R274" s="42"/>
      <c r="S274" s="42"/>
      <c r="T274" s="42"/>
      <c r="U274" s="42"/>
      <c r="V274" s="42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2"/>
      <c r="AH274" s="42"/>
      <c r="AI274" s="42"/>
      <c r="AJ274" s="42"/>
      <c r="AK274" s="42"/>
      <c r="AL274" s="42"/>
      <c r="AM274" s="42"/>
      <c r="AN274" s="42"/>
      <c r="AO274" s="42"/>
      <c r="AP274" s="42"/>
      <c r="AQ274" s="42"/>
      <c r="AR274" s="42"/>
      <c r="AS274" s="42"/>
      <c r="AT274" s="42"/>
      <c r="AU274" s="42"/>
      <c r="AV274" s="42"/>
      <c r="AW274" s="42"/>
      <c r="AX274" s="42"/>
      <c r="AY274" s="42"/>
      <c r="AZ274" s="42"/>
      <c r="BA274" s="42"/>
      <c r="BB274" s="42"/>
      <c r="BC274" s="42"/>
      <c r="BD274" s="42"/>
      <c r="BE274" s="42"/>
      <c r="BF274" s="42"/>
      <c r="BG274" s="42"/>
      <c r="BH274" s="42"/>
    </row>
    <row r="275" spans="1:60" x14ac:dyDescent="0.2">
      <c r="A275" s="42"/>
      <c r="B275" s="42"/>
      <c r="C275" s="42"/>
      <c r="D275" s="42"/>
      <c r="E275" s="42"/>
      <c r="F275" s="42"/>
      <c r="G275" s="42"/>
      <c r="H275" s="42"/>
      <c r="I275" s="42"/>
      <c r="J275" s="42"/>
      <c r="K275" s="42"/>
      <c r="L275" s="42"/>
      <c r="M275" s="42"/>
      <c r="N275" s="42"/>
      <c r="O275" s="42"/>
      <c r="P275" s="42"/>
      <c r="Q275" s="42"/>
      <c r="R275" s="42"/>
      <c r="S275" s="42"/>
      <c r="T275" s="42"/>
      <c r="U275" s="42"/>
      <c r="V275" s="42"/>
      <c r="W275" s="42"/>
      <c r="X275" s="42"/>
      <c r="Y275" s="42"/>
      <c r="Z275" s="42"/>
      <c r="AA275" s="42"/>
      <c r="AB275" s="42"/>
      <c r="AC275" s="42"/>
      <c r="AD275" s="42"/>
      <c r="AE275" s="42"/>
      <c r="AF275" s="42"/>
      <c r="AG275" s="42"/>
      <c r="AH275" s="42"/>
      <c r="AI275" s="42"/>
      <c r="AJ275" s="42"/>
      <c r="AK275" s="42"/>
      <c r="AL275" s="42"/>
      <c r="AM275" s="42"/>
      <c r="AN275" s="42"/>
      <c r="AO275" s="42"/>
      <c r="AP275" s="42"/>
      <c r="AQ275" s="42"/>
      <c r="AR275" s="42"/>
      <c r="AS275" s="42"/>
      <c r="AT275" s="42"/>
      <c r="AU275" s="42"/>
      <c r="AV275" s="42"/>
      <c r="AW275" s="42"/>
      <c r="AX275" s="42"/>
      <c r="AY275" s="42"/>
      <c r="AZ275" s="42"/>
      <c r="BA275" s="42"/>
      <c r="BB275" s="42"/>
      <c r="BC275" s="42"/>
      <c r="BD275" s="42"/>
      <c r="BE275" s="42"/>
      <c r="BF275" s="42"/>
      <c r="BG275" s="42"/>
      <c r="BH275" s="42"/>
    </row>
    <row r="276" spans="1:60" x14ac:dyDescent="0.2">
      <c r="A276" s="42"/>
      <c r="B276" s="42"/>
      <c r="C276" s="42"/>
      <c r="D276" s="42"/>
      <c r="E276" s="42"/>
      <c r="F276" s="42"/>
      <c r="G276" s="42"/>
      <c r="H276" s="42"/>
      <c r="I276" s="42"/>
      <c r="J276" s="42"/>
      <c r="K276" s="42"/>
      <c r="L276" s="42"/>
      <c r="M276" s="42"/>
      <c r="N276" s="42"/>
      <c r="O276" s="42"/>
      <c r="P276" s="42"/>
      <c r="Q276" s="42"/>
      <c r="R276" s="42"/>
      <c r="S276" s="42"/>
      <c r="T276" s="42"/>
      <c r="U276" s="42"/>
      <c r="V276" s="42"/>
      <c r="W276" s="42"/>
      <c r="X276" s="42"/>
      <c r="Y276" s="42"/>
      <c r="Z276" s="42"/>
      <c r="AA276" s="42"/>
      <c r="AB276" s="42"/>
      <c r="AC276" s="42"/>
      <c r="AD276" s="42"/>
      <c r="AE276" s="42"/>
      <c r="AF276" s="42"/>
      <c r="AG276" s="42"/>
      <c r="AH276" s="42"/>
      <c r="AI276" s="42"/>
      <c r="AJ276" s="42"/>
      <c r="AK276" s="42"/>
      <c r="AL276" s="42"/>
      <c r="AM276" s="42"/>
      <c r="AN276" s="42"/>
      <c r="AO276" s="42"/>
      <c r="AP276" s="42"/>
      <c r="AQ276" s="42"/>
      <c r="AR276" s="42"/>
      <c r="AS276" s="42"/>
      <c r="AT276" s="42"/>
      <c r="AU276" s="42"/>
      <c r="AV276" s="42"/>
      <c r="AW276" s="42"/>
      <c r="AX276" s="42"/>
      <c r="AY276" s="42"/>
      <c r="AZ276" s="42"/>
      <c r="BA276" s="42"/>
      <c r="BB276" s="42"/>
      <c r="BC276" s="42"/>
      <c r="BD276" s="42"/>
      <c r="BE276" s="42"/>
      <c r="BF276" s="42"/>
      <c r="BG276" s="42"/>
      <c r="BH276" s="42"/>
    </row>
    <row r="277" spans="1:60" x14ac:dyDescent="0.2">
      <c r="A277" s="42"/>
      <c r="B277" s="42"/>
      <c r="C277" s="42"/>
      <c r="D277" s="42"/>
      <c r="E277" s="42"/>
      <c r="F277" s="42"/>
      <c r="G277" s="42"/>
      <c r="H277" s="42"/>
      <c r="I277" s="42"/>
      <c r="J277" s="42"/>
      <c r="K277" s="42"/>
      <c r="L277" s="42"/>
      <c r="M277" s="42"/>
      <c r="N277" s="42"/>
      <c r="O277" s="42"/>
      <c r="P277" s="42"/>
      <c r="Q277" s="42"/>
      <c r="R277" s="42"/>
      <c r="S277" s="42"/>
      <c r="T277" s="42"/>
      <c r="U277" s="42"/>
      <c r="V277" s="42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2"/>
      <c r="AH277" s="42"/>
      <c r="AI277" s="42"/>
      <c r="AJ277" s="42"/>
      <c r="AK277" s="42"/>
      <c r="AL277" s="42"/>
      <c r="AM277" s="42"/>
      <c r="AN277" s="42"/>
      <c r="AO277" s="42"/>
      <c r="AP277" s="42"/>
      <c r="AQ277" s="42"/>
      <c r="AR277" s="42"/>
      <c r="AS277" s="42"/>
      <c r="AT277" s="42"/>
      <c r="AU277" s="42"/>
      <c r="AV277" s="42"/>
      <c r="AW277" s="42"/>
      <c r="AX277" s="42"/>
      <c r="AY277" s="42"/>
      <c r="AZ277" s="42"/>
      <c r="BA277" s="42"/>
      <c r="BB277" s="42"/>
      <c r="BC277" s="42"/>
      <c r="BD277" s="42"/>
      <c r="BE277" s="42"/>
      <c r="BF277" s="42"/>
      <c r="BG277" s="42"/>
      <c r="BH277" s="42"/>
    </row>
    <row r="278" spans="1:60" x14ac:dyDescent="0.2">
      <c r="A278" s="42"/>
      <c r="B278" s="42"/>
      <c r="C278" s="42"/>
      <c r="D278" s="42"/>
      <c r="E278" s="42"/>
      <c r="F278" s="42"/>
      <c r="G278" s="42"/>
      <c r="H278" s="42"/>
      <c r="I278" s="42"/>
      <c r="J278" s="42"/>
      <c r="K278" s="42"/>
      <c r="L278" s="42"/>
      <c r="M278" s="42"/>
      <c r="N278" s="42"/>
      <c r="O278" s="42"/>
      <c r="P278" s="42"/>
      <c r="Q278" s="42"/>
      <c r="R278" s="42"/>
      <c r="S278" s="42"/>
      <c r="T278" s="42"/>
      <c r="U278" s="42"/>
      <c r="V278" s="42"/>
      <c r="W278" s="42"/>
      <c r="X278" s="42"/>
      <c r="Y278" s="42"/>
      <c r="Z278" s="42"/>
      <c r="AA278" s="42"/>
      <c r="AB278" s="42"/>
      <c r="AC278" s="42"/>
      <c r="AD278" s="42"/>
      <c r="AE278" s="42"/>
      <c r="AF278" s="42"/>
      <c r="AG278" s="42"/>
      <c r="AH278" s="42"/>
      <c r="AI278" s="42"/>
      <c r="AJ278" s="42"/>
      <c r="AK278" s="42"/>
      <c r="AL278" s="42"/>
      <c r="AM278" s="42"/>
      <c r="AN278" s="42"/>
      <c r="AO278" s="42"/>
      <c r="AP278" s="42"/>
      <c r="AQ278" s="42"/>
      <c r="AR278" s="42"/>
      <c r="AS278" s="42"/>
      <c r="AT278" s="42"/>
      <c r="AU278" s="42"/>
      <c r="AV278" s="42"/>
      <c r="AW278" s="42"/>
      <c r="AX278" s="42"/>
      <c r="AY278" s="42"/>
      <c r="AZ278" s="42"/>
      <c r="BA278" s="42"/>
      <c r="BB278" s="42"/>
      <c r="BC278" s="42"/>
      <c r="BD278" s="42"/>
      <c r="BE278" s="42"/>
      <c r="BF278" s="42"/>
      <c r="BG278" s="42"/>
      <c r="BH278" s="42"/>
    </row>
    <row r="279" spans="1:60" x14ac:dyDescent="0.2">
      <c r="A279" s="42"/>
      <c r="B279" s="42"/>
      <c r="C279" s="42"/>
      <c r="D279" s="42"/>
      <c r="E279" s="42"/>
      <c r="F279" s="42"/>
      <c r="G279" s="42"/>
      <c r="H279" s="42"/>
      <c r="I279" s="42"/>
      <c r="J279" s="42"/>
      <c r="K279" s="42"/>
      <c r="L279" s="42"/>
      <c r="M279" s="42"/>
      <c r="N279" s="42"/>
      <c r="O279" s="42"/>
      <c r="P279" s="42"/>
      <c r="Q279" s="42"/>
      <c r="R279" s="42"/>
      <c r="S279" s="42"/>
      <c r="T279" s="42"/>
      <c r="U279" s="42"/>
      <c r="V279" s="42"/>
      <c r="W279" s="42"/>
      <c r="X279" s="42"/>
      <c r="Y279" s="42"/>
      <c r="Z279" s="42"/>
      <c r="AA279" s="42"/>
      <c r="AB279" s="42"/>
      <c r="AC279" s="42"/>
      <c r="AD279" s="42"/>
      <c r="AE279" s="42"/>
      <c r="AF279" s="42"/>
      <c r="AG279" s="42"/>
      <c r="AH279" s="42"/>
      <c r="AI279" s="42"/>
      <c r="AJ279" s="42"/>
      <c r="AK279" s="42"/>
      <c r="AL279" s="42"/>
      <c r="AM279" s="42"/>
      <c r="AN279" s="42"/>
      <c r="AO279" s="42"/>
      <c r="AP279" s="42"/>
      <c r="AQ279" s="42"/>
      <c r="AR279" s="42"/>
      <c r="AS279" s="42"/>
      <c r="AT279" s="42"/>
      <c r="AU279" s="42"/>
      <c r="AV279" s="42"/>
      <c r="AW279" s="42"/>
      <c r="AX279" s="42"/>
      <c r="AY279" s="42"/>
      <c r="AZ279" s="42"/>
      <c r="BA279" s="42"/>
      <c r="BB279" s="42"/>
      <c r="BC279" s="42"/>
      <c r="BD279" s="42"/>
      <c r="BE279" s="42"/>
      <c r="BF279" s="42"/>
      <c r="BG279" s="42"/>
      <c r="BH279" s="42"/>
    </row>
    <row r="280" spans="1:60" x14ac:dyDescent="0.2">
      <c r="A280" s="42"/>
      <c r="B280" s="42"/>
      <c r="C280" s="42"/>
      <c r="D280" s="42"/>
      <c r="E280" s="42"/>
      <c r="F280" s="42"/>
      <c r="G280" s="42"/>
      <c r="H280" s="42"/>
      <c r="I280" s="42"/>
      <c r="J280" s="42"/>
      <c r="K280" s="42"/>
      <c r="L280" s="42"/>
      <c r="M280" s="42"/>
      <c r="N280" s="42"/>
      <c r="O280" s="42"/>
      <c r="P280" s="42"/>
      <c r="Q280" s="42"/>
      <c r="R280" s="42"/>
      <c r="S280" s="42"/>
      <c r="T280" s="42"/>
      <c r="U280" s="42"/>
      <c r="V280" s="42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2"/>
      <c r="AH280" s="42"/>
      <c r="AI280" s="42"/>
      <c r="AJ280" s="42"/>
      <c r="AK280" s="42"/>
      <c r="AL280" s="42"/>
      <c r="AM280" s="42"/>
      <c r="AN280" s="42"/>
      <c r="AO280" s="42"/>
      <c r="AP280" s="42"/>
      <c r="AQ280" s="42"/>
      <c r="AR280" s="42"/>
      <c r="AS280" s="42"/>
      <c r="AT280" s="42"/>
      <c r="AU280" s="42"/>
      <c r="AV280" s="42"/>
      <c r="AW280" s="42"/>
      <c r="AX280" s="42"/>
      <c r="AY280" s="42"/>
      <c r="AZ280" s="42"/>
      <c r="BA280" s="42"/>
      <c r="BB280" s="42"/>
      <c r="BC280" s="42"/>
      <c r="BD280" s="42"/>
      <c r="BE280" s="42"/>
      <c r="BF280" s="42"/>
      <c r="BG280" s="42"/>
      <c r="BH280" s="42"/>
    </row>
    <row r="281" spans="1:60" x14ac:dyDescent="0.2">
      <c r="A281" s="42"/>
      <c r="B281" s="42"/>
      <c r="C281" s="42"/>
      <c r="D281" s="42"/>
      <c r="E281" s="42"/>
      <c r="F281" s="42"/>
      <c r="G281" s="42"/>
      <c r="H281" s="42"/>
      <c r="I281" s="42"/>
      <c r="J281" s="42"/>
      <c r="K281" s="42"/>
      <c r="L281" s="42"/>
      <c r="M281" s="42"/>
      <c r="N281" s="42"/>
      <c r="O281" s="42"/>
      <c r="P281" s="42"/>
      <c r="Q281" s="42"/>
      <c r="R281" s="42"/>
      <c r="S281" s="42"/>
      <c r="T281" s="42"/>
      <c r="U281" s="42"/>
      <c r="V281" s="42"/>
      <c r="W281" s="42"/>
      <c r="X281" s="42"/>
      <c r="Y281" s="42"/>
      <c r="Z281" s="42"/>
      <c r="AA281" s="42"/>
      <c r="AB281" s="42"/>
      <c r="AC281" s="42"/>
      <c r="AD281" s="42"/>
      <c r="AE281" s="42"/>
      <c r="AF281" s="42"/>
      <c r="AG281" s="42"/>
      <c r="AH281" s="42"/>
      <c r="AI281" s="42"/>
      <c r="AJ281" s="42"/>
      <c r="AK281" s="42"/>
      <c r="AL281" s="42"/>
      <c r="AM281" s="42"/>
      <c r="AN281" s="42"/>
      <c r="AO281" s="42"/>
      <c r="AP281" s="42"/>
      <c r="AQ281" s="42"/>
      <c r="AR281" s="42"/>
      <c r="AS281" s="42"/>
      <c r="AT281" s="42"/>
      <c r="AU281" s="42"/>
      <c r="AV281" s="42"/>
      <c r="AW281" s="42"/>
      <c r="AX281" s="42"/>
      <c r="AY281" s="42"/>
      <c r="AZ281" s="42"/>
      <c r="BA281" s="42"/>
      <c r="BB281" s="42"/>
      <c r="BC281" s="42"/>
      <c r="BD281" s="42"/>
      <c r="BE281" s="42"/>
      <c r="BF281" s="42"/>
      <c r="BG281" s="42"/>
      <c r="BH281" s="42"/>
    </row>
    <row r="282" spans="1:60" x14ac:dyDescent="0.2">
      <c r="A282" s="42"/>
      <c r="B282" s="42"/>
      <c r="C282" s="42"/>
      <c r="D282" s="42"/>
      <c r="E282" s="42"/>
      <c r="F282" s="42"/>
      <c r="G282" s="42"/>
      <c r="H282" s="42"/>
      <c r="I282" s="42"/>
      <c r="J282" s="42"/>
      <c r="K282" s="42"/>
      <c r="L282" s="42"/>
      <c r="M282" s="42"/>
      <c r="N282" s="42"/>
      <c r="O282" s="42"/>
      <c r="P282" s="42"/>
      <c r="Q282" s="42"/>
      <c r="R282" s="42"/>
      <c r="S282" s="42"/>
      <c r="T282" s="42"/>
      <c r="U282" s="42"/>
      <c r="V282" s="42"/>
      <c r="W282" s="42"/>
      <c r="X282" s="42"/>
      <c r="Y282" s="42"/>
      <c r="Z282" s="42"/>
      <c r="AA282" s="42"/>
      <c r="AB282" s="42"/>
      <c r="AC282" s="42"/>
      <c r="AD282" s="42"/>
      <c r="AE282" s="42"/>
      <c r="AF282" s="42"/>
      <c r="AG282" s="42"/>
      <c r="AH282" s="42"/>
      <c r="AI282" s="42"/>
      <c r="AJ282" s="42"/>
      <c r="AK282" s="42"/>
      <c r="AL282" s="42"/>
      <c r="AM282" s="42"/>
      <c r="AN282" s="42"/>
      <c r="AO282" s="42"/>
      <c r="AP282" s="42"/>
      <c r="AQ282" s="42"/>
      <c r="AR282" s="42"/>
      <c r="AS282" s="42"/>
      <c r="AT282" s="42"/>
      <c r="AU282" s="42"/>
      <c r="AV282" s="42"/>
      <c r="AW282" s="42"/>
      <c r="AX282" s="42"/>
      <c r="AY282" s="42"/>
      <c r="AZ282" s="42"/>
      <c r="BA282" s="42"/>
      <c r="BB282" s="42"/>
      <c r="BC282" s="42"/>
      <c r="BD282" s="42"/>
      <c r="BE282" s="42"/>
      <c r="BF282" s="42"/>
      <c r="BG282" s="42"/>
      <c r="BH282" s="42"/>
    </row>
    <row r="283" spans="1:60" x14ac:dyDescent="0.2">
      <c r="A283" s="42"/>
      <c r="B283" s="42"/>
      <c r="C283" s="42"/>
      <c r="D283" s="42"/>
      <c r="E283" s="42"/>
      <c r="F283" s="42"/>
      <c r="G283" s="42"/>
      <c r="H283" s="42"/>
      <c r="I283" s="42"/>
      <c r="J283" s="42"/>
      <c r="K283" s="42"/>
      <c r="L283" s="42"/>
      <c r="M283" s="42"/>
      <c r="N283" s="42"/>
      <c r="O283" s="42"/>
      <c r="P283" s="42"/>
      <c r="Q283" s="42"/>
      <c r="R283" s="42"/>
      <c r="S283" s="42"/>
      <c r="T283" s="42"/>
      <c r="U283" s="42"/>
      <c r="V283" s="42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2"/>
      <c r="AH283" s="42"/>
      <c r="AI283" s="42"/>
      <c r="AJ283" s="42"/>
      <c r="AK283" s="42"/>
      <c r="AL283" s="42"/>
      <c r="AM283" s="42"/>
      <c r="AN283" s="42"/>
      <c r="AO283" s="42"/>
      <c r="AP283" s="42"/>
      <c r="AQ283" s="42"/>
      <c r="AR283" s="42"/>
      <c r="AS283" s="42"/>
      <c r="AT283" s="42"/>
      <c r="AU283" s="42"/>
      <c r="AV283" s="42"/>
      <c r="AW283" s="42"/>
      <c r="AX283" s="42"/>
      <c r="AY283" s="42"/>
      <c r="AZ283" s="42"/>
      <c r="BA283" s="42"/>
      <c r="BB283" s="42"/>
      <c r="BC283" s="42"/>
      <c r="BD283" s="42"/>
      <c r="BE283" s="42"/>
      <c r="BF283" s="42"/>
      <c r="BG283" s="42"/>
      <c r="BH283" s="42"/>
    </row>
    <row r="284" spans="1:60" x14ac:dyDescent="0.2">
      <c r="A284" s="42"/>
      <c r="B284" s="42"/>
      <c r="C284" s="42"/>
      <c r="D284" s="42"/>
      <c r="E284" s="42"/>
      <c r="F284" s="42"/>
      <c r="G284" s="42"/>
      <c r="H284" s="42"/>
      <c r="I284" s="42"/>
      <c r="J284" s="42"/>
      <c r="K284" s="42"/>
      <c r="L284" s="42"/>
      <c r="M284" s="42"/>
      <c r="N284" s="42"/>
      <c r="O284" s="42"/>
      <c r="P284" s="42"/>
      <c r="Q284" s="42"/>
      <c r="R284" s="42"/>
      <c r="S284" s="42"/>
      <c r="T284" s="42"/>
      <c r="U284" s="42"/>
      <c r="V284" s="42"/>
      <c r="W284" s="42"/>
      <c r="X284" s="42"/>
      <c r="Y284" s="42"/>
      <c r="Z284" s="42"/>
      <c r="AA284" s="42"/>
      <c r="AB284" s="42"/>
      <c r="AC284" s="42"/>
      <c r="AD284" s="42"/>
      <c r="AE284" s="42"/>
      <c r="AF284" s="42"/>
      <c r="AG284" s="42"/>
      <c r="AH284" s="42"/>
      <c r="AI284" s="42"/>
      <c r="AJ284" s="42"/>
      <c r="AK284" s="42"/>
      <c r="AL284" s="42"/>
      <c r="AM284" s="42"/>
      <c r="AN284" s="42"/>
      <c r="AO284" s="42"/>
      <c r="AP284" s="42"/>
      <c r="AQ284" s="42"/>
      <c r="AR284" s="42"/>
      <c r="AS284" s="42"/>
      <c r="AT284" s="42"/>
      <c r="AU284" s="42"/>
      <c r="AV284" s="42"/>
      <c r="AW284" s="42"/>
      <c r="AX284" s="42"/>
      <c r="AY284" s="42"/>
      <c r="AZ284" s="42"/>
      <c r="BA284" s="42"/>
      <c r="BB284" s="42"/>
      <c r="BC284" s="42"/>
      <c r="BD284" s="42"/>
      <c r="BE284" s="42"/>
      <c r="BF284" s="42"/>
      <c r="BG284" s="42"/>
      <c r="BH284" s="42"/>
    </row>
    <row r="285" spans="1:60" x14ac:dyDescent="0.2">
      <c r="A285" s="42"/>
      <c r="B285" s="42"/>
      <c r="C285" s="42"/>
      <c r="D285" s="42"/>
      <c r="E285" s="42"/>
      <c r="F285" s="42"/>
      <c r="G285" s="42"/>
      <c r="H285" s="42"/>
      <c r="I285" s="42"/>
      <c r="J285" s="42"/>
      <c r="K285" s="42"/>
      <c r="L285" s="42"/>
      <c r="M285" s="42"/>
      <c r="N285" s="42"/>
      <c r="O285" s="42"/>
      <c r="P285" s="42"/>
      <c r="Q285" s="42"/>
      <c r="R285" s="42"/>
      <c r="S285" s="42"/>
      <c r="T285" s="42"/>
      <c r="U285" s="42"/>
      <c r="V285" s="42"/>
      <c r="W285" s="42"/>
      <c r="X285" s="42"/>
      <c r="Y285" s="42"/>
      <c r="Z285" s="42"/>
      <c r="AA285" s="42"/>
      <c r="AB285" s="42"/>
      <c r="AC285" s="42"/>
      <c r="AD285" s="42"/>
      <c r="AE285" s="42"/>
      <c r="AF285" s="42"/>
      <c r="AG285" s="42"/>
      <c r="AH285" s="42"/>
      <c r="AI285" s="42"/>
      <c r="AJ285" s="42"/>
      <c r="AK285" s="42"/>
      <c r="AL285" s="42"/>
      <c r="AM285" s="42"/>
      <c r="AN285" s="42"/>
      <c r="AO285" s="42"/>
      <c r="AP285" s="42"/>
      <c r="AQ285" s="42"/>
      <c r="AR285" s="42"/>
      <c r="AS285" s="42"/>
      <c r="AT285" s="42"/>
      <c r="AU285" s="42"/>
      <c r="AV285" s="42"/>
      <c r="AW285" s="42"/>
      <c r="AX285" s="42"/>
      <c r="AY285" s="42"/>
      <c r="AZ285" s="42"/>
      <c r="BA285" s="42"/>
      <c r="BB285" s="42"/>
      <c r="BC285" s="42"/>
      <c r="BD285" s="42"/>
      <c r="BE285" s="42"/>
      <c r="BF285" s="42"/>
      <c r="BG285" s="42"/>
      <c r="BH285" s="42"/>
    </row>
    <row r="286" spans="1:60" x14ac:dyDescent="0.2">
      <c r="A286" s="42"/>
      <c r="B286" s="42"/>
      <c r="C286" s="42"/>
      <c r="D286" s="42"/>
      <c r="E286" s="42"/>
      <c r="F286" s="42"/>
      <c r="G286" s="42"/>
      <c r="H286" s="42"/>
      <c r="I286" s="42"/>
      <c r="J286" s="42"/>
      <c r="K286" s="42"/>
      <c r="L286" s="42"/>
      <c r="M286" s="42"/>
      <c r="N286" s="42"/>
      <c r="O286" s="42"/>
      <c r="P286" s="42"/>
      <c r="Q286" s="42"/>
      <c r="R286" s="42"/>
      <c r="S286" s="42"/>
      <c r="T286" s="42"/>
      <c r="U286" s="42"/>
      <c r="V286" s="42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2"/>
      <c r="AH286" s="42"/>
      <c r="AI286" s="42"/>
      <c r="AJ286" s="42"/>
      <c r="AK286" s="42"/>
      <c r="AL286" s="42"/>
      <c r="AM286" s="42"/>
      <c r="AN286" s="42"/>
      <c r="AO286" s="42"/>
      <c r="AP286" s="42"/>
      <c r="AQ286" s="42"/>
      <c r="AR286" s="42"/>
      <c r="AS286" s="42"/>
      <c r="AT286" s="42"/>
      <c r="AU286" s="42"/>
      <c r="AV286" s="42"/>
      <c r="AW286" s="42"/>
      <c r="AX286" s="42"/>
      <c r="AY286" s="42"/>
      <c r="AZ286" s="42"/>
      <c r="BA286" s="42"/>
      <c r="BB286" s="42"/>
      <c r="BC286" s="42"/>
      <c r="BD286" s="42"/>
      <c r="BE286" s="42"/>
      <c r="BF286" s="42"/>
      <c r="BG286" s="42"/>
      <c r="BH286" s="42"/>
    </row>
    <row r="287" spans="1:60" x14ac:dyDescent="0.2">
      <c r="A287" s="42"/>
      <c r="B287" s="42"/>
      <c r="C287" s="42"/>
      <c r="D287" s="42"/>
      <c r="E287" s="42"/>
      <c r="F287" s="42"/>
      <c r="G287" s="42"/>
      <c r="H287" s="42"/>
      <c r="I287" s="42"/>
      <c r="J287" s="42"/>
      <c r="K287" s="42"/>
      <c r="L287" s="42"/>
      <c r="M287" s="42"/>
      <c r="N287" s="42"/>
      <c r="O287" s="42"/>
      <c r="P287" s="42"/>
      <c r="Q287" s="42"/>
      <c r="R287" s="42"/>
      <c r="S287" s="42"/>
      <c r="T287" s="42"/>
      <c r="U287" s="42"/>
      <c r="V287" s="42"/>
      <c r="W287" s="42"/>
      <c r="X287" s="42"/>
      <c r="Y287" s="42"/>
      <c r="Z287" s="42"/>
      <c r="AA287" s="42"/>
      <c r="AB287" s="42"/>
      <c r="AC287" s="42"/>
      <c r="AD287" s="42"/>
      <c r="AE287" s="42"/>
      <c r="AF287" s="42"/>
      <c r="AG287" s="42"/>
      <c r="AH287" s="42"/>
      <c r="AI287" s="42"/>
      <c r="AJ287" s="42"/>
      <c r="AK287" s="42"/>
      <c r="AL287" s="42"/>
      <c r="AM287" s="42"/>
      <c r="AN287" s="42"/>
      <c r="AO287" s="42"/>
      <c r="AP287" s="42"/>
      <c r="AQ287" s="42"/>
      <c r="AR287" s="42"/>
      <c r="AS287" s="42"/>
      <c r="AT287" s="42"/>
      <c r="AU287" s="42"/>
      <c r="AV287" s="42"/>
      <c r="AW287" s="42"/>
      <c r="AX287" s="42"/>
      <c r="AY287" s="42"/>
      <c r="AZ287" s="42"/>
      <c r="BA287" s="42"/>
      <c r="BB287" s="42"/>
      <c r="BC287" s="42"/>
      <c r="BD287" s="42"/>
      <c r="BE287" s="42"/>
      <c r="BF287" s="42"/>
      <c r="BG287" s="42"/>
      <c r="BH287" s="42"/>
    </row>
    <row r="288" spans="1:60" x14ac:dyDescent="0.2">
      <c r="A288" s="42"/>
      <c r="B288" s="42"/>
      <c r="C288" s="42"/>
      <c r="D288" s="42"/>
      <c r="E288" s="42"/>
      <c r="F288" s="42"/>
      <c r="G288" s="42"/>
      <c r="H288" s="42"/>
      <c r="I288" s="42"/>
      <c r="J288" s="42"/>
      <c r="K288" s="42"/>
      <c r="L288" s="42"/>
      <c r="M288" s="42"/>
      <c r="N288" s="42"/>
      <c r="O288" s="42"/>
      <c r="P288" s="42"/>
      <c r="Q288" s="42"/>
      <c r="R288" s="42"/>
      <c r="S288" s="42"/>
      <c r="T288" s="42"/>
      <c r="U288" s="42"/>
      <c r="V288" s="42"/>
      <c r="W288" s="42"/>
      <c r="X288" s="42"/>
      <c r="Y288" s="42"/>
      <c r="Z288" s="42"/>
      <c r="AA288" s="42"/>
      <c r="AB288" s="42"/>
      <c r="AC288" s="42"/>
      <c r="AD288" s="42"/>
      <c r="AE288" s="42"/>
      <c r="AF288" s="42"/>
      <c r="AG288" s="42"/>
      <c r="AH288" s="42"/>
      <c r="AI288" s="42"/>
      <c r="AJ288" s="42"/>
      <c r="AK288" s="42"/>
      <c r="AL288" s="42"/>
      <c r="AM288" s="42"/>
      <c r="AN288" s="42"/>
      <c r="AO288" s="42"/>
      <c r="AP288" s="42"/>
      <c r="AQ288" s="42"/>
      <c r="AR288" s="42"/>
      <c r="AS288" s="42"/>
      <c r="AT288" s="42"/>
      <c r="AU288" s="42"/>
      <c r="AV288" s="42"/>
      <c r="AW288" s="42"/>
      <c r="AX288" s="42"/>
      <c r="AY288" s="42"/>
      <c r="AZ288" s="42"/>
      <c r="BA288" s="42"/>
      <c r="BB288" s="42"/>
      <c r="BC288" s="42"/>
      <c r="BD288" s="42"/>
      <c r="BE288" s="42"/>
      <c r="BF288" s="42"/>
      <c r="BG288" s="42"/>
      <c r="BH288" s="42"/>
    </row>
    <row r="289" spans="1:60" x14ac:dyDescent="0.2">
      <c r="A289" s="42"/>
      <c r="B289" s="42"/>
      <c r="C289" s="42"/>
      <c r="D289" s="42"/>
      <c r="E289" s="42"/>
      <c r="F289" s="42"/>
      <c r="G289" s="42"/>
      <c r="H289" s="42"/>
      <c r="I289" s="42"/>
      <c r="J289" s="42"/>
      <c r="K289" s="42"/>
      <c r="L289" s="42"/>
      <c r="M289" s="42"/>
      <c r="N289" s="42"/>
      <c r="O289" s="42"/>
      <c r="P289" s="42"/>
      <c r="Q289" s="42"/>
      <c r="R289" s="42"/>
      <c r="S289" s="42"/>
      <c r="T289" s="42"/>
      <c r="U289" s="42"/>
      <c r="V289" s="42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2"/>
      <c r="AH289" s="42"/>
      <c r="AI289" s="42"/>
      <c r="AJ289" s="42"/>
      <c r="AK289" s="42"/>
      <c r="AL289" s="42"/>
      <c r="AM289" s="42"/>
      <c r="AN289" s="42"/>
      <c r="AO289" s="42"/>
      <c r="AP289" s="42"/>
      <c r="AQ289" s="42"/>
      <c r="AR289" s="42"/>
      <c r="AS289" s="42"/>
      <c r="AT289" s="42"/>
      <c r="AU289" s="42"/>
      <c r="AV289" s="42"/>
      <c r="AW289" s="42"/>
      <c r="AX289" s="42"/>
      <c r="AY289" s="42"/>
      <c r="AZ289" s="42"/>
      <c r="BA289" s="42"/>
      <c r="BB289" s="42"/>
      <c r="BC289" s="42"/>
      <c r="BD289" s="42"/>
      <c r="BE289" s="42"/>
      <c r="BF289" s="42"/>
      <c r="BG289" s="42"/>
      <c r="BH289" s="42"/>
    </row>
    <row r="290" spans="1:60" x14ac:dyDescent="0.2">
      <c r="A290" s="42"/>
      <c r="B290" s="42"/>
      <c r="C290" s="42"/>
      <c r="D290" s="42"/>
      <c r="E290" s="42"/>
      <c r="F290" s="42"/>
      <c r="G290" s="42"/>
      <c r="H290" s="42"/>
      <c r="I290" s="42"/>
      <c r="J290" s="42"/>
      <c r="K290" s="42"/>
      <c r="L290" s="42"/>
      <c r="M290" s="42"/>
      <c r="N290" s="42"/>
      <c r="O290" s="42"/>
      <c r="P290" s="42"/>
      <c r="Q290" s="42"/>
      <c r="R290" s="42"/>
      <c r="S290" s="42"/>
      <c r="T290" s="42"/>
      <c r="U290" s="42"/>
      <c r="V290" s="42"/>
      <c r="W290" s="42"/>
      <c r="X290" s="42"/>
      <c r="Y290" s="42"/>
      <c r="Z290" s="42"/>
      <c r="AA290" s="42"/>
      <c r="AB290" s="42"/>
      <c r="AC290" s="42"/>
      <c r="AD290" s="42"/>
      <c r="AE290" s="42"/>
      <c r="AF290" s="42"/>
      <c r="AG290" s="42"/>
      <c r="AH290" s="42"/>
      <c r="AI290" s="42"/>
      <c r="AJ290" s="42"/>
      <c r="AK290" s="42"/>
      <c r="AL290" s="42"/>
      <c r="AM290" s="42"/>
      <c r="AN290" s="42"/>
      <c r="AO290" s="42"/>
      <c r="AP290" s="42"/>
      <c r="AQ290" s="42"/>
      <c r="AR290" s="42"/>
      <c r="AS290" s="42"/>
      <c r="AT290" s="42"/>
      <c r="AU290" s="42"/>
      <c r="AV290" s="42"/>
      <c r="AW290" s="42"/>
      <c r="AX290" s="42"/>
      <c r="AY290" s="42"/>
      <c r="AZ290" s="42"/>
      <c r="BA290" s="42"/>
      <c r="BB290" s="42"/>
      <c r="BC290" s="42"/>
      <c r="BD290" s="42"/>
      <c r="BE290" s="42"/>
      <c r="BF290" s="42"/>
      <c r="BG290" s="42"/>
      <c r="BH290" s="42"/>
    </row>
    <row r="291" spans="1:60" x14ac:dyDescent="0.2">
      <c r="A291" s="42"/>
      <c r="B291" s="42"/>
      <c r="C291" s="42"/>
      <c r="D291" s="42"/>
      <c r="E291" s="42"/>
      <c r="F291" s="42"/>
      <c r="G291" s="42"/>
      <c r="H291" s="42"/>
      <c r="I291" s="42"/>
      <c r="J291" s="42"/>
      <c r="K291" s="42"/>
      <c r="L291" s="42"/>
      <c r="M291" s="42"/>
      <c r="N291" s="42"/>
      <c r="O291" s="42"/>
      <c r="P291" s="42"/>
      <c r="Q291" s="42"/>
      <c r="R291" s="42"/>
      <c r="S291" s="42"/>
      <c r="T291" s="42"/>
      <c r="U291" s="42"/>
      <c r="V291" s="42"/>
      <c r="W291" s="42"/>
      <c r="X291" s="42"/>
      <c r="Y291" s="42"/>
      <c r="Z291" s="42"/>
      <c r="AA291" s="42"/>
      <c r="AB291" s="42"/>
      <c r="AC291" s="42"/>
      <c r="AD291" s="42"/>
      <c r="AE291" s="42"/>
      <c r="AF291" s="42"/>
      <c r="AG291" s="42"/>
      <c r="AH291" s="42"/>
      <c r="AI291" s="42"/>
      <c r="AJ291" s="42"/>
      <c r="AK291" s="42"/>
      <c r="AL291" s="42"/>
      <c r="AM291" s="42"/>
      <c r="AN291" s="42"/>
      <c r="AO291" s="42"/>
      <c r="AP291" s="42"/>
      <c r="AQ291" s="42"/>
      <c r="AR291" s="42"/>
      <c r="AS291" s="42"/>
      <c r="AT291" s="42"/>
      <c r="AU291" s="42"/>
      <c r="AV291" s="42"/>
      <c r="AW291" s="42"/>
      <c r="AX291" s="42"/>
      <c r="AY291" s="42"/>
      <c r="AZ291" s="42"/>
      <c r="BA291" s="42"/>
      <c r="BB291" s="42"/>
      <c r="BC291" s="42"/>
      <c r="BD291" s="42"/>
      <c r="BE291" s="42"/>
      <c r="BF291" s="42"/>
      <c r="BG291" s="42"/>
      <c r="BH291" s="42"/>
    </row>
    <row r="292" spans="1:60" x14ac:dyDescent="0.2">
      <c r="A292" s="42"/>
      <c r="B292" s="42"/>
      <c r="C292" s="42"/>
      <c r="D292" s="42"/>
      <c r="E292" s="42"/>
      <c r="F292" s="42"/>
      <c r="G292" s="42"/>
      <c r="H292" s="42"/>
      <c r="I292" s="42"/>
      <c r="J292" s="42"/>
      <c r="K292" s="42"/>
      <c r="L292" s="42"/>
      <c r="M292" s="42"/>
      <c r="N292" s="42"/>
      <c r="O292" s="42"/>
      <c r="P292" s="42"/>
      <c r="Q292" s="42"/>
      <c r="R292" s="42"/>
      <c r="S292" s="42"/>
      <c r="T292" s="42"/>
      <c r="U292" s="42"/>
      <c r="V292" s="42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2"/>
      <c r="AH292" s="42"/>
      <c r="AI292" s="42"/>
      <c r="AJ292" s="42"/>
      <c r="AK292" s="42"/>
      <c r="AL292" s="42"/>
      <c r="AM292" s="42"/>
      <c r="AN292" s="42"/>
      <c r="AO292" s="42"/>
      <c r="AP292" s="42"/>
      <c r="AQ292" s="42"/>
      <c r="AR292" s="42"/>
      <c r="AS292" s="42"/>
      <c r="AT292" s="42"/>
      <c r="AU292" s="42"/>
      <c r="AV292" s="42"/>
      <c r="AW292" s="42"/>
      <c r="AX292" s="42"/>
      <c r="AY292" s="42"/>
      <c r="AZ292" s="42"/>
      <c r="BA292" s="42"/>
      <c r="BB292" s="42"/>
      <c r="BC292" s="42"/>
      <c r="BD292" s="42"/>
      <c r="BE292" s="42"/>
      <c r="BF292" s="42"/>
      <c r="BG292" s="42"/>
      <c r="BH292" s="42"/>
    </row>
    <row r="293" spans="1:60" x14ac:dyDescent="0.2">
      <c r="A293" s="42"/>
      <c r="B293" s="42"/>
      <c r="C293" s="42"/>
      <c r="D293" s="42"/>
      <c r="E293" s="42"/>
      <c r="F293" s="42"/>
      <c r="G293" s="42"/>
      <c r="H293" s="42"/>
      <c r="I293" s="42"/>
      <c r="J293" s="42"/>
      <c r="K293" s="42"/>
      <c r="L293" s="42"/>
      <c r="M293" s="42"/>
      <c r="N293" s="42"/>
      <c r="O293" s="42"/>
      <c r="P293" s="42"/>
      <c r="Q293" s="42"/>
      <c r="R293" s="42"/>
      <c r="S293" s="42"/>
      <c r="T293" s="42"/>
      <c r="U293" s="42"/>
      <c r="V293" s="42"/>
      <c r="W293" s="42"/>
      <c r="X293" s="42"/>
      <c r="Y293" s="42"/>
      <c r="Z293" s="42"/>
      <c r="AA293" s="42"/>
      <c r="AB293" s="42"/>
      <c r="AC293" s="42"/>
      <c r="AD293" s="42"/>
      <c r="AE293" s="42"/>
      <c r="AF293" s="42"/>
      <c r="AG293" s="42"/>
      <c r="AH293" s="42"/>
      <c r="AI293" s="42"/>
      <c r="AJ293" s="42"/>
      <c r="AK293" s="42"/>
      <c r="AL293" s="42"/>
      <c r="AM293" s="42"/>
      <c r="AN293" s="42"/>
      <c r="AO293" s="42"/>
      <c r="AP293" s="42"/>
      <c r="AQ293" s="42"/>
      <c r="AR293" s="42"/>
      <c r="AS293" s="42"/>
      <c r="AT293" s="42"/>
      <c r="AU293" s="42"/>
      <c r="AV293" s="42"/>
      <c r="AW293" s="42"/>
      <c r="AX293" s="42"/>
      <c r="AY293" s="42"/>
      <c r="AZ293" s="42"/>
      <c r="BA293" s="42"/>
      <c r="BB293" s="42"/>
      <c r="BC293" s="42"/>
      <c r="BD293" s="42"/>
      <c r="BE293" s="42"/>
      <c r="BF293" s="42"/>
      <c r="BG293" s="42"/>
      <c r="BH293" s="42"/>
    </row>
    <row r="294" spans="1:60" x14ac:dyDescent="0.2">
      <c r="A294" s="42"/>
      <c r="B294" s="42"/>
      <c r="C294" s="42"/>
      <c r="D294" s="42"/>
      <c r="E294" s="42"/>
      <c r="F294" s="42"/>
      <c r="G294" s="42"/>
      <c r="H294" s="42"/>
      <c r="I294" s="42"/>
      <c r="J294" s="42"/>
      <c r="K294" s="42"/>
      <c r="L294" s="42"/>
      <c r="M294" s="42"/>
      <c r="N294" s="42"/>
      <c r="O294" s="42"/>
      <c r="P294" s="42"/>
      <c r="Q294" s="42"/>
      <c r="R294" s="42"/>
      <c r="S294" s="42"/>
      <c r="T294" s="42"/>
      <c r="U294" s="42"/>
      <c r="V294" s="42"/>
      <c r="W294" s="42"/>
      <c r="X294" s="42"/>
      <c r="Y294" s="42"/>
      <c r="Z294" s="42"/>
      <c r="AA294" s="42"/>
      <c r="AB294" s="42"/>
      <c r="AC294" s="42"/>
      <c r="AD294" s="42"/>
      <c r="AE294" s="42"/>
      <c r="AF294" s="42"/>
      <c r="AG294" s="42"/>
      <c r="AH294" s="42"/>
      <c r="AI294" s="42"/>
      <c r="AJ294" s="42"/>
      <c r="AK294" s="42"/>
      <c r="AL294" s="42"/>
      <c r="AM294" s="42"/>
      <c r="AN294" s="42"/>
      <c r="AO294" s="42"/>
      <c r="AP294" s="42"/>
      <c r="AQ294" s="42"/>
      <c r="AR294" s="42"/>
      <c r="AS294" s="42"/>
      <c r="AT294" s="42"/>
      <c r="AU294" s="42"/>
      <c r="AV294" s="42"/>
      <c r="AW294" s="42"/>
      <c r="AX294" s="42"/>
      <c r="AY294" s="42"/>
      <c r="AZ294" s="42"/>
      <c r="BA294" s="42"/>
      <c r="BB294" s="42"/>
      <c r="BC294" s="42"/>
      <c r="BD294" s="42"/>
      <c r="BE294" s="42"/>
      <c r="BF294" s="42"/>
      <c r="BG294" s="42"/>
      <c r="BH294" s="42"/>
    </row>
    <row r="295" spans="1:60" x14ac:dyDescent="0.2">
      <c r="A295" s="42"/>
      <c r="B295" s="42"/>
      <c r="C295" s="42"/>
      <c r="D295" s="42"/>
      <c r="E295" s="42"/>
      <c r="F295" s="42"/>
      <c r="G295" s="42"/>
      <c r="H295" s="42"/>
      <c r="I295" s="42"/>
      <c r="J295" s="42"/>
      <c r="K295" s="42"/>
      <c r="L295" s="42"/>
      <c r="M295" s="42"/>
      <c r="N295" s="42"/>
      <c r="O295" s="42"/>
      <c r="P295" s="42"/>
      <c r="Q295" s="42"/>
      <c r="R295" s="42"/>
      <c r="S295" s="42"/>
      <c r="T295" s="42"/>
      <c r="U295" s="42"/>
      <c r="V295" s="42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2"/>
      <c r="AH295" s="42"/>
      <c r="AI295" s="42"/>
      <c r="AJ295" s="42"/>
      <c r="AK295" s="42"/>
      <c r="AL295" s="42"/>
      <c r="AM295" s="42"/>
      <c r="AN295" s="42"/>
      <c r="AO295" s="42"/>
      <c r="AP295" s="42"/>
      <c r="AQ295" s="42"/>
      <c r="AR295" s="42"/>
      <c r="AS295" s="42"/>
      <c r="AT295" s="42"/>
      <c r="AU295" s="42"/>
      <c r="AV295" s="42"/>
      <c r="AW295" s="42"/>
      <c r="AX295" s="42"/>
      <c r="AY295" s="42"/>
      <c r="AZ295" s="42"/>
      <c r="BA295" s="42"/>
      <c r="BB295" s="42"/>
      <c r="BC295" s="42"/>
      <c r="BD295" s="42"/>
      <c r="BE295" s="42"/>
      <c r="BF295" s="42"/>
      <c r="BG295" s="42"/>
      <c r="BH295" s="42"/>
    </row>
    <row r="296" spans="1:60" x14ac:dyDescent="0.2">
      <c r="A296" s="42"/>
      <c r="B296" s="42"/>
      <c r="C296" s="42"/>
      <c r="D296" s="42"/>
      <c r="E296" s="42"/>
      <c r="F296" s="42"/>
      <c r="G296" s="42"/>
      <c r="H296" s="42"/>
      <c r="I296" s="42"/>
      <c r="J296" s="42"/>
      <c r="K296" s="42"/>
      <c r="L296" s="42"/>
      <c r="M296" s="42"/>
      <c r="N296" s="42"/>
      <c r="O296" s="42"/>
      <c r="P296" s="42"/>
      <c r="Q296" s="42"/>
      <c r="R296" s="42"/>
      <c r="S296" s="42"/>
      <c r="T296" s="42"/>
      <c r="U296" s="42"/>
      <c r="V296" s="42"/>
      <c r="W296" s="42"/>
      <c r="X296" s="42"/>
      <c r="Y296" s="42"/>
      <c r="Z296" s="42"/>
      <c r="AA296" s="42"/>
      <c r="AB296" s="42"/>
      <c r="AC296" s="42"/>
      <c r="AD296" s="42"/>
      <c r="AE296" s="42"/>
      <c r="AF296" s="42"/>
      <c r="AG296" s="42"/>
      <c r="AH296" s="42"/>
      <c r="AI296" s="42"/>
      <c r="AJ296" s="42"/>
      <c r="AK296" s="42"/>
      <c r="AL296" s="42"/>
      <c r="AM296" s="42"/>
      <c r="AN296" s="42"/>
      <c r="AO296" s="42"/>
      <c r="AP296" s="42"/>
      <c r="AQ296" s="42"/>
      <c r="AR296" s="42"/>
      <c r="AS296" s="42"/>
      <c r="AT296" s="42"/>
      <c r="AU296" s="42"/>
      <c r="AV296" s="42"/>
      <c r="AW296" s="42"/>
      <c r="AX296" s="42"/>
      <c r="AY296" s="42"/>
      <c r="AZ296" s="42"/>
      <c r="BA296" s="42"/>
      <c r="BB296" s="42"/>
      <c r="BC296" s="42"/>
      <c r="BD296" s="42"/>
      <c r="BE296" s="42"/>
      <c r="BF296" s="42"/>
      <c r="BG296" s="42"/>
      <c r="BH296" s="42"/>
    </row>
    <row r="297" spans="1:60" x14ac:dyDescent="0.2">
      <c r="A297" s="42"/>
      <c r="B297" s="42"/>
      <c r="C297" s="42"/>
      <c r="D297" s="42"/>
      <c r="E297" s="42"/>
      <c r="F297" s="42"/>
      <c r="G297" s="42"/>
      <c r="H297" s="42"/>
      <c r="I297" s="42"/>
      <c r="J297" s="42"/>
      <c r="K297" s="42"/>
      <c r="L297" s="42"/>
      <c r="M297" s="42"/>
      <c r="N297" s="42"/>
      <c r="O297" s="42"/>
      <c r="P297" s="42"/>
      <c r="Q297" s="42"/>
      <c r="R297" s="42"/>
      <c r="S297" s="42"/>
      <c r="T297" s="42"/>
      <c r="U297" s="42"/>
      <c r="V297" s="42"/>
      <c r="W297" s="42"/>
      <c r="X297" s="42"/>
      <c r="Y297" s="42"/>
      <c r="Z297" s="42"/>
      <c r="AA297" s="42"/>
      <c r="AB297" s="42"/>
      <c r="AC297" s="42"/>
      <c r="AD297" s="42"/>
      <c r="AE297" s="42"/>
      <c r="AF297" s="42"/>
      <c r="AG297" s="42"/>
      <c r="AH297" s="42"/>
      <c r="AI297" s="42"/>
      <c r="AJ297" s="42"/>
      <c r="AK297" s="42"/>
      <c r="AL297" s="42"/>
      <c r="AM297" s="42"/>
      <c r="AN297" s="42"/>
      <c r="AO297" s="42"/>
      <c r="AP297" s="42"/>
      <c r="AQ297" s="42"/>
      <c r="AR297" s="42"/>
      <c r="AS297" s="42"/>
      <c r="AT297" s="42"/>
      <c r="AU297" s="42"/>
      <c r="AV297" s="42"/>
      <c r="AW297" s="42"/>
      <c r="AX297" s="42"/>
      <c r="AY297" s="42"/>
      <c r="AZ297" s="42"/>
      <c r="BA297" s="42"/>
      <c r="BB297" s="42"/>
      <c r="BC297" s="42"/>
      <c r="BD297" s="42"/>
      <c r="BE297" s="42"/>
      <c r="BF297" s="42"/>
      <c r="BG297" s="42"/>
      <c r="BH297" s="42"/>
    </row>
    <row r="298" spans="1:60" x14ac:dyDescent="0.2">
      <c r="A298" s="42"/>
      <c r="B298" s="42"/>
      <c r="C298" s="42"/>
      <c r="D298" s="42"/>
      <c r="E298" s="42"/>
      <c r="F298" s="42"/>
      <c r="G298" s="42"/>
      <c r="H298" s="42"/>
      <c r="I298" s="42"/>
      <c r="J298" s="42"/>
      <c r="K298" s="42"/>
      <c r="L298" s="42"/>
      <c r="M298" s="42"/>
      <c r="N298" s="42"/>
      <c r="O298" s="42"/>
      <c r="P298" s="42"/>
      <c r="Q298" s="42"/>
      <c r="R298" s="42"/>
      <c r="S298" s="42"/>
      <c r="T298" s="42"/>
      <c r="U298" s="42"/>
      <c r="V298" s="42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2"/>
      <c r="AH298" s="42"/>
      <c r="AI298" s="42"/>
      <c r="AJ298" s="42"/>
      <c r="AK298" s="42"/>
      <c r="AL298" s="42"/>
      <c r="AM298" s="42"/>
      <c r="AN298" s="42"/>
      <c r="AO298" s="42"/>
      <c r="AP298" s="42"/>
      <c r="AQ298" s="42"/>
      <c r="AR298" s="42"/>
      <c r="AS298" s="42"/>
      <c r="AT298" s="42"/>
      <c r="AU298" s="42"/>
      <c r="AV298" s="42"/>
      <c r="AW298" s="42"/>
      <c r="AX298" s="42"/>
      <c r="AY298" s="42"/>
      <c r="AZ298" s="42"/>
      <c r="BA298" s="42"/>
      <c r="BB298" s="42"/>
      <c r="BC298" s="42"/>
      <c r="BD298" s="42"/>
      <c r="BE298" s="42"/>
      <c r="BF298" s="42"/>
      <c r="BG298" s="42"/>
      <c r="BH298" s="42"/>
    </row>
    <row r="299" spans="1:60" x14ac:dyDescent="0.2">
      <c r="A299" s="42"/>
      <c r="B299" s="42"/>
      <c r="C299" s="42"/>
      <c r="D299" s="42"/>
      <c r="E299" s="42"/>
      <c r="F299" s="42"/>
      <c r="G299" s="42"/>
      <c r="H299" s="42"/>
      <c r="I299" s="42"/>
      <c r="J299" s="42"/>
      <c r="K299" s="42"/>
      <c r="L299" s="42"/>
      <c r="M299" s="42"/>
      <c r="N299" s="42"/>
      <c r="O299" s="42"/>
      <c r="P299" s="42"/>
      <c r="Q299" s="42"/>
      <c r="R299" s="42"/>
      <c r="S299" s="42"/>
      <c r="T299" s="42"/>
      <c r="U299" s="42"/>
      <c r="V299" s="42"/>
      <c r="W299" s="42"/>
      <c r="X299" s="42"/>
      <c r="Y299" s="42"/>
      <c r="Z299" s="42"/>
      <c r="AA299" s="42"/>
      <c r="AB299" s="42"/>
      <c r="AC299" s="42"/>
      <c r="AD299" s="42"/>
      <c r="AE299" s="42"/>
      <c r="AF299" s="42"/>
      <c r="AG299" s="42"/>
      <c r="AH299" s="42"/>
      <c r="AI299" s="42"/>
      <c r="AJ299" s="42"/>
      <c r="AK299" s="42"/>
      <c r="AL299" s="42"/>
      <c r="AM299" s="42"/>
      <c r="AN299" s="42"/>
      <c r="AO299" s="42"/>
      <c r="AP299" s="42"/>
      <c r="AQ299" s="42"/>
      <c r="AR299" s="42"/>
      <c r="AS299" s="42"/>
      <c r="AT299" s="42"/>
      <c r="AU299" s="42"/>
      <c r="AV299" s="42"/>
      <c r="AW299" s="42"/>
      <c r="AX299" s="42"/>
      <c r="AY299" s="42"/>
      <c r="AZ299" s="42"/>
      <c r="BA299" s="42"/>
      <c r="BB299" s="42"/>
      <c r="BC299" s="42"/>
      <c r="BD299" s="42"/>
      <c r="BE299" s="42"/>
      <c r="BF299" s="42"/>
      <c r="BG299" s="42"/>
      <c r="BH299" s="42"/>
    </row>
    <row r="300" spans="1:60" x14ac:dyDescent="0.2">
      <c r="A300" s="42"/>
      <c r="B300" s="42"/>
      <c r="C300" s="42"/>
      <c r="D300" s="42"/>
      <c r="E300" s="42"/>
      <c r="F300" s="42"/>
      <c r="G300" s="42"/>
      <c r="H300" s="42"/>
      <c r="I300" s="42"/>
      <c r="J300" s="42"/>
      <c r="K300" s="42"/>
      <c r="L300" s="42"/>
      <c r="M300" s="42"/>
      <c r="N300" s="42"/>
      <c r="O300" s="42"/>
      <c r="P300" s="42"/>
      <c r="Q300" s="42"/>
      <c r="R300" s="42"/>
      <c r="S300" s="42"/>
      <c r="T300" s="42"/>
      <c r="U300" s="42"/>
      <c r="V300" s="42"/>
      <c r="W300" s="42"/>
      <c r="X300" s="42"/>
      <c r="Y300" s="42"/>
      <c r="Z300" s="42"/>
      <c r="AA300" s="42"/>
      <c r="AB300" s="42"/>
      <c r="AC300" s="42"/>
      <c r="AD300" s="42"/>
      <c r="AE300" s="42"/>
      <c r="AF300" s="42"/>
      <c r="AG300" s="42"/>
      <c r="AH300" s="42"/>
      <c r="AI300" s="42"/>
      <c r="AJ300" s="42"/>
      <c r="AK300" s="42"/>
      <c r="AL300" s="42"/>
      <c r="AM300" s="42"/>
      <c r="AN300" s="42"/>
      <c r="AO300" s="42"/>
      <c r="AP300" s="42"/>
      <c r="AQ300" s="42"/>
      <c r="AR300" s="42"/>
      <c r="AS300" s="42"/>
      <c r="AT300" s="42"/>
      <c r="AU300" s="42"/>
      <c r="AV300" s="42"/>
      <c r="AW300" s="42"/>
      <c r="AX300" s="42"/>
      <c r="AY300" s="42"/>
      <c r="AZ300" s="42"/>
      <c r="BA300" s="42"/>
      <c r="BB300" s="42"/>
      <c r="BC300" s="42"/>
      <c r="BD300" s="42"/>
      <c r="BE300" s="42"/>
      <c r="BF300" s="42"/>
      <c r="BG300" s="42"/>
      <c r="BH300" s="42"/>
    </row>
    <row r="301" spans="1:60" x14ac:dyDescent="0.2">
      <c r="A301" s="42"/>
      <c r="B301" s="42"/>
      <c r="C301" s="42"/>
      <c r="D301" s="42"/>
      <c r="E301" s="42"/>
      <c r="F301" s="42"/>
      <c r="G301" s="42"/>
      <c r="H301" s="42"/>
      <c r="I301" s="42"/>
      <c r="J301" s="42"/>
      <c r="K301" s="42"/>
      <c r="L301" s="42"/>
      <c r="M301" s="42"/>
      <c r="N301" s="42"/>
      <c r="O301" s="42"/>
      <c r="P301" s="42"/>
      <c r="Q301" s="42"/>
      <c r="R301" s="42"/>
      <c r="S301" s="42"/>
      <c r="T301" s="42"/>
      <c r="U301" s="42"/>
      <c r="V301" s="42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2"/>
      <c r="AH301" s="42"/>
      <c r="AI301" s="42"/>
      <c r="AJ301" s="42"/>
      <c r="AK301" s="42"/>
      <c r="AL301" s="42"/>
      <c r="AM301" s="42"/>
      <c r="AN301" s="42"/>
      <c r="AO301" s="42"/>
      <c r="AP301" s="42"/>
      <c r="AQ301" s="42"/>
      <c r="AR301" s="42"/>
      <c r="AS301" s="42"/>
      <c r="AT301" s="42"/>
      <c r="AU301" s="42"/>
      <c r="AV301" s="42"/>
      <c r="AW301" s="42"/>
      <c r="AX301" s="42"/>
      <c r="AY301" s="42"/>
      <c r="AZ301" s="42"/>
      <c r="BA301" s="42"/>
      <c r="BB301" s="42"/>
      <c r="BC301" s="42"/>
      <c r="BD301" s="42"/>
      <c r="BE301" s="42"/>
      <c r="BF301" s="42"/>
      <c r="BG301" s="42"/>
      <c r="BH301" s="42"/>
    </row>
    <row r="302" spans="1:60" x14ac:dyDescent="0.2">
      <c r="A302" s="42"/>
      <c r="B302" s="42"/>
      <c r="C302" s="42"/>
      <c r="D302" s="42"/>
      <c r="E302" s="42"/>
      <c r="F302" s="42"/>
      <c r="G302" s="42"/>
      <c r="H302" s="42"/>
      <c r="I302" s="42"/>
      <c r="J302" s="42"/>
      <c r="K302" s="42"/>
      <c r="L302" s="42"/>
      <c r="M302" s="42"/>
      <c r="N302" s="42"/>
      <c r="O302" s="42"/>
      <c r="P302" s="42"/>
      <c r="Q302" s="42"/>
      <c r="R302" s="42"/>
      <c r="S302" s="42"/>
      <c r="T302" s="42"/>
      <c r="U302" s="42"/>
      <c r="V302" s="42"/>
      <c r="W302" s="42"/>
      <c r="X302" s="42"/>
      <c r="Y302" s="42"/>
      <c r="Z302" s="42"/>
      <c r="AA302" s="42"/>
      <c r="AB302" s="42"/>
      <c r="AC302" s="42"/>
      <c r="AD302" s="42"/>
      <c r="AE302" s="42"/>
      <c r="AF302" s="42"/>
      <c r="AG302" s="42"/>
      <c r="AH302" s="42"/>
      <c r="AI302" s="42"/>
      <c r="AJ302" s="42"/>
      <c r="AK302" s="42"/>
      <c r="AL302" s="42"/>
      <c r="AM302" s="42"/>
      <c r="AN302" s="42"/>
      <c r="AO302" s="42"/>
      <c r="AP302" s="42"/>
      <c r="AQ302" s="42"/>
      <c r="AR302" s="42"/>
      <c r="AS302" s="42"/>
      <c r="AT302" s="42"/>
      <c r="AU302" s="42"/>
      <c r="AV302" s="42"/>
      <c r="AW302" s="42"/>
      <c r="AX302" s="42"/>
      <c r="AY302" s="42"/>
      <c r="AZ302" s="42"/>
      <c r="BA302" s="42"/>
      <c r="BB302" s="42"/>
      <c r="BC302" s="42"/>
      <c r="BD302" s="42"/>
      <c r="BE302" s="42"/>
      <c r="BF302" s="42"/>
      <c r="BG302" s="42"/>
      <c r="BH302" s="42"/>
    </row>
  </sheetData>
  <mergeCells count="9">
    <mergeCell ref="B12:K12"/>
    <mergeCell ref="C71:H71"/>
    <mergeCell ref="C60:H60"/>
    <mergeCell ref="B18:E18"/>
    <mergeCell ref="B26:D26"/>
    <mergeCell ref="B27:D27"/>
    <mergeCell ref="B28:D28"/>
    <mergeCell ref="B49:E49"/>
    <mergeCell ref="B43:G43"/>
  </mergeCells>
  <phoneticPr fontId="0" type="noConversion"/>
  <hyperlinks>
    <hyperlink ref="A43" location="Fixed_Cost!A1" display="Calculate Fixed Cost"/>
    <hyperlink ref="A44" location="Fixed_Payment!A1" display="Calculate Fixed Payment"/>
    <hyperlink ref="J15" location="Main!B38" display="Return to Main budget"/>
  </hyperlinks>
  <printOptions horizontalCentered="1"/>
  <pageMargins left="0.75" right="0.75" top="1" bottom="1" header="0.5" footer="0.5"/>
  <pageSetup scale="17" fitToHeight="2" orientation="portrait" r:id="rId1"/>
  <headerFooter alignWithMargins="0">
    <oddHeader>&amp;F</oddHeader>
    <oddFooter>&amp;CExtension Agricultural and Applied Economics</oddFooter>
  </headerFooter>
  <rowBreaks count="1" manualBreakCount="1">
    <brk id="54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F20"/>
  <sheetViews>
    <sheetView workbookViewId="0">
      <selection activeCell="F10" sqref="F10"/>
    </sheetView>
  </sheetViews>
  <sheetFormatPr defaultColWidth="10.28515625" defaultRowHeight="15" x14ac:dyDescent="0.3"/>
  <cols>
    <col min="1" max="1" width="17.140625" style="7" customWidth="1"/>
    <col min="2" max="4" width="10.28515625" style="7" customWidth="1"/>
    <col min="5" max="5" width="12.140625" style="7" customWidth="1"/>
    <col min="6" max="16384" width="10.28515625" style="7"/>
  </cols>
  <sheetData>
    <row r="1" spans="1:6" x14ac:dyDescent="0.3">
      <c r="A1" s="14" t="s">
        <v>254</v>
      </c>
      <c r="B1" s="14" t="s">
        <v>256</v>
      </c>
    </row>
    <row r="2" spans="1:6" x14ac:dyDescent="0.3">
      <c r="A2" s="13" t="s">
        <v>255</v>
      </c>
      <c r="B2" s="7">
        <v>1.5</v>
      </c>
    </row>
    <row r="3" spans="1:6" x14ac:dyDescent="0.3">
      <c r="A3" s="7" t="s">
        <v>237</v>
      </c>
      <c r="B3" s="7">
        <v>650</v>
      </c>
    </row>
    <row r="4" spans="1:6" x14ac:dyDescent="0.3">
      <c r="A4" s="7" t="s">
        <v>238</v>
      </c>
      <c r="B4" s="7">
        <v>30</v>
      </c>
    </row>
    <row r="5" spans="1:6" x14ac:dyDescent="0.3">
      <c r="B5" s="7" t="s">
        <v>239</v>
      </c>
      <c r="C5" s="8" t="s">
        <v>240</v>
      </c>
      <c r="D5" s="7" t="s">
        <v>241</v>
      </c>
      <c r="E5" s="7" t="s">
        <v>242</v>
      </c>
      <c r="F5" s="8" t="s">
        <v>243</v>
      </c>
    </row>
    <row r="6" spans="1:6" x14ac:dyDescent="0.3">
      <c r="A6" s="7" t="s">
        <v>244</v>
      </c>
      <c r="B6" s="7">
        <v>100</v>
      </c>
      <c r="C6" s="8">
        <f>+B6/2000</f>
        <v>0.05</v>
      </c>
      <c r="D6" s="9">
        <v>0.65</v>
      </c>
      <c r="E6" s="7">
        <f>+D6*2000</f>
        <v>1300</v>
      </c>
      <c r="F6" s="8">
        <f>+E6*C6</f>
        <v>65</v>
      </c>
    </row>
    <row r="7" spans="1:6" x14ac:dyDescent="0.3">
      <c r="A7" s="7" t="s">
        <v>245</v>
      </c>
      <c r="B7" s="7">
        <v>125</v>
      </c>
      <c r="C7" s="8">
        <f>+B7/2000</f>
        <v>6.25E-2</v>
      </c>
      <c r="D7" s="9">
        <v>0.1</v>
      </c>
      <c r="E7" s="7">
        <f>+D7*2000</f>
        <v>200</v>
      </c>
      <c r="F7" s="8">
        <f>+E7*C7</f>
        <v>12.5</v>
      </c>
    </row>
    <row r="8" spans="1:6" x14ac:dyDescent="0.3">
      <c r="A8" s="7" t="s">
        <v>246</v>
      </c>
      <c r="B8" s="7">
        <v>15</v>
      </c>
      <c r="C8" s="8">
        <f>+B8/2000</f>
        <v>7.4999999999999997E-3</v>
      </c>
      <c r="D8" s="9">
        <v>0.15</v>
      </c>
      <c r="E8" s="7">
        <f>+D8*2000</f>
        <v>300</v>
      </c>
      <c r="F8" s="8">
        <f>+E8*C8</f>
        <v>2.25</v>
      </c>
    </row>
    <row r="9" spans="1:6" x14ac:dyDescent="0.3">
      <c r="A9" s="13" t="s">
        <v>323</v>
      </c>
      <c r="B9" s="7">
        <v>250</v>
      </c>
      <c r="C9" s="8">
        <f>+B9/2000</f>
        <v>0.125</v>
      </c>
      <c r="D9" s="9">
        <v>0.1</v>
      </c>
      <c r="E9" s="7">
        <f>+D9*2000</f>
        <v>200</v>
      </c>
      <c r="F9" s="8">
        <f>+E9*C9</f>
        <v>25</v>
      </c>
    </row>
    <row r="10" spans="1:6" x14ac:dyDescent="0.3">
      <c r="D10" s="110">
        <f>+SUM(D6:D9)</f>
        <v>1</v>
      </c>
      <c r="E10" s="7" t="s">
        <v>247</v>
      </c>
      <c r="F10" s="8">
        <f>SUM(F6:F9)</f>
        <v>104.75</v>
      </c>
    </row>
    <row r="11" spans="1:6" x14ac:dyDescent="0.3">
      <c r="E11" s="7" t="s">
        <v>248</v>
      </c>
      <c r="F11" s="8">
        <f>+F10/2000</f>
        <v>5.2374999999999998E-2</v>
      </c>
    </row>
    <row r="13" spans="1:6" x14ac:dyDescent="0.3">
      <c r="A13" s="7" t="s">
        <v>249</v>
      </c>
      <c r="B13" s="7" t="s">
        <v>250</v>
      </c>
      <c r="C13" s="7" t="s">
        <v>251</v>
      </c>
      <c r="D13" s="7" t="s">
        <v>252</v>
      </c>
      <c r="E13" s="7" t="s">
        <v>253</v>
      </c>
      <c r="F13" s="13" t="s">
        <v>306</v>
      </c>
    </row>
    <row r="14" spans="1:6" x14ac:dyDescent="0.3">
      <c r="A14" s="10">
        <v>5.0000000000000001E-3</v>
      </c>
      <c r="B14" s="7">
        <f t="shared" ref="B14:B20" si="0">+A14*$B$3</f>
        <v>3.25</v>
      </c>
      <c r="C14" s="11">
        <f t="shared" ref="C14:C20" si="1">+B14*$F$11</f>
        <v>0.17021875</v>
      </c>
      <c r="D14" s="8">
        <f t="shared" ref="D14:D20" si="2">+C14*$B$4</f>
        <v>5.1065624999999999</v>
      </c>
      <c r="E14" s="12">
        <f>+B14*$B$4</f>
        <v>97.5</v>
      </c>
    </row>
    <row r="15" spans="1:6" x14ac:dyDescent="0.3">
      <c r="A15" s="10">
        <v>0.01</v>
      </c>
      <c r="B15" s="7">
        <f t="shared" si="0"/>
        <v>6.5</v>
      </c>
      <c r="C15" s="11">
        <f t="shared" si="1"/>
        <v>0.3404375</v>
      </c>
      <c r="D15" s="8">
        <f t="shared" si="2"/>
        <v>10.213125</v>
      </c>
      <c r="E15" s="12">
        <f t="shared" ref="E15:E20" si="3">+B15*$B$4</f>
        <v>195</v>
      </c>
    </row>
    <row r="16" spans="1:6" x14ac:dyDescent="0.3">
      <c r="A16" s="10">
        <v>1.4999999999999999E-2</v>
      </c>
      <c r="B16" s="7">
        <f t="shared" si="0"/>
        <v>9.75</v>
      </c>
      <c r="C16" s="11">
        <f t="shared" si="1"/>
        <v>0.51065625000000003</v>
      </c>
      <c r="D16" s="8">
        <f t="shared" si="2"/>
        <v>15.319687500000001</v>
      </c>
      <c r="E16" s="12">
        <f t="shared" si="3"/>
        <v>292.5</v>
      </c>
    </row>
    <row r="17" spans="1:6" x14ac:dyDescent="0.3">
      <c r="A17" s="10">
        <v>1.7500000000000002E-2</v>
      </c>
      <c r="B17" s="7">
        <f t="shared" si="0"/>
        <v>11.375000000000002</v>
      </c>
      <c r="C17" s="11">
        <f t="shared" si="1"/>
        <v>0.59576562500000008</v>
      </c>
      <c r="D17" s="8">
        <f t="shared" si="2"/>
        <v>17.872968750000002</v>
      </c>
      <c r="E17" s="12">
        <f t="shared" si="3"/>
        <v>341.25000000000006</v>
      </c>
      <c r="F17" s="11"/>
    </row>
    <row r="18" spans="1:6" x14ac:dyDescent="0.3">
      <c r="A18" s="10">
        <v>0.02</v>
      </c>
      <c r="B18" s="7">
        <f t="shared" si="0"/>
        <v>13</v>
      </c>
      <c r="C18" s="11">
        <f t="shared" si="1"/>
        <v>0.68087500000000001</v>
      </c>
      <c r="D18" s="8">
        <f t="shared" si="2"/>
        <v>20.42625</v>
      </c>
      <c r="E18" s="12">
        <f t="shared" si="3"/>
        <v>390</v>
      </c>
    </row>
    <row r="19" spans="1:6" x14ac:dyDescent="0.3">
      <c r="A19" s="10">
        <v>2.1999999999999999E-2</v>
      </c>
      <c r="B19" s="7">
        <f t="shared" si="0"/>
        <v>14.299999999999999</v>
      </c>
      <c r="C19" s="11">
        <f t="shared" si="1"/>
        <v>0.74896249999999986</v>
      </c>
      <c r="D19" s="8">
        <f t="shared" si="2"/>
        <v>22.468874999999997</v>
      </c>
      <c r="E19" s="12">
        <f t="shared" si="3"/>
        <v>428.99999999999994</v>
      </c>
    </row>
    <row r="20" spans="1:6" x14ac:dyDescent="0.3">
      <c r="A20" s="10">
        <v>2.5000000000000001E-2</v>
      </c>
      <c r="B20" s="7">
        <f t="shared" si="0"/>
        <v>16.25</v>
      </c>
      <c r="C20" s="11">
        <f t="shared" si="1"/>
        <v>0.85109374999999998</v>
      </c>
      <c r="D20" s="8">
        <f t="shared" si="2"/>
        <v>25.532812499999999</v>
      </c>
      <c r="E20" s="12">
        <f t="shared" si="3"/>
        <v>487.5</v>
      </c>
    </row>
  </sheetData>
  <phoneticPr fontId="13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B2:K20"/>
  <sheetViews>
    <sheetView workbookViewId="0">
      <selection activeCell="I13" sqref="I13:K13"/>
    </sheetView>
  </sheetViews>
  <sheetFormatPr defaultColWidth="8.42578125" defaultRowHeight="15" x14ac:dyDescent="0.3"/>
  <cols>
    <col min="1" max="1" width="1" style="154" customWidth="1"/>
    <col min="2" max="2" width="5" style="154" customWidth="1"/>
    <col min="3" max="3" width="8.42578125" style="154" customWidth="1"/>
    <col min="4" max="4" width="18.7109375" style="154" customWidth="1"/>
    <col min="5" max="5" width="8.5703125" style="154" customWidth="1"/>
    <col min="6" max="6" width="10.85546875" style="154" customWidth="1"/>
    <col min="7" max="8" width="12.7109375" style="154" customWidth="1"/>
    <col min="9" max="16384" width="8.42578125" style="154"/>
  </cols>
  <sheetData>
    <row r="2" spans="2:11" x14ac:dyDescent="0.3">
      <c r="I2" s="232" t="s">
        <v>313</v>
      </c>
      <c r="J2" s="232"/>
      <c r="K2" s="232"/>
    </row>
    <row r="3" spans="2:11" x14ac:dyDescent="0.3">
      <c r="B3" s="193" t="s">
        <v>314</v>
      </c>
      <c r="C3" s="193"/>
      <c r="D3" s="193"/>
      <c r="E3" s="193"/>
      <c r="F3" s="193"/>
      <c r="G3" s="193"/>
      <c r="H3" s="193"/>
    </row>
    <row r="5" spans="2:11" x14ac:dyDescent="0.3">
      <c r="B5" s="155" t="s">
        <v>7</v>
      </c>
      <c r="C5" s="155"/>
      <c r="D5" s="155"/>
      <c r="E5" s="156" t="s">
        <v>215</v>
      </c>
      <c r="F5" s="156" t="s">
        <v>180</v>
      </c>
      <c r="G5" s="156" t="s">
        <v>177</v>
      </c>
      <c r="H5" s="156" t="s">
        <v>79</v>
      </c>
    </row>
    <row r="6" spans="2:11" x14ac:dyDescent="0.3">
      <c r="H6" s="154" t="s">
        <v>60</v>
      </c>
    </row>
    <row r="7" spans="2:11" x14ac:dyDescent="0.3">
      <c r="B7" s="205" t="s">
        <v>337</v>
      </c>
      <c r="C7" s="205"/>
      <c r="D7" s="205"/>
      <c r="E7" s="154" t="s">
        <v>98</v>
      </c>
      <c r="F7" s="154">
        <f>+Main!F36</f>
        <v>4</v>
      </c>
      <c r="G7" s="157">
        <v>0.5</v>
      </c>
      <c r="H7" s="157">
        <f>F7*G7</f>
        <v>2</v>
      </c>
    </row>
    <row r="8" spans="2:11" x14ac:dyDescent="0.3">
      <c r="B8" s="205" t="s">
        <v>319</v>
      </c>
      <c r="C8" s="205"/>
      <c r="D8" s="205"/>
      <c r="E8" s="154" t="s">
        <v>157</v>
      </c>
      <c r="F8" s="154">
        <v>100</v>
      </c>
      <c r="G8" s="157">
        <v>1.85</v>
      </c>
      <c r="H8" s="157">
        <f>+G8*F8/34</f>
        <v>5.4411764705882355</v>
      </c>
    </row>
    <row r="9" spans="2:11" x14ac:dyDescent="0.3">
      <c r="G9" s="157"/>
      <c r="H9" s="157"/>
    </row>
    <row r="10" spans="2:11" x14ac:dyDescent="0.3">
      <c r="B10" s="158" t="s">
        <v>210</v>
      </c>
      <c r="C10" s="158"/>
      <c r="D10" s="158"/>
      <c r="E10" s="158"/>
      <c r="F10" s="158"/>
      <c r="G10" s="159"/>
      <c r="H10" s="159">
        <f>SUM(H7:H8)</f>
        <v>7.4411764705882355</v>
      </c>
    </row>
    <row r="11" spans="2:11" x14ac:dyDescent="0.3">
      <c r="B11" s="158"/>
      <c r="C11" s="158"/>
      <c r="D11" s="158"/>
      <c r="E11" s="158"/>
      <c r="F11" s="158"/>
      <c r="G11" s="159"/>
      <c r="H11" s="159"/>
    </row>
    <row r="12" spans="2:11" x14ac:dyDescent="0.3">
      <c r="B12" s="158"/>
      <c r="C12" s="158"/>
      <c r="D12" s="158"/>
      <c r="E12" s="158"/>
      <c r="F12" s="158"/>
      <c r="G12" s="159"/>
      <c r="H12" s="159"/>
    </row>
    <row r="13" spans="2:11" x14ac:dyDescent="0.3">
      <c r="B13" s="193" t="s">
        <v>315</v>
      </c>
      <c r="C13" s="193"/>
      <c r="D13" s="193"/>
      <c r="E13" s="193"/>
      <c r="F13" s="193"/>
      <c r="G13" s="193"/>
      <c r="H13" s="193"/>
      <c r="I13" s="232" t="s">
        <v>313</v>
      </c>
      <c r="J13" s="232"/>
      <c r="K13" s="232"/>
    </row>
    <row r="15" spans="2:11" x14ac:dyDescent="0.3">
      <c r="B15" s="155" t="s">
        <v>7</v>
      </c>
      <c r="C15" s="155"/>
      <c r="D15" s="155"/>
      <c r="E15" s="156" t="s">
        <v>215</v>
      </c>
      <c r="F15" s="156" t="s">
        <v>180</v>
      </c>
      <c r="G15" s="156" t="s">
        <v>177</v>
      </c>
      <c r="H15" s="156" t="s">
        <v>79</v>
      </c>
    </row>
    <row r="16" spans="2:11" x14ac:dyDescent="0.3">
      <c r="B16" s="205" t="s">
        <v>316</v>
      </c>
      <c r="C16" s="205"/>
      <c r="D16" s="205"/>
      <c r="E16" s="160" t="s">
        <v>70</v>
      </c>
      <c r="F16" s="161">
        <f>+Main!H29*Main!H30</f>
        <v>928</v>
      </c>
      <c r="G16" s="162">
        <v>0.02</v>
      </c>
      <c r="H16" s="161">
        <f>+G16*F16</f>
        <v>18.559999999999999</v>
      </c>
    </row>
    <row r="17" spans="2:8" x14ac:dyDescent="0.3">
      <c r="B17" s="205" t="s">
        <v>317</v>
      </c>
      <c r="C17" s="205"/>
      <c r="D17" s="205"/>
      <c r="E17" s="160" t="s">
        <v>318</v>
      </c>
      <c r="F17" s="154">
        <v>1</v>
      </c>
      <c r="G17" s="163">
        <v>1</v>
      </c>
      <c r="H17" s="161">
        <f>+G17*F17</f>
        <v>1</v>
      </c>
    </row>
    <row r="18" spans="2:8" x14ac:dyDescent="0.3">
      <c r="B18" s="205" t="s">
        <v>319</v>
      </c>
      <c r="C18" s="205"/>
      <c r="D18" s="205"/>
      <c r="E18" s="154" t="s">
        <v>336</v>
      </c>
      <c r="F18" s="154">
        <v>100</v>
      </c>
      <c r="G18" s="163">
        <v>1.85</v>
      </c>
      <c r="H18" s="157">
        <f>+G18*F18/24</f>
        <v>7.708333333333333</v>
      </c>
    </row>
    <row r="19" spans="2:8" x14ac:dyDescent="0.3">
      <c r="B19" s="231"/>
      <c r="C19" s="231"/>
      <c r="D19" s="231"/>
    </row>
    <row r="20" spans="2:8" x14ac:dyDescent="0.3">
      <c r="B20" s="210" t="s">
        <v>320</v>
      </c>
      <c r="C20" s="210"/>
      <c r="D20" s="210"/>
      <c r="E20" s="158"/>
      <c r="F20" s="158"/>
      <c r="G20" s="158"/>
      <c r="H20" s="164">
        <f>+SUM(H16:H18)</f>
        <v>27.268333333333331</v>
      </c>
    </row>
  </sheetData>
  <mergeCells count="11">
    <mergeCell ref="B7:D7"/>
    <mergeCell ref="B17:D17"/>
    <mergeCell ref="B18:D18"/>
    <mergeCell ref="B19:D19"/>
    <mergeCell ref="B20:D20"/>
    <mergeCell ref="I2:K2"/>
    <mergeCell ref="B16:D16"/>
    <mergeCell ref="B3:H3"/>
    <mergeCell ref="B13:H13"/>
    <mergeCell ref="I13:K13"/>
    <mergeCell ref="B8:D8"/>
  </mergeCells>
  <phoneticPr fontId="0" type="noConversion"/>
  <hyperlinks>
    <hyperlink ref="I2:K2" location="Main!A36" display="Return to Main Budget"/>
    <hyperlink ref="I13:K13" location="Main!A49" display="Return to Main Budget"/>
  </hyperlinks>
  <printOptions horizontalCentered="1"/>
  <pageMargins left="0.75" right="0.75" top="1" bottom="1" header="0.5" footer="0.5"/>
  <headerFooter alignWithMargins="0">
    <oddHeader>&amp;L&amp;"Arial"&amp;10@&amp;C&amp;"Arial"&amp;10 Total Cost Budget&amp;R&amp;"Arial"&amp;10 Page &amp;N+1</oddHeader>
    <oddFooter>&amp;C&amp;"Arial"&amp;10Extension Ag Econ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3:J46"/>
  <sheetViews>
    <sheetView workbookViewId="0">
      <selection activeCell="B3" sqref="B3:J47"/>
    </sheetView>
  </sheetViews>
  <sheetFormatPr defaultColWidth="8.42578125" defaultRowHeight="12.75" x14ac:dyDescent="0.2"/>
  <cols>
    <col min="1" max="1" width="1.140625" style="6" customWidth="1"/>
    <col min="2" max="2" width="9.28515625" style="6" customWidth="1"/>
    <col min="3" max="3" width="4.140625" style="6" customWidth="1"/>
    <col min="4" max="4" width="11.42578125" style="6" customWidth="1"/>
    <col min="5" max="5" width="9.28515625" style="6" customWidth="1"/>
    <col min="6" max="10" width="12.7109375" style="6" customWidth="1"/>
    <col min="11" max="16384" width="8.42578125" style="6"/>
  </cols>
  <sheetData>
    <row r="3" spans="2:10" x14ac:dyDescent="0.2">
      <c r="B3" s="15" t="s">
        <v>136</v>
      </c>
      <c r="C3" s="15"/>
      <c r="D3" s="15"/>
      <c r="E3" s="15"/>
      <c r="F3" s="15"/>
      <c r="G3" s="15"/>
      <c r="H3" s="15"/>
      <c r="I3" s="15"/>
      <c r="J3" s="15"/>
    </row>
    <row r="4" spans="2:10" x14ac:dyDescent="0.2">
      <c r="B4" s="25" t="s">
        <v>72</v>
      </c>
      <c r="C4" s="25"/>
      <c r="D4" s="25"/>
      <c r="E4" s="28"/>
      <c r="F4" s="25"/>
      <c r="G4" s="25"/>
      <c r="H4" s="25"/>
      <c r="I4" s="25"/>
      <c r="J4" s="25"/>
    </row>
    <row r="6" spans="2:10" x14ac:dyDescent="0.2">
      <c r="D6" s="228" t="s">
        <v>163</v>
      </c>
      <c r="E6" s="228"/>
      <c r="F6" s="228"/>
      <c r="G6" s="30">
        <v>130</v>
      </c>
    </row>
    <row r="7" spans="2:10" x14ac:dyDescent="0.2">
      <c r="D7" s="228" t="s">
        <v>162</v>
      </c>
      <c r="E7" s="228"/>
      <c r="F7" s="228"/>
      <c r="G7" s="30">
        <v>100</v>
      </c>
      <c r="J7" s="27" t="s">
        <v>263</v>
      </c>
    </row>
    <row r="8" spans="2:10" x14ac:dyDescent="0.2">
      <c r="D8" s="228" t="s">
        <v>135</v>
      </c>
      <c r="E8" s="228"/>
      <c r="F8" s="228"/>
      <c r="G8" s="111">
        <v>0.08</v>
      </c>
    </row>
    <row r="10" spans="2:10" x14ac:dyDescent="0.2">
      <c r="B10" s="15"/>
      <c r="C10" s="15"/>
      <c r="D10" s="15" t="s">
        <v>71</v>
      </c>
      <c r="E10" s="15"/>
      <c r="F10" s="20"/>
      <c r="G10" s="20" t="s">
        <v>184</v>
      </c>
      <c r="H10" s="20" t="s">
        <v>222</v>
      </c>
      <c r="I10" s="20" t="s">
        <v>84</v>
      </c>
      <c r="J10" s="20"/>
    </row>
    <row r="11" spans="2:10" x14ac:dyDescent="0.2">
      <c r="B11" s="15" t="s">
        <v>26</v>
      </c>
      <c r="C11" s="15"/>
      <c r="D11" s="15" t="s">
        <v>194</v>
      </c>
      <c r="E11" s="15"/>
      <c r="F11" s="20" t="s">
        <v>96</v>
      </c>
      <c r="G11" s="20" t="s">
        <v>216</v>
      </c>
      <c r="H11" s="20" t="s">
        <v>142</v>
      </c>
      <c r="I11" s="20" t="s">
        <v>103</v>
      </c>
      <c r="J11" s="20" t="s">
        <v>197</v>
      </c>
    </row>
    <row r="12" spans="2:10" x14ac:dyDescent="0.2">
      <c r="B12" s="6" t="s">
        <v>91</v>
      </c>
      <c r="E12" s="6" t="s">
        <v>9</v>
      </c>
      <c r="H12" s="21" t="s">
        <v>10</v>
      </c>
      <c r="I12" s="21" t="s">
        <v>62</v>
      </c>
    </row>
    <row r="13" spans="2:10" x14ac:dyDescent="0.2">
      <c r="B13" s="6" t="s">
        <v>120</v>
      </c>
      <c r="E13" s="17">
        <v>1</v>
      </c>
      <c r="F13" s="19">
        <f>1.8*1800</f>
        <v>3240</v>
      </c>
      <c r="G13" s="19">
        <v>0</v>
      </c>
      <c r="H13" s="26">
        <v>15</v>
      </c>
      <c r="I13" s="19">
        <f t="shared" ref="I13:I19" si="0">IF(F13&gt;0,E13*(F13-G13)/H13,0)</f>
        <v>216</v>
      </c>
      <c r="J13" s="19"/>
    </row>
    <row r="14" spans="2:10" x14ac:dyDescent="0.2">
      <c r="B14" s="6" t="s">
        <v>95</v>
      </c>
      <c r="E14" s="17">
        <v>1</v>
      </c>
      <c r="F14" s="19">
        <v>2200</v>
      </c>
      <c r="G14" s="19">
        <v>0</v>
      </c>
      <c r="H14" s="26">
        <v>10</v>
      </c>
      <c r="I14" s="19">
        <f t="shared" si="0"/>
        <v>220</v>
      </c>
      <c r="J14" s="19"/>
    </row>
    <row r="15" spans="2:10" x14ac:dyDescent="0.2">
      <c r="B15" s="6" t="s">
        <v>115</v>
      </c>
      <c r="E15" s="17">
        <v>1</v>
      </c>
      <c r="F15" s="19">
        <v>2070</v>
      </c>
      <c r="G15" s="19">
        <v>0</v>
      </c>
      <c r="H15" s="26">
        <v>10</v>
      </c>
      <c r="I15" s="19">
        <f t="shared" si="0"/>
        <v>207</v>
      </c>
      <c r="J15" s="19"/>
    </row>
    <row r="16" spans="2:10" x14ac:dyDescent="0.2">
      <c r="B16" s="6" t="s">
        <v>159</v>
      </c>
      <c r="E16" s="17">
        <v>1</v>
      </c>
      <c r="F16" s="19">
        <v>500</v>
      </c>
      <c r="G16" s="19">
        <v>0</v>
      </c>
      <c r="H16" s="26">
        <v>10</v>
      </c>
      <c r="I16" s="19">
        <f t="shared" si="0"/>
        <v>50</v>
      </c>
      <c r="J16" s="19"/>
    </row>
    <row r="17" spans="2:10" x14ac:dyDescent="0.2">
      <c r="B17" s="6" t="s">
        <v>171</v>
      </c>
      <c r="E17" s="17">
        <v>0</v>
      </c>
      <c r="F17" s="19">
        <v>0</v>
      </c>
      <c r="G17" s="19">
        <v>0</v>
      </c>
      <c r="H17" s="26">
        <v>0</v>
      </c>
      <c r="I17" s="19">
        <f t="shared" si="0"/>
        <v>0</v>
      </c>
      <c r="J17" s="19"/>
    </row>
    <row r="18" spans="2:10" x14ac:dyDescent="0.2">
      <c r="B18" s="6" t="s">
        <v>171</v>
      </c>
      <c r="E18" s="17">
        <v>0</v>
      </c>
      <c r="F18" s="19">
        <v>0</v>
      </c>
      <c r="G18" s="19">
        <v>0</v>
      </c>
      <c r="H18" s="26">
        <v>0</v>
      </c>
      <c r="I18" s="19">
        <f t="shared" si="0"/>
        <v>0</v>
      </c>
      <c r="J18" s="19"/>
    </row>
    <row r="19" spans="2:10" x14ac:dyDescent="0.2">
      <c r="B19" s="6" t="s">
        <v>171</v>
      </c>
      <c r="E19" s="17">
        <v>0</v>
      </c>
      <c r="F19" s="19">
        <v>0</v>
      </c>
      <c r="G19" s="19">
        <v>0</v>
      </c>
      <c r="H19" s="26">
        <v>0</v>
      </c>
      <c r="I19" s="19">
        <f t="shared" si="0"/>
        <v>0</v>
      </c>
      <c r="J19" s="19"/>
    </row>
    <row r="20" spans="2:10" x14ac:dyDescent="0.2">
      <c r="B20" s="6" t="s">
        <v>151</v>
      </c>
      <c r="F20" s="19"/>
      <c r="G20" s="19"/>
      <c r="I20" s="19"/>
      <c r="J20" s="19"/>
    </row>
    <row r="21" spans="2:10" x14ac:dyDescent="0.2">
      <c r="B21" s="6" t="s">
        <v>214</v>
      </c>
      <c r="E21" s="17">
        <v>0.08</v>
      </c>
      <c r="F21" s="19">
        <v>25000</v>
      </c>
      <c r="G21" s="19">
        <v>10000</v>
      </c>
      <c r="H21" s="26">
        <v>10</v>
      </c>
      <c r="I21" s="19">
        <f t="shared" ref="I21:I27" si="1">IF(F21&gt;0,E21*(F21-G21)/H21,0)</f>
        <v>120</v>
      </c>
      <c r="J21" s="19"/>
    </row>
    <row r="22" spans="2:10" x14ac:dyDescent="0.2">
      <c r="B22" s="6" t="s">
        <v>123</v>
      </c>
      <c r="E22" s="17">
        <v>1</v>
      </c>
      <c r="F22" s="19">
        <v>5000</v>
      </c>
      <c r="G22" s="19">
        <v>1000</v>
      </c>
      <c r="H22" s="26">
        <v>10</v>
      </c>
      <c r="I22" s="19">
        <f t="shared" si="1"/>
        <v>400</v>
      </c>
      <c r="J22" s="19"/>
    </row>
    <row r="23" spans="2:10" x14ac:dyDescent="0.2">
      <c r="B23" s="6" t="s">
        <v>105</v>
      </c>
      <c r="E23" s="17">
        <v>0.25</v>
      </c>
      <c r="F23" s="19">
        <v>6500</v>
      </c>
      <c r="G23" s="19">
        <f>0.2*F23</f>
        <v>1300</v>
      </c>
      <c r="H23" s="26">
        <v>10</v>
      </c>
      <c r="I23" s="19">
        <f t="shared" si="1"/>
        <v>130</v>
      </c>
      <c r="J23" s="19"/>
    </row>
    <row r="24" spans="2:10" x14ac:dyDescent="0.2">
      <c r="B24" s="6" t="s">
        <v>176</v>
      </c>
      <c r="E24" s="17">
        <v>0.25</v>
      </c>
      <c r="F24" s="19">
        <v>7000</v>
      </c>
      <c r="G24" s="19">
        <f>0.2*F24</f>
        <v>1400</v>
      </c>
      <c r="H24" s="26">
        <v>10</v>
      </c>
      <c r="I24" s="19">
        <f t="shared" si="1"/>
        <v>140</v>
      </c>
      <c r="J24" s="19"/>
    </row>
    <row r="25" spans="2:10" x14ac:dyDescent="0.2">
      <c r="B25" s="6" t="s">
        <v>172</v>
      </c>
      <c r="E25" s="17">
        <v>0</v>
      </c>
      <c r="F25" s="19">
        <v>0</v>
      </c>
      <c r="G25" s="19">
        <v>0</v>
      </c>
      <c r="H25" s="26">
        <v>0</v>
      </c>
      <c r="I25" s="19">
        <f t="shared" si="1"/>
        <v>0</v>
      </c>
      <c r="J25" s="19"/>
    </row>
    <row r="26" spans="2:10" x14ac:dyDescent="0.2">
      <c r="B26" s="6" t="s">
        <v>171</v>
      </c>
      <c r="E26" s="17">
        <v>0</v>
      </c>
      <c r="F26" s="19">
        <v>0</v>
      </c>
      <c r="G26" s="19">
        <v>0</v>
      </c>
      <c r="H26" s="26">
        <v>0</v>
      </c>
      <c r="I26" s="19">
        <f t="shared" si="1"/>
        <v>0</v>
      </c>
      <c r="J26" s="19"/>
    </row>
    <row r="27" spans="2:10" x14ac:dyDescent="0.2">
      <c r="B27" s="6" t="s">
        <v>139</v>
      </c>
      <c r="E27" s="17">
        <v>0</v>
      </c>
      <c r="F27" s="19">
        <v>50000</v>
      </c>
      <c r="G27" s="19">
        <v>50000</v>
      </c>
      <c r="H27" s="26">
        <v>30</v>
      </c>
      <c r="I27" s="19">
        <f t="shared" si="1"/>
        <v>0</v>
      </c>
      <c r="J27" s="19"/>
    </row>
    <row r="28" spans="2:10" x14ac:dyDescent="0.2">
      <c r="F28" s="19"/>
      <c r="G28" s="19"/>
      <c r="I28" s="19"/>
      <c r="J28" s="19"/>
    </row>
    <row r="29" spans="2:10" x14ac:dyDescent="0.2">
      <c r="F29" s="19"/>
      <c r="G29" s="19"/>
      <c r="I29" s="19"/>
      <c r="J29" s="19"/>
    </row>
    <row r="30" spans="2:10" x14ac:dyDescent="0.2">
      <c r="B30" s="6" t="s">
        <v>204</v>
      </c>
      <c r="F30" s="19">
        <f>+F13*E13+F14*E14+F15*E15+F16*E16+F17*E17+F18*E18+F19*E19</f>
        <v>8010</v>
      </c>
      <c r="G30" s="19">
        <f>+G13*E13+G14*E14+G15*E15+G16*E16+E17*G17+E18*G18+E19*G19</f>
        <v>0</v>
      </c>
      <c r="I30" s="19"/>
      <c r="J30" s="19"/>
    </row>
    <row r="31" spans="2:10" x14ac:dyDescent="0.2">
      <c r="B31" s="6" t="s">
        <v>209</v>
      </c>
      <c r="F31" s="19">
        <f>+F21*E21+F22*E22+F23*E23+F24*E24+F25*E25+F26*E26+F27*E27</f>
        <v>10375</v>
      </c>
      <c r="G31" s="19">
        <f>+G21*E21+G22*E22+G23*E23+G24*E24+G25*E25+G26*E26+G27*E27</f>
        <v>2475</v>
      </c>
      <c r="I31" s="19"/>
      <c r="J31" s="19"/>
    </row>
    <row r="32" spans="2:10" x14ac:dyDescent="0.2">
      <c r="I32" s="19"/>
      <c r="J32" s="19"/>
    </row>
    <row r="33" spans="2:10" x14ac:dyDescent="0.2">
      <c r="B33" s="6" t="s">
        <v>203</v>
      </c>
      <c r="I33" s="19"/>
      <c r="J33" s="38">
        <f>SUM(I13:I19)</f>
        <v>693</v>
      </c>
    </row>
    <row r="34" spans="2:10" x14ac:dyDescent="0.2">
      <c r="B34" s="6" t="s">
        <v>208</v>
      </c>
      <c r="I34" s="19"/>
      <c r="J34" s="38">
        <f>SUM(I21:I27)</f>
        <v>790</v>
      </c>
    </row>
    <row r="35" spans="2:10" x14ac:dyDescent="0.2">
      <c r="I35" s="19"/>
      <c r="J35" s="38"/>
    </row>
    <row r="36" spans="2:10" x14ac:dyDescent="0.2">
      <c r="B36" s="6" t="s">
        <v>132</v>
      </c>
      <c r="I36" s="19"/>
      <c r="J36" s="38">
        <f>AVERAGE(F30:G30)*G8</f>
        <v>320.40000000000003</v>
      </c>
    </row>
    <row r="37" spans="2:10" x14ac:dyDescent="0.2">
      <c r="B37" s="6" t="s">
        <v>133</v>
      </c>
      <c r="I37" s="19"/>
      <c r="J37" s="38">
        <f>AVERAGE(F31:G31)*G8</f>
        <v>514</v>
      </c>
    </row>
    <row r="38" spans="2:10" x14ac:dyDescent="0.2">
      <c r="I38" s="19"/>
      <c r="J38" s="38"/>
    </row>
    <row r="39" spans="2:10" x14ac:dyDescent="0.2">
      <c r="B39" s="39" t="s">
        <v>90</v>
      </c>
      <c r="C39" s="39"/>
      <c r="D39" s="39"/>
      <c r="E39" s="39"/>
      <c r="F39" s="39" t="s">
        <v>63</v>
      </c>
      <c r="G39" s="39"/>
      <c r="H39" s="39">
        <v>1.4E-2</v>
      </c>
      <c r="I39" s="112"/>
      <c r="J39" s="40">
        <f>AVERAGE(F30:G30)*H39</f>
        <v>56.07</v>
      </c>
    </row>
    <row r="40" spans="2:10" x14ac:dyDescent="0.2">
      <c r="B40" s="39" t="s">
        <v>150</v>
      </c>
      <c r="C40" s="39"/>
      <c r="D40" s="39"/>
      <c r="E40" s="39"/>
      <c r="F40" s="39" t="s">
        <v>63</v>
      </c>
      <c r="G40" s="39"/>
      <c r="H40" s="39">
        <v>1.4E-2</v>
      </c>
      <c r="I40" s="112"/>
      <c r="J40" s="40">
        <f>AVERAGE(F31:G31)*H40</f>
        <v>89.95</v>
      </c>
    </row>
    <row r="41" spans="2:10" x14ac:dyDescent="0.2">
      <c r="I41" s="19"/>
      <c r="J41" s="38"/>
    </row>
    <row r="42" spans="2:10" x14ac:dyDescent="0.2">
      <c r="B42" s="6" t="s">
        <v>199</v>
      </c>
      <c r="I42" s="19"/>
      <c r="J42" s="38">
        <f>SUM(J33:J40)</f>
        <v>2463.42</v>
      </c>
    </row>
    <row r="43" spans="2:10" x14ac:dyDescent="0.2">
      <c r="I43" s="19"/>
      <c r="J43" s="38"/>
    </row>
    <row r="44" spans="2:10" ht="25.5" x14ac:dyDescent="0.2">
      <c r="I44" s="114" t="s">
        <v>330</v>
      </c>
      <c r="J44" s="38" t="s">
        <v>247</v>
      </c>
    </row>
    <row r="45" spans="2:10" x14ac:dyDescent="0.2">
      <c r="B45" s="6" t="s">
        <v>264</v>
      </c>
      <c r="I45" s="38">
        <f>+cattle_fixed/sold</f>
        <v>10.802727272727273</v>
      </c>
      <c r="J45" s="38">
        <f>SUM(J33,J36,J39)</f>
        <v>1069.47</v>
      </c>
    </row>
    <row r="46" spans="2:10" x14ac:dyDescent="0.2">
      <c r="B46" s="6" t="s">
        <v>202</v>
      </c>
      <c r="I46" s="38">
        <f>+mach_fixed/ACRES</f>
        <v>27.879000000000001</v>
      </c>
      <c r="J46" s="38">
        <f>SUM(J34,J37,J40)</f>
        <v>1393.95</v>
      </c>
    </row>
  </sheetData>
  <mergeCells count="3">
    <mergeCell ref="D7:F7"/>
    <mergeCell ref="D8:F8"/>
    <mergeCell ref="D6:F6"/>
  </mergeCells>
  <phoneticPr fontId="0" type="noConversion"/>
  <hyperlinks>
    <hyperlink ref="J7" location="Main!B45" display="Return to Budget"/>
  </hyperlinks>
  <printOptions horizontalCentered="1"/>
  <pageMargins left="0.75" right="0.75" top="1" bottom="1" header="0.5" footer="0.5"/>
  <pageSetup scale="84" fitToHeight="0" orientation="portrait" r:id="rId1"/>
  <headerFooter alignWithMargins="0">
    <oddHeader>&amp;C Total Cost Budget</oddHeader>
    <oddFooter>&amp;CUGA Extension Agricultural and Applied Economics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pageSetUpPr fitToPage="1"/>
  </sheetPr>
  <dimension ref="B2:J42"/>
  <sheetViews>
    <sheetView workbookViewId="0">
      <selection activeCell="B3" sqref="B3:J43"/>
    </sheetView>
  </sheetViews>
  <sheetFormatPr defaultColWidth="8.42578125" defaultRowHeight="12.75" x14ac:dyDescent="0.2"/>
  <cols>
    <col min="1" max="1" width="0.85546875" style="6" customWidth="1"/>
    <col min="2" max="4" width="9.28515625" style="6" customWidth="1"/>
    <col min="5" max="10" width="12.7109375" style="6" customWidth="1"/>
    <col min="11" max="16384" width="8.42578125" style="6"/>
  </cols>
  <sheetData>
    <row r="2" spans="2:10" x14ac:dyDescent="0.2">
      <c r="B2" s="233" t="s">
        <v>263</v>
      </c>
      <c r="C2" s="233"/>
      <c r="D2" s="233"/>
    </row>
    <row r="3" spans="2:10" x14ac:dyDescent="0.2">
      <c r="B3" s="15" t="s">
        <v>80</v>
      </c>
      <c r="C3" s="15"/>
      <c r="D3" s="15"/>
      <c r="E3" s="15"/>
      <c r="F3" s="15"/>
      <c r="G3" s="15"/>
      <c r="H3" s="15"/>
      <c r="I3" s="15"/>
      <c r="J3" s="15"/>
    </row>
    <row r="4" spans="2:10" x14ac:dyDescent="0.2">
      <c r="B4" s="28" t="s">
        <v>93</v>
      </c>
      <c r="C4" s="15"/>
      <c r="D4" s="15"/>
      <c r="E4" s="29"/>
      <c r="F4" s="15"/>
      <c r="G4" s="15"/>
      <c r="H4" s="15"/>
      <c r="I4" s="15"/>
      <c r="J4" s="15"/>
    </row>
    <row r="5" spans="2:10" x14ac:dyDescent="0.2">
      <c r="B5" s="228"/>
      <c r="C5" s="228"/>
      <c r="D5" s="228"/>
    </row>
    <row r="6" spans="2:10" x14ac:dyDescent="0.2">
      <c r="E6" s="6" t="s">
        <v>162</v>
      </c>
      <c r="G6" s="30">
        <v>100</v>
      </c>
    </row>
    <row r="7" spans="2:10" x14ac:dyDescent="0.2">
      <c r="E7" s="6" t="s">
        <v>164</v>
      </c>
      <c r="G7" s="31">
        <f>+sold</f>
        <v>99</v>
      </c>
    </row>
    <row r="10" spans="2:10" x14ac:dyDescent="0.2">
      <c r="B10" s="6" t="s">
        <v>102</v>
      </c>
    </row>
    <row r="11" spans="2:10" x14ac:dyDescent="0.2">
      <c r="B11" s="6" t="s">
        <v>74</v>
      </c>
    </row>
    <row r="12" spans="2:10" x14ac:dyDescent="0.2">
      <c r="B12" s="15"/>
      <c r="C12" s="15"/>
      <c r="D12" s="20" t="s">
        <v>0</v>
      </c>
      <c r="E12" s="20" t="s">
        <v>215</v>
      </c>
      <c r="F12" s="20" t="s">
        <v>197</v>
      </c>
      <c r="G12" s="15" t="s">
        <v>13</v>
      </c>
      <c r="H12" s="15"/>
      <c r="I12" s="15"/>
      <c r="J12" s="15"/>
    </row>
    <row r="13" spans="2:10" x14ac:dyDescent="0.2">
      <c r="B13" s="15" t="s">
        <v>137</v>
      </c>
      <c r="C13" s="15"/>
      <c r="D13" s="20" t="s">
        <v>165</v>
      </c>
      <c r="E13" s="20" t="s">
        <v>96</v>
      </c>
      <c r="F13" s="20" t="s">
        <v>96</v>
      </c>
      <c r="G13" s="23" t="s">
        <v>79</v>
      </c>
      <c r="H13" s="23" t="s">
        <v>221</v>
      </c>
      <c r="I13" s="20" t="s">
        <v>131</v>
      </c>
      <c r="J13" s="20" t="s">
        <v>173</v>
      </c>
    </row>
    <row r="14" spans="2:10" x14ac:dyDescent="0.2">
      <c r="B14" s="6" t="s">
        <v>24</v>
      </c>
    </row>
    <row r="15" spans="2:10" x14ac:dyDescent="0.2">
      <c r="B15" s="6" t="s">
        <v>119</v>
      </c>
      <c r="D15" s="6">
        <v>1.8</v>
      </c>
      <c r="E15" s="19">
        <v>1800</v>
      </c>
      <c r="F15" s="19">
        <f>D15*E15</f>
        <v>3240</v>
      </c>
      <c r="G15" s="17">
        <v>0.5</v>
      </c>
      <c r="H15" s="22">
        <v>7</v>
      </c>
      <c r="I15" s="32">
        <v>0.11</v>
      </c>
      <c r="J15" s="19">
        <f>PMT(I15,H15,-F15*G15)</f>
        <v>343.78873650915824</v>
      </c>
    </row>
    <row r="16" spans="2:10" x14ac:dyDescent="0.2">
      <c r="B16" s="6" t="s">
        <v>94</v>
      </c>
      <c r="E16" s="19" t="s">
        <v>0</v>
      </c>
      <c r="F16" s="19" t="s">
        <v>0</v>
      </c>
      <c r="G16" s="17" t="s">
        <v>0</v>
      </c>
      <c r="H16" s="22" t="s">
        <v>0</v>
      </c>
      <c r="I16" s="32" t="s">
        <v>0</v>
      </c>
      <c r="J16" s="19"/>
    </row>
    <row r="17" spans="2:10" x14ac:dyDescent="0.2">
      <c r="B17" s="6" t="s">
        <v>144</v>
      </c>
      <c r="E17" s="19" t="s">
        <v>0</v>
      </c>
      <c r="F17" s="19">
        <v>2200</v>
      </c>
      <c r="G17" s="17">
        <v>0.5</v>
      </c>
      <c r="H17" s="22">
        <v>7</v>
      </c>
      <c r="I17" s="32">
        <v>0.11</v>
      </c>
      <c r="J17" s="19">
        <f>PMT(I17,H17,-F17*G17)</f>
        <v>233.43679639510745</v>
      </c>
    </row>
    <row r="18" spans="2:10" x14ac:dyDescent="0.2">
      <c r="B18" s="6" t="s">
        <v>114</v>
      </c>
      <c r="E18" s="19" t="s">
        <v>0</v>
      </c>
      <c r="F18" s="19">
        <f>9*G7</f>
        <v>891</v>
      </c>
      <c r="G18" s="17">
        <v>0.5</v>
      </c>
      <c r="H18" s="22">
        <v>7</v>
      </c>
      <c r="I18" s="32">
        <v>0.11</v>
      </c>
      <c r="J18" s="19">
        <f>PMT(I18,H18,-F18*G18)</f>
        <v>94.541902540018526</v>
      </c>
    </row>
    <row r="19" spans="2:10" x14ac:dyDescent="0.2">
      <c r="B19" s="6" t="s">
        <v>124</v>
      </c>
      <c r="E19" s="19"/>
      <c r="F19" s="19">
        <v>7000</v>
      </c>
      <c r="G19" s="17">
        <v>0.5</v>
      </c>
      <c r="H19" s="22">
        <v>7</v>
      </c>
      <c r="I19" s="32">
        <v>0.11</v>
      </c>
      <c r="J19" s="19">
        <f>PMT(I19,H19,-F19*G19)</f>
        <v>742.75344307534192</v>
      </c>
    </row>
    <row r="20" spans="2:10" x14ac:dyDescent="0.2">
      <c r="B20" s="6" t="s">
        <v>122</v>
      </c>
      <c r="E20" s="19"/>
      <c r="F20" s="19">
        <v>2300</v>
      </c>
      <c r="G20" s="17">
        <v>0.5</v>
      </c>
      <c r="H20" s="22">
        <v>7</v>
      </c>
      <c r="I20" s="32">
        <v>0.11</v>
      </c>
      <c r="J20" s="19">
        <f>PMT(I20,H20,-F20*G20)</f>
        <v>244.04755986761234</v>
      </c>
    </row>
    <row r="21" spans="2:10" x14ac:dyDescent="0.2">
      <c r="B21" s="6" t="s">
        <v>158</v>
      </c>
      <c r="E21" s="19" t="s">
        <v>0</v>
      </c>
      <c r="F21" s="19">
        <v>400</v>
      </c>
      <c r="G21" s="17">
        <v>0.5</v>
      </c>
      <c r="H21" s="22">
        <v>7</v>
      </c>
      <c r="I21" s="32">
        <v>0.11</v>
      </c>
      <c r="J21" s="19">
        <f>PMT(I21,H21,-F21*G21)</f>
        <v>42.443053890019534</v>
      </c>
    </row>
    <row r="22" spans="2:10" x14ac:dyDescent="0.2">
      <c r="E22" s="19" t="s">
        <v>0</v>
      </c>
      <c r="F22" s="19" t="s">
        <v>0</v>
      </c>
      <c r="G22" s="17" t="s">
        <v>0</v>
      </c>
      <c r="H22" s="22" t="s">
        <v>0</v>
      </c>
      <c r="I22" s="32" t="s">
        <v>0</v>
      </c>
      <c r="J22" s="19"/>
    </row>
    <row r="23" spans="2:10" x14ac:dyDescent="0.2">
      <c r="B23" s="6" t="s">
        <v>139</v>
      </c>
      <c r="D23" s="6">
        <f>Main!F18</f>
        <v>50</v>
      </c>
      <c r="E23" s="19">
        <v>500</v>
      </c>
      <c r="F23" s="19">
        <f>D23*E23</f>
        <v>25000</v>
      </c>
      <c r="G23" s="17">
        <v>0</v>
      </c>
      <c r="H23" s="22">
        <v>30</v>
      </c>
      <c r="I23" s="32">
        <v>0.1</v>
      </c>
      <c r="J23" s="19">
        <f>PMT(I23,H23,-F23*G23)</f>
        <v>0</v>
      </c>
    </row>
    <row r="24" spans="2:10" x14ac:dyDescent="0.2">
      <c r="F24" s="18" t="s">
        <v>0</v>
      </c>
      <c r="G24" s="17" t="s">
        <v>0</v>
      </c>
      <c r="H24" s="22" t="s">
        <v>0</v>
      </c>
      <c r="I24" s="32" t="s">
        <v>0</v>
      </c>
      <c r="J24" s="19"/>
    </row>
    <row r="25" spans="2:10" x14ac:dyDescent="0.2">
      <c r="B25" s="23" t="s">
        <v>85</v>
      </c>
      <c r="C25" s="23"/>
      <c r="D25" s="23"/>
      <c r="E25" s="23"/>
      <c r="F25" s="23"/>
      <c r="G25" s="33" t="s">
        <v>0</v>
      </c>
      <c r="H25" s="34" t="s">
        <v>0</v>
      </c>
      <c r="I25" s="35" t="s">
        <v>0</v>
      </c>
      <c r="J25" s="24">
        <f>SUM(J15:J23)</f>
        <v>1701.011492277258</v>
      </c>
    </row>
    <row r="26" spans="2:10" x14ac:dyDescent="0.2">
      <c r="J26" s="19" t="s">
        <v>0</v>
      </c>
    </row>
    <row r="27" spans="2:10" x14ac:dyDescent="0.2">
      <c r="J27" s="19"/>
    </row>
    <row r="28" spans="2:10" x14ac:dyDescent="0.2">
      <c r="B28" s="15" t="s">
        <v>97</v>
      </c>
      <c r="C28" s="15"/>
      <c r="D28" s="15"/>
      <c r="E28" s="15"/>
      <c r="F28" s="15"/>
      <c r="G28" s="15"/>
      <c r="H28" s="15"/>
      <c r="I28" s="15"/>
      <c r="J28" s="36"/>
    </row>
    <row r="29" spans="2:10" x14ac:dyDescent="0.2">
      <c r="B29" s="25" t="s">
        <v>75</v>
      </c>
      <c r="C29" s="25"/>
      <c r="D29" s="25"/>
      <c r="E29" s="25"/>
      <c r="F29" s="25"/>
      <c r="G29" s="25"/>
      <c r="H29" s="25"/>
      <c r="I29" s="25"/>
      <c r="J29" s="37"/>
    </row>
    <row r="30" spans="2:10" x14ac:dyDescent="0.2">
      <c r="J30" s="19"/>
    </row>
    <row r="31" spans="2:10" x14ac:dyDescent="0.2">
      <c r="B31" s="6" t="s">
        <v>145</v>
      </c>
      <c r="J31" s="19">
        <v>0</v>
      </c>
    </row>
    <row r="32" spans="2:10" x14ac:dyDescent="0.2">
      <c r="B32" s="6" t="s">
        <v>146</v>
      </c>
      <c r="J32" s="19">
        <v>0</v>
      </c>
    </row>
    <row r="33" spans="2:10" x14ac:dyDescent="0.2">
      <c r="B33" s="6" t="s">
        <v>147</v>
      </c>
      <c r="J33" s="19">
        <v>0</v>
      </c>
    </row>
    <row r="34" spans="2:10" x14ac:dyDescent="0.2">
      <c r="B34" s="6" t="s">
        <v>148</v>
      </c>
      <c r="J34" s="19">
        <v>0</v>
      </c>
    </row>
    <row r="35" spans="2:10" x14ac:dyDescent="0.2">
      <c r="B35" s="6" t="s">
        <v>149</v>
      </c>
      <c r="J35" s="19">
        <v>0</v>
      </c>
    </row>
    <row r="36" spans="2:10" x14ac:dyDescent="0.2">
      <c r="J36" s="19"/>
    </row>
    <row r="37" spans="2:10" x14ac:dyDescent="0.2">
      <c r="E37" s="6" t="s">
        <v>198</v>
      </c>
      <c r="J37" s="38">
        <f>SUM(J25:J36)</f>
        <v>1701.011492277258</v>
      </c>
    </row>
    <row r="38" spans="2:10" x14ac:dyDescent="0.2">
      <c r="J38" s="38"/>
    </row>
    <row r="39" spans="2:10" x14ac:dyDescent="0.2">
      <c r="E39" s="39" t="s">
        <v>191</v>
      </c>
      <c r="F39" s="39"/>
      <c r="G39" s="39"/>
      <c r="H39" s="39"/>
      <c r="I39" s="39"/>
      <c r="J39" s="40">
        <f>+Fixed_Cost!J29</f>
        <v>0</v>
      </c>
    </row>
    <row r="40" spans="2:10" x14ac:dyDescent="0.2">
      <c r="J40" s="38"/>
    </row>
    <row r="41" spans="2:10" x14ac:dyDescent="0.2">
      <c r="E41" s="6" t="s">
        <v>200</v>
      </c>
      <c r="J41" s="38">
        <f>SUM(J37:J39)</f>
        <v>1701.011492277258</v>
      </c>
    </row>
    <row r="42" spans="2:10" x14ac:dyDescent="0.2">
      <c r="E42" s="6" t="s">
        <v>201</v>
      </c>
      <c r="J42" s="38">
        <f>+J41/G7</f>
        <v>17.181934265426847</v>
      </c>
    </row>
  </sheetData>
  <mergeCells count="2">
    <mergeCell ref="B2:D2"/>
    <mergeCell ref="B5:D5"/>
  </mergeCells>
  <phoneticPr fontId="0" type="noConversion"/>
  <hyperlinks>
    <hyperlink ref="B2:D2" location="Main!B50" display="Return to Budget"/>
  </hyperlinks>
  <printOptions horizontalCentered="1"/>
  <pageMargins left="0.75" right="0.75" top="1" bottom="1" header="0.5" footer="0.5"/>
  <pageSetup scale="86" fitToHeight="0" orientation="portrait" r:id="rId1"/>
  <headerFooter alignWithMargins="0">
    <oddHeader xml:space="preserve">&amp;CCash Flow Budget&amp;R </oddHeader>
    <oddFooter>&amp;CUGA Extension Agricultural and Applied Economics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"/>
  <sheetViews>
    <sheetView workbookViewId="0">
      <selection activeCell="H4" sqref="H4"/>
    </sheetView>
  </sheetViews>
  <sheetFormatPr defaultRowHeight="12.75" x14ac:dyDescent="0.2"/>
  <sheetData/>
  <phoneticPr fontId="0" type="noConversion"/>
  <printOptions horizontalCentered="1"/>
  <pageMargins left="0.75" right="0.75" top="1" bottom="1" header="0.5" footer="0.5"/>
  <headerFooter alignWithMargins="0">
    <oddHeader>&amp;L&amp;"Arial"&amp;10@&amp;C&amp;"Arial"&amp;10 Total Cost Budget&amp;R&amp;"Arial"&amp;10 Page &amp;N+1</oddHeader>
    <oddFooter>&amp;C&amp;"Arial"&amp;10Extension Ag Econ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"/>
  <sheetViews>
    <sheetView workbookViewId="0"/>
  </sheetViews>
  <sheetFormatPr defaultRowHeight="12.75" x14ac:dyDescent="0.2"/>
  <sheetData/>
  <phoneticPr fontId="0" type="noConversion"/>
  <printOptions horizontalCentered="1"/>
  <pageMargins left="0.75" right="0.75" top="1" bottom="1" header="0.5" footer="0.5"/>
  <headerFooter alignWithMargins="0">
    <oddHeader>&amp;L&amp;"Arial"&amp;10@&amp;C&amp;"Arial"&amp;10 Total Cost Budget&amp;R&amp;"Arial"&amp;10 Page &amp;N+1</oddHeader>
    <oddFooter>&amp;C&amp;"Arial"&amp;10Extension Ag Econ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88</vt:i4>
      </vt:variant>
    </vt:vector>
  </HeadingPairs>
  <TitlesOfParts>
    <vt:vector size="101" baseType="lpstr">
      <vt:lpstr>Instructions</vt:lpstr>
      <vt:lpstr>Main</vt:lpstr>
      <vt:lpstr>Winter Grazing</vt:lpstr>
      <vt:lpstr>Feed Cost</vt:lpstr>
      <vt:lpstr>Procurement</vt:lpstr>
      <vt:lpstr>Fixed_Cost</vt:lpstr>
      <vt:lpstr>Fixed_Payment</vt:lpstr>
      <vt:lpstr>G</vt:lpstr>
      <vt:lpstr>H</vt:lpstr>
      <vt:lpstr>I</vt:lpstr>
      <vt:lpstr>J</vt:lpstr>
      <vt:lpstr>K</vt:lpstr>
      <vt:lpstr>L</vt:lpstr>
      <vt:lpstr>'Winter Grazing'!\AUTOEXEC</vt:lpstr>
      <vt:lpstr>\AUTOEXEC</vt:lpstr>
      <vt:lpstr>\P</vt:lpstr>
      <vt:lpstr>'Winter Grazing'!\R</vt:lpstr>
      <vt:lpstr>\R</vt:lpstr>
      <vt:lpstr>ACRES</vt:lpstr>
      <vt:lpstr>ADP</vt:lpstr>
      <vt:lpstr>AFC</vt:lpstr>
      <vt:lpstr>AFP</vt:lpstr>
      <vt:lpstr>'Winter Grazing'!BERR</vt:lpstr>
      <vt:lpstr>BERR</vt:lpstr>
      <vt:lpstr>bsm</vt:lpstr>
      <vt:lpstr>'Winter Grazing'!BUD</vt:lpstr>
      <vt:lpstr>BUD</vt:lpstr>
      <vt:lpstr>bud_type</vt:lpstr>
      <vt:lpstr>CAF</vt:lpstr>
      <vt:lpstr>cattle_fixed</vt:lpstr>
      <vt:lpstr>cf_bud</vt:lpstr>
      <vt:lpstr>cf_total</vt:lpstr>
      <vt:lpstr>days</vt:lpstr>
      <vt:lpstr>'Winter Grazing'!ENR</vt:lpstr>
      <vt:lpstr>ENR</vt:lpstr>
      <vt:lpstr>'Winter Grazing'!ENR_MNR</vt:lpstr>
      <vt:lpstr>ENR_MNR</vt:lpstr>
      <vt:lpstr>'Winter Grazing'!ETR</vt:lpstr>
      <vt:lpstr>ETR</vt:lpstr>
      <vt:lpstr>'Winter Grazing'!EXPDATA</vt:lpstr>
      <vt:lpstr>EXPDATA</vt:lpstr>
      <vt:lpstr>'Winter Grazing'!EXPP</vt:lpstr>
      <vt:lpstr>EXPP</vt:lpstr>
      <vt:lpstr>'Winter Grazing'!EXPY</vt:lpstr>
      <vt:lpstr>EXPY</vt:lpstr>
      <vt:lpstr>FXC</vt:lpstr>
      <vt:lpstr>'Winter Grazing'!GPHDATA1</vt:lpstr>
      <vt:lpstr>GPHDATA1</vt:lpstr>
      <vt:lpstr>'Winter Grazing'!GPHDATA2</vt:lpstr>
      <vt:lpstr>GPHDATA2</vt:lpstr>
      <vt:lpstr>GPHINS</vt:lpstr>
      <vt:lpstr>in_price</vt:lpstr>
      <vt:lpstr>mach_fixed</vt:lpstr>
      <vt:lpstr>mktng_cst</vt:lpstr>
      <vt:lpstr>'Winter Grazing'!MNR</vt:lpstr>
      <vt:lpstr>MNR</vt:lpstr>
      <vt:lpstr>'Winter Grazing'!MTC</vt:lpstr>
      <vt:lpstr>MTC</vt:lpstr>
      <vt:lpstr>'Winter Grazing'!MTR</vt:lpstr>
      <vt:lpstr>MTR</vt:lpstr>
      <vt:lpstr>'Winter Grazing'!NUM1</vt:lpstr>
      <vt:lpstr>NUM1</vt:lpstr>
      <vt:lpstr>'Winter Grazing'!NUM2</vt:lpstr>
      <vt:lpstr>NUM2</vt:lpstr>
      <vt:lpstr>'Winter Grazing'!NUM3</vt:lpstr>
      <vt:lpstr>NUM3</vt:lpstr>
      <vt:lpstr>'Winter Grazing'!NUM4</vt:lpstr>
      <vt:lpstr>NUM4</vt:lpstr>
      <vt:lpstr>'Winter Grazing'!NUM5</vt:lpstr>
      <vt:lpstr>NUM5</vt:lpstr>
      <vt:lpstr>'Winter Grazing'!NUM6</vt:lpstr>
      <vt:lpstr>NUM6</vt:lpstr>
      <vt:lpstr>'Winter Grazing'!NUM7</vt:lpstr>
      <vt:lpstr>NUM7</vt:lpstr>
      <vt:lpstr>placed</vt:lpstr>
      <vt:lpstr>rr_VC</vt:lpstr>
      <vt:lpstr>sold</vt:lpstr>
      <vt:lpstr>stocking</vt:lpstr>
      <vt:lpstr>'Winter Grazing'!STRHH</vt:lpstr>
      <vt:lpstr>STRHH</vt:lpstr>
      <vt:lpstr>'Winter Grazing'!STRHL</vt:lpstr>
      <vt:lpstr>STRHL</vt:lpstr>
      <vt:lpstr>'Winter Grazing'!STRLH</vt:lpstr>
      <vt:lpstr>STRLH</vt:lpstr>
      <vt:lpstr>'Winter Grazing'!STRLL</vt:lpstr>
      <vt:lpstr>STRLL</vt:lpstr>
      <vt:lpstr>'Winter Grazing'!STRO</vt:lpstr>
      <vt:lpstr>STRO</vt:lpstr>
      <vt:lpstr>'Winter Grazing'!STRP</vt:lpstr>
      <vt:lpstr>STRP</vt:lpstr>
      <vt:lpstr>'Winter Grazing'!TEP</vt:lpstr>
      <vt:lpstr>TEP</vt:lpstr>
      <vt:lpstr>TotalBud</vt:lpstr>
      <vt:lpstr>tvc_grazing</vt:lpstr>
      <vt:lpstr>'Winter Grazing'!UNIT</vt:lpstr>
      <vt:lpstr>UNIT</vt:lpstr>
      <vt:lpstr>'Winter Grazing'!UNITCOST</vt:lpstr>
      <vt:lpstr>UNITCOST</vt:lpstr>
      <vt:lpstr>vc_bud</vt:lpstr>
      <vt:lpstr>'Winter Grazing'!WGPC</vt:lpstr>
      <vt:lpstr>WGPC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Curt Lacy</dc:creator>
  <cp:lastModifiedBy>Curt Lacy</cp:lastModifiedBy>
  <cp:lastPrinted>2004-09-24T21:25:34Z</cp:lastPrinted>
  <dcterms:created xsi:type="dcterms:W3CDTF">2000-08-16T21:02:05Z</dcterms:created>
  <dcterms:modified xsi:type="dcterms:W3CDTF">2012-10-25T19:50:40Z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