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0" yWindow="0" windowWidth="12120" windowHeight="8700" tabRatio="767" activeTab="1"/>
  </bookViews>
  <sheets>
    <sheet name="Instructions" sheetId="6" r:id="rId1"/>
    <sheet name="Main" sheetId="1" r:id="rId2"/>
    <sheet name="Winter Grazing" sheetId="14" r:id="rId3"/>
    <sheet name="Feed Cost" sheetId="13" r:id="rId4"/>
    <sheet name="Procurement" sheetId="15" r:id="rId5"/>
    <sheet name="Fixed_Cost" sheetId="4" r:id="rId6"/>
    <sheet name="Fixed_Payment" sheetId="5" r:id="rId7"/>
    <sheet name="G" sheetId="7" r:id="rId8"/>
    <sheet name="H" sheetId="8" r:id="rId9"/>
    <sheet name="I" sheetId="9" r:id="rId10"/>
    <sheet name="J" sheetId="10" r:id="rId11"/>
    <sheet name="K" sheetId="11" r:id="rId12"/>
    <sheet name="L" sheetId="12" r:id="rId13"/>
  </sheets>
  <externalReferences>
    <externalReference r:id="rId14"/>
    <externalReference r:id="rId15"/>
  </externalReferences>
  <definedNames>
    <definedName name="\AUTOEXEC" localSheetId="2">'Winter Grazing'!$U$274:$U$276</definedName>
    <definedName name="\AUTOEXEC">Main!$U$279:$U$281</definedName>
    <definedName name="\P">Main!$U$336:$U$339</definedName>
    <definedName name="\R" localSheetId="2">'Winter Grazing'!$U$301:$U$306</definedName>
    <definedName name="\R">Main!$U$306:$U$311</definedName>
    <definedName name="ACRES">Main!$F$18</definedName>
    <definedName name="ADP">Fixed_Payment!$A$2</definedName>
    <definedName name="AFC">Fixed_Cost!$J$7</definedName>
    <definedName name="AFP">Fixed_Payment!$A$1</definedName>
    <definedName name="AGVAR" localSheetId="2">#N/A</definedName>
    <definedName name="AGVAR">#N/A</definedName>
    <definedName name="ALLDATA" localSheetId="4">[2]Instructions:G!$A$4:$N$5</definedName>
    <definedName name="ALLDATA" localSheetId="2">[1]Instructions:E!$B$4:$O$5</definedName>
    <definedName name="ALLDATA">Instructions:G!$A$4:$N$5</definedName>
    <definedName name="BERR" localSheetId="2">'Winter Grazing'!$B$49:$J$96</definedName>
    <definedName name="BERR">Main!$B$70:$J$107</definedName>
    <definedName name="BREAKEVEN">#N/A</definedName>
    <definedName name="bsm">Main!$J$20</definedName>
    <definedName name="BUD" localSheetId="2">'Winter Grazing'!$B$10:$J$49</definedName>
    <definedName name="BUD">Main!$B$13:$J$70</definedName>
    <definedName name="bud_type">Main!$U$1</definedName>
    <definedName name="BUTTON1">#N/A</definedName>
    <definedName name="BUTTON2">#N/A</definedName>
    <definedName name="CAF">Fixed_Payment!$B$3:$J$44</definedName>
    <definedName name="cattle_fixed">Fixed_Cost!$J$45</definedName>
    <definedName name="cf_bud">Main!$Z$7</definedName>
    <definedName name="cf_total">Fixed_Payment!$J$41</definedName>
    <definedName name="CUMPGPH" localSheetId="4">[2]Instructions:G!$A$4:$A$4</definedName>
    <definedName name="CUMPGPH" localSheetId="2">[1]Instructions:E!$B$4:$B$4</definedName>
    <definedName name="CUMPGPH">Instructions:G!$A$4:$A$4</definedName>
    <definedName name="CUMPGPH2" localSheetId="4">[2]Instructions:G!$A$5:$A$5</definedName>
    <definedName name="CUMPGPH2" localSheetId="2">[1]Instructions:E!$B$5:$B$5</definedName>
    <definedName name="CUMPGPH2">Instructions:G!$A$5:$A$5</definedName>
    <definedName name="days">'Winter Grazing'!$F$18</definedName>
    <definedName name="ENR" localSheetId="2">'Winter Grazing'!$P$146:$P$146</definedName>
    <definedName name="ENR">Main!$U$207:$U$207</definedName>
    <definedName name="ENR_MNR" localSheetId="2">'Winter Grazing'!$R$140:$R$140</definedName>
    <definedName name="ENR_MNR">Main!$W$201:$W$201</definedName>
    <definedName name="ETR" localSheetId="2">'Winter Grazing'!$P$145:$P$145</definedName>
    <definedName name="ETR">Main!$U$206:$U$206</definedName>
    <definedName name="EXPDATA" localSheetId="2">'Winter Grazing'!$P$160:$Y$160</definedName>
    <definedName name="EXPDATA">Main!$U$220:$AD$220</definedName>
    <definedName name="EXPP" localSheetId="2">'Winter Grazing'!$R$115:$R$115</definedName>
    <definedName name="EXPP">Main!$W$168:$W$168</definedName>
    <definedName name="EXPY" localSheetId="2">'Winter Grazing'!$P$115:$P$115</definedName>
    <definedName name="EXPY">Main!$U$168:$U$168</definedName>
    <definedName name="FXC">Fixed_Cost!$B$3:$J$47</definedName>
    <definedName name="_GPH7" localSheetId="4">[2]Instructions:G!$H$4:$H$4</definedName>
    <definedName name="_GPH7" localSheetId="2">[1]Instructions:E!$I$4:$I$4</definedName>
    <definedName name="_GPH7">Instructions:G!$H$4:$H$4</definedName>
    <definedName name="_GPH72" localSheetId="4">[2]Instructions:G!$H$5:$H$5</definedName>
    <definedName name="_GPH72" localSheetId="2">[1]Instructions:E!$I$5:$I$5</definedName>
    <definedName name="_GPH72">Instructions:G!$H$5:$H$5</definedName>
    <definedName name="GPHDATA1" localSheetId="2">'Winter Grazing'!$D$87:$J$87</definedName>
    <definedName name="GPHDATA1">Main!$D$98:$J$98</definedName>
    <definedName name="GPHDATA2" localSheetId="2">'Winter Grazing'!$D$89:$J$89</definedName>
    <definedName name="GPHDATA2">Main!$D$100:$J$100</definedName>
    <definedName name="GPHDATA3" localSheetId="4">[2]Instructions:G!$A$4:$N$4</definedName>
    <definedName name="GPHDATA3" localSheetId="2">[1]Instructions:E!$B$4:$O$4</definedName>
    <definedName name="GPHDATA3">Instructions:G!$A$4:$N$4</definedName>
    <definedName name="GPHINS" localSheetId="2">'Winter Grazing'!#REF!</definedName>
    <definedName name="GPHINS">Main!$S$27:$S$27</definedName>
    <definedName name="in_price">Main!$H$36</definedName>
    <definedName name="mach_fixed">Fixed_Cost!$J$46</definedName>
    <definedName name="mktng_cst">Procurement!$H$20</definedName>
    <definedName name="MNR" localSheetId="2">'Winter Grazing'!$P$144:$P$144</definedName>
    <definedName name="MNR">Main!$U$205:$U$205</definedName>
    <definedName name="MTC" localSheetId="2">'Winter Grazing'!$P$143:$P$143</definedName>
    <definedName name="MTC">Main!$U$204:$U$204</definedName>
    <definedName name="MTR" localSheetId="2">'Winter Grazing'!$P$142:$P$142</definedName>
    <definedName name="MTR">Main!$U$203:$U$203</definedName>
    <definedName name="_NUM1" localSheetId="2">'Winter Grazing'!$D$87:$D$87</definedName>
    <definedName name="_NUM1">Main!$D$98:$D$98</definedName>
    <definedName name="_NUM2" localSheetId="2">'Winter Grazing'!$E$87:$E$87</definedName>
    <definedName name="_NUM2">Main!$E$98:$E$98</definedName>
    <definedName name="_NUM3" localSheetId="2">'Winter Grazing'!$F$87:$F$87</definedName>
    <definedName name="_NUM3">Main!$F$98:$F$98</definedName>
    <definedName name="_NUM4" localSheetId="2">'Winter Grazing'!$G$87:$G$87</definedName>
    <definedName name="_NUM4">Main!$G$98:$G$98</definedName>
    <definedName name="_NUM5" localSheetId="2">'Winter Grazing'!$H$87:$H$87</definedName>
    <definedName name="_NUM5">Main!$H$98:$H$98</definedName>
    <definedName name="_NUM6" localSheetId="2">'Winter Grazing'!$I$87:$I$87</definedName>
    <definedName name="_NUM6">Main!$I$98:$I$98</definedName>
    <definedName name="_NUM7" localSheetId="2">'Winter Grazing'!$J$87:$J$87</definedName>
    <definedName name="_NUM7">Main!$J$98:$J$98</definedName>
    <definedName name="payment">[1]Fixed_Payment!$J$45</definedName>
    <definedName name="placed">Main!$F$20</definedName>
    <definedName name="RISK" localSheetId="2">#N/A</definedName>
    <definedName name="RISK">#N/A</definedName>
    <definedName name="rr_VC">Main!$Z$16:$AD$16</definedName>
    <definedName name="sold">Main!$F$22</definedName>
    <definedName name="stocking">'Winter Grazing'!$F$17</definedName>
    <definedName name="STRHH" localSheetId="2">'Winter Grazing'!$R$141:$R$141</definedName>
    <definedName name="STRHH">Main!$W$202:$W$202</definedName>
    <definedName name="STRHL" localSheetId="2">'Winter Grazing'!$R$143:$R$143</definedName>
    <definedName name="STRHL">Main!$W$204:$W$204</definedName>
    <definedName name="STRLH" localSheetId="2">'Winter Grazing'!$R$144:$R$144</definedName>
    <definedName name="STRLH">Main!$W$205:$W$205</definedName>
    <definedName name="STRLL" localSheetId="2">'Winter Grazing'!$R$142:$R$142</definedName>
    <definedName name="STRLL">Main!$W$203:$W$203</definedName>
    <definedName name="STRO" localSheetId="2">'Winter Grazing'!$R$145:$R$145</definedName>
    <definedName name="STRO">Main!$W$206:$W$206</definedName>
    <definedName name="STRP" localSheetId="2">'Winter Grazing'!$R$146:$R$146</definedName>
    <definedName name="STRP">Main!$W$207:$W$207</definedName>
    <definedName name="TEP" localSheetId="2">'Winter Grazing'!$F$76:$F$76</definedName>
    <definedName name="TEP">Main!$D$88:$D$88</definedName>
    <definedName name="TFC">[1]Fixed_Cost!$J$44</definedName>
    <definedName name="TITLE1">#N/A</definedName>
    <definedName name="TITLE2" localSheetId="2">#N/A</definedName>
    <definedName name="TITLE2">#N/A</definedName>
    <definedName name="TITLE3" localSheetId="2">#N/A</definedName>
    <definedName name="TITLE3">#N/A</definedName>
    <definedName name="TITLE4" localSheetId="2">#N/A</definedName>
    <definedName name="TITLE4">#N/A</definedName>
    <definedName name="TOP">#N/A</definedName>
    <definedName name="TotalBud">Main!$Z$6</definedName>
    <definedName name="tvc_grazing">'Winter Grazing'!$J$41</definedName>
    <definedName name="UNIT" localSheetId="2">'Winter Grazing'!$P$100:$P$100</definedName>
    <definedName name="UNIT">Main!$U$155:$U$155</definedName>
    <definedName name="UNITCOST" localSheetId="2">'Winter Grazing'!$I$67:$I$67</definedName>
    <definedName name="UNITCOST">Main!$I$80:$I$80</definedName>
    <definedName name="vc_bud">Main!$Z$8</definedName>
    <definedName name="WGPC" localSheetId="2">'Winter Grazing'!$B$101:$J$139</definedName>
    <definedName name="WGPC">Main!$B$112:$J$146</definedName>
  </definedNames>
  <calcPr calcId="145621" calcMode="autoNoTable"/>
</workbook>
</file>

<file path=xl/calcChain.xml><?xml version="1.0" encoding="utf-8"?>
<calcChain xmlns="http://schemas.openxmlformats.org/spreadsheetml/2006/main">
  <c r="F39" i="1" l="1"/>
  <c r="H18" i="15"/>
  <c r="H8" i="15"/>
  <c r="F40" i="1"/>
  <c r="F41" i="1"/>
  <c r="J28" i="14"/>
  <c r="I55" i="1"/>
  <c r="F75" i="1" s="1"/>
  <c r="H75" i="1" s="1"/>
  <c r="H55" i="1"/>
  <c r="F55" i="1"/>
  <c r="F57" i="1"/>
  <c r="I57" i="1"/>
  <c r="F77" i="1" s="1"/>
  <c r="I56" i="1"/>
  <c r="F76" i="1" s="1"/>
  <c r="W160" i="1"/>
  <c r="W156" i="1"/>
  <c r="H29" i="1"/>
  <c r="F58" i="1"/>
  <c r="I58" i="1"/>
  <c r="F78" i="1" s="1"/>
  <c r="F59" i="1"/>
  <c r="I59" i="1"/>
  <c r="F79" i="1" s="1"/>
  <c r="F7" i="15"/>
  <c r="H7" i="15"/>
  <c r="H10" i="15" s="1"/>
  <c r="H37" i="1" s="1"/>
  <c r="H26" i="14"/>
  <c r="J26" i="14" s="1"/>
  <c r="J27" i="14"/>
  <c r="F16" i="14"/>
  <c r="H31" i="14" s="1"/>
  <c r="J31" i="14" s="1"/>
  <c r="F42" i="1"/>
  <c r="H17" i="15"/>
  <c r="E59" i="1"/>
  <c r="E56" i="1"/>
  <c r="E58" i="1"/>
  <c r="E57" i="1"/>
  <c r="H56" i="1"/>
  <c r="F56" i="1"/>
  <c r="E55" i="1"/>
  <c r="D23" i="5"/>
  <c r="F23" i="5" s="1"/>
  <c r="J23" i="5" s="1"/>
  <c r="J39" i="5"/>
  <c r="B55" i="1"/>
  <c r="G27" i="1"/>
  <c r="G29" i="1" s="1"/>
  <c r="U157" i="1" s="1"/>
  <c r="F27" i="1"/>
  <c r="F29" i="1" s="1"/>
  <c r="U156" i="1" s="1"/>
  <c r="I27" i="1"/>
  <c r="I29" i="1" s="1"/>
  <c r="U159" i="1" s="1"/>
  <c r="F20" i="1"/>
  <c r="G44" i="1" s="1"/>
  <c r="I44" i="1" s="1"/>
  <c r="B58" i="1"/>
  <c r="B59" i="1"/>
  <c r="B57" i="1"/>
  <c r="B56" i="1"/>
  <c r="B54" i="1"/>
  <c r="D10" i="13"/>
  <c r="E9" i="13"/>
  <c r="F9" i="13" s="1"/>
  <c r="C9" i="13"/>
  <c r="F38" i="1"/>
  <c r="F46" i="1"/>
  <c r="G46" i="1" s="1"/>
  <c r="I46" i="1" s="1"/>
  <c r="J43" i="14"/>
  <c r="J44" i="14"/>
  <c r="J45" i="14"/>
  <c r="J46" i="14"/>
  <c r="B17" i="13"/>
  <c r="E17" i="13" s="1"/>
  <c r="C6" i="13"/>
  <c r="E6" i="13"/>
  <c r="F6" i="13" s="1"/>
  <c r="F10" i="13" s="1"/>
  <c r="F11" i="13" s="1"/>
  <c r="C7" i="13"/>
  <c r="E7" i="13"/>
  <c r="F7" i="13"/>
  <c r="B43" i="14"/>
  <c r="H43" i="14"/>
  <c r="I43" i="14"/>
  <c r="B44" i="14"/>
  <c r="F44" i="14"/>
  <c r="H44" i="14"/>
  <c r="I44" i="14"/>
  <c r="B45" i="14"/>
  <c r="F45" i="14"/>
  <c r="H45" i="14"/>
  <c r="I45" i="14"/>
  <c r="B46" i="14"/>
  <c r="F46" i="14"/>
  <c r="H46" i="14"/>
  <c r="I46" i="14"/>
  <c r="C75" i="14"/>
  <c r="C76" i="14" s="1"/>
  <c r="C77" i="14" s="1"/>
  <c r="C78" i="14" s="1"/>
  <c r="P100" i="14"/>
  <c r="P160" i="14" s="1"/>
  <c r="P101" i="14"/>
  <c r="R101" i="14"/>
  <c r="R115" i="14" s="1"/>
  <c r="P102" i="14"/>
  <c r="R102" i="14"/>
  <c r="P103" i="14"/>
  <c r="R103" i="14"/>
  <c r="P104" i="14"/>
  <c r="R104" i="14"/>
  <c r="P106" i="14"/>
  <c r="R106" i="14"/>
  <c r="R117" i="14"/>
  <c r="R119" i="14" s="1"/>
  <c r="P140" i="14"/>
  <c r="P141" i="14"/>
  <c r="S160" i="14"/>
  <c r="B20" i="13"/>
  <c r="E20" i="13" s="1"/>
  <c r="B19" i="13"/>
  <c r="C19" i="13" s="1"/>
  <c r="D19" i="13" s="1"/>
  <c r="E19" i="13"/>
  <c r="B18" i="13"/>
  <c r="E18" i="13" s="1"/>
  <c r="B16" i="13"/>
  <c r="C16" i="13" s="1"/>
  <c r="D16" i="13" s="1"/>
  <c r="E16" i="13"/>
  <c r="B15" i="13"/>
  <c r="E15" i="13" s="1"/>
  <c r="B14" i="13"/>
  <c r="C14" i="13" s="1"/>
  <c r="D14" i="13" s="1"/>
  <c r="E14" i="13"/>
  <c r="E8" i="13"/>
  <c r="C8" i="13"/>
  <c r="F8" i="13"/>
  <c r="C17" i="13"/>
  <c r="D17" i="13" s="1"/>
  <c r="C15" i="13"/>
  <c r="D15" i="13" s="1"/>
  <c r="C20" i="13"/>
  <c r="D20" i="13" s="1"/>
  <c r="C18" i="13"/>
  <c r="D18" i="13" s="1"/>
  <c r="I21" i="4"/>
  <c r="I22" i="4"/>
  <c r="G23" i="4"/>
  <c r="G24" i="4"/>
  <c r="I24" i="4" s="1"/>
  <c r="I25" i="4"/>
  <c r="I26" i="4"/>
  <c r="I27" i="4"/>
  <c r="F31" i="4"/>
  <c r="F13" i="4"/>
  <c r="I13" i="4"/>
  <c r="I14" i="4"/>
  <c r="I15" i="4"/>
  <c r="I16" i="4"/>
  <c r="I17" i="4"/>
  <c r="I18" i="4"/>
  <c r="I19" i="4"/>
  <c r="F30" i="4"/>
  <c r="J36" i="4" s="1"/>
  <c r="G30" i="4"/>
  <c r="F15" i="5"/>
  <c r="J15" i="5" s="1"/>
  <c r="J17" i="5"/>
  <c r="J19" i="5"/>
  <c r="J20" i="5"/>
  <c r="J21" i="5"/>
  <c r="B79" i="1"/>
  <c r="B78" i="1"/>
  <c r="B77" i="1"/>
  <c r="B76" i="1"/>
  <c r="B75" i="1"/>
  <c r="J19" i="1"/>
  <c r="I30" i="1" l="1"/>
  <c r="W159" i="1" s="1"/>
  <c r="G38" i="1"/>
  <c r="F22" i="1"/>
  <c r="E84" i="1" s="1"/>
  <c r="I60" i="1"/>
  <c r="U155" i="1"/>
  <c r="U220" i="1" s="1"/>
  <c r="J47" i="14"/>
  <c r="G40" i="1"/>
  <c r="I40" i="1" s="1"/>
  <c r="G47" i="1"/>
  <c r="I47" i="1" s="1"/>
  <c r="G50" i="1"/>
  <c r="G39" i="1"/>
  <c r="I39" i="1" s="1"/>
  <c r="G42" i="1"/>
  <c r="I42" i="1" s="1"/>
  <c r="J39" i="4"/>
  <c r="P115" i="14"/>
  <c r="F16" i="15"/>
  <c r="H16" i="15" s="1"/>
  <c r="H20" i="15" s="1"/>
  <c r="H50" i="1" s="1"/>
  <c r="U158" i="1"/>
  <c r="U202" i="1" s="1"/>
  <c r="P145" i="14"/>
  <c r="R160" i="14"/>
  <c r="R118" i="14"/>
  <c r="R120" i="14" s="1"/>
  <c r="I78" i="1"/>
  <c r="I79" i="1"/>
  <c r="W158" i="1"/>
  <c r="U201" i="1" s="1"/>
  <c r="J33" i="4"/>
  <c r="I23" i="4"/>
  <c r="J34" i="4" s="1"/>
  <c r="G31" i="4"/>
  <c r="J37" i="4" s="1"/>
  <c r="G7" i="5"/>
  <c r="F18" i="5" s="1"/>
  <c r="J18" i="5" s="1"/>
  <c r="J25" i="5" s="1"/>
  <c r="J37" i="5" s="1"/>
  <c r="J41" i="5" s="1"/>
  <c r="J42" i="5" s="1"/>
  <c r="G30" i="1"/>
  <c r="W157" i="1" s="1"/>
  <c r="G45" i="1"/>
  <c r="G43" i="1"/>
  <c r="I43" i="1" s="1"/>
  <c r="H39" i="14"/>
  <c r="J39" i="14" s="1"/>
  <c r="H37" i="14"/>
  <c r="J37" i="14" s="1"/>
  <c r="H35" i="14"/>
  <c r="J35" i="14" s="1"/>
  <c r="H32" i="14"/>
  <c r="J32" i="14" s="1"/>
  <c r="H29" i="14"/>
  <c r="J29" i="14" s="1"/>
  <c r="J27" i="1"/>
  <c r="J29" i="1" s="1"/>
  <c r="U160" i="1" s="1"/>
  <c r="G41" i="1"/>
  <c r="I41" i="1" s="1"/>
  <c r="G37" i="1"/>
  <c r="I37" i="1" s="1"/>
  <c r="G36" i="1"/>
  <c r="I36" i="1" s="1"/>
  <c r="H38" i="14"/>
  <c r="J38" i="14" s="1"/>
  <c r="H36" i="14"/>
  <c r="J36" i="14" s="1"/>
  <c r="H33" i="14"/>
  <c r="J33" i="14" s="1"/>
  <c r="W168" i="1" l="1"/>
  <c r="W170" i="1" s="1"/>
  <c r="W181" i="1" s="1"/>
  <c r="I50" i="1"/>
  <c r="I75" i="1"/>
  <c r="I76" i="1"/>
  <c r="I77" i="1"/>
  <c r="H40" i="14"/>
  <c r="J40" i="14" s="1"/>
  <c r="F88" i="1"/>
  <c r="W220" i="1"/>
  <c r="W169" i="1"/>
  <c r="W180" i="1" s="1"/>
  <c r="J41" i="14"/>
  <c r="G48" i="1"/>
  <c r="I48" i="1" s="1"/>
  <c r="J40" i="4"/>
  <c r="J46" i="4" s="1"/>
  <c r="I46" i="4" s="1"/>
  <c r="H45" i="1"/>
  <c r="I45" i="1"/>
  <c r="J45" i="4"/>
  <c r="I45" i="4" s="1"/>
  <c r="P118" i="14"/>
  <c r="P120" i="14" s="1"/>
  <c r="P123" i="14"/>
  <c r="P126" i="14" s="1"/>
  <c r="R143" i="14" s="1"/>
  <c r="W160" i="14" s="1"/>
  <c r="P117" i="14"/>
  <c r="P119" i="14" s="1"/>
  <c r="P122" i="14" s="1"/>
  <c r="P124" i="14" s="1"/>
  <c r="R122" i="14"/>
  <c r="R124" i="14" s="1"/>
  <c r="Q160" i="14"/>
  <c r="U168" i="1"/>
  <c r="R141" i="14" l="1"/>
  <c r="V160" i="14" s="1"/>
  <c r="R142" i="14"/>
  <c r="X160" i="14" s="1"/>
  <c r="R127" i="14"/>
  <c r="R146" i="14" s="1"/>
  <c r="B88" i="1"/>
  <c r="D88" i="1" s="1"/>
  <c r="H77" i="1"/>
  <c r="W183" i="1"/>
  <c r="W185" i="1" s="1"/>
  <c r="H76" i="1"/>
  <c r="H79" i="1"/>
  <c r="U170" i="1"/>
  <c r="U181" i="1" s="1"/>
  <c r="U184" i="1"/>
  <c r="U187" i="1" s="1"/>
  <c r="W204" i="1" s="1"/>
  <c r="AB220" i="1" s="1"/>
  <c r="V220" i="1"/>
  <c r="U206" i="1"/>
  <c r="H78" i="1"/>
  <c r="U169" i="1"/>
  <c r="U180" i="1" s="1"/>
  <c r="W184" i="1" s="1"/>
  <c r="W187" i="1" s="1"/>
  <c r="W205" i="1" s="1"/>
  <c r="AD220" i="1" s="1"/>
  <c r="R123" i="14"/>
  <c r="R126" i="14" s="1"/>
  <c r="R144" i="14" s="1"/>
  <c r="Y160" i="14" s="1"/>
  <c r="J42" i="4"/>
  <c r="F62" i="14"/>
  <c r="J49" i="14"/>
  <c r="H38" i="1"/>
  <c r="I38" i="1" s="1"/>
  <c r="H88" i="1"/>
  <c r="U183" i="1" l="1"/>
  <c r="U185" i="1" s="1"/>
  <c r="U188" i="1" s="1"/>
  <c r="W206" i="1" s="1"/>
  <c r="Y220" i="1" s="1"/>
  <c r="D62" i="14"/>
  <c r="F65" i="14"/>
  <c r="F73" i="14"/>
  <c r="E62" i="14"/>
  <c r="F66" i="14"/>
  <c r="G62" i="14"/>
  <c r="F63" i="14"/>
  <c r="F67" i="14"/>
  <c r="F68" i="14"/>
  <c r="H62" i="14"/>
  <c r="F64" i="14"/>
  <c r="U160" i="14"/>
  <c r="W188" i="1"/>
  <c r="W207" i="1" s="1"/>
  <c r="Z220" i="1" s="1"/>
  <c r="W203" i="1"/>
  <c r="AC220" i="1" s="1"/>
  <c r="G49" i="1"/>
  <c r="I64" i="1"/>
  <c r="P127" i="14"/>
  <c r="R145" i="14" s="1"/>
  <c r="T160" i="14" s="1"/>
  <c r="W202" i="1" l="1"/>
  <c r="AA220" i="1" s="1"/>
  <c r="U203" i="1"/>
  <c r="H49" i="1"/>
  <c r="I49" i="1" s="1"/>
  <c r="I52" i="1" s="1"/>
  <c r="E66" i="14"/>
  <c r="E63" i="14"/>
  <c r="E67" i="14"/>
  <c r="E64" i="14"/>
  <c r="E68" i="14"/>
  <c r="E65" i="14"/>
  <c r="E73" i="14"/>
  <c r="P142" i="14"/>
  <c r="F74" i="14"/>
  <c r="F76" i="14"/>
  <c r="F78" i="14"/>
  <c r="F77" i="14"/>
  <c r="F75" i="14"/>
  <c r="H63" i="14"/>
  <c r="H67" i="14"/>
  <c r="H64" i="14"/>
  <c r="H68" i="14"/>
  <c r="H65" i="14"/>
  <c r="H73" i="14"/>
  <c r="H66" i="14"/>
  <c r="G64" i="14"/>
  <c r="G68" i="14"/>
  <c r="G65" i="14"/>
  <c r="G73" i="14"/>
  <c r="G66" i="14"/>
  <c r="G67" i="14"/>
  <c r="G63" i="14"/>
  <c r="D63" i="14"/>
  <c r="D67" i="14"/>
  <c r="D64" i="14"/>
  <c r="D68" i="14"/>
  <c r="D65" i="14"/>
  <c r="D73" i="14"/>
  <c r="D66" i="14"/>
  <c r="P144" i="14" l="1"/>
  <c r="D75" i="14"/>
  <c r="D77" i="14"/>
  <c r="D78" i="14"/>
  <c r="D74" i="14"/>
  <c r="D76" i="14"/>
  <c r="P143" i="14"/>
  <c r="P146" i="14" s="1"/>
  <c r="P108" i="14"/>
  <c r="G75" i="14"/>
  <c r="G77" i="14"/>
  <c r="G74" i="14"/>
  <c r="G76" i="14"/>
  <c r="G78" i="14"/>
  <c r="F74" i="1"/>
  <c r="I65" i="1"/>
  <c r="H75" i="14"/>
  <c r="H77" i="14"/>
  <c r="H76" i="14"/>
  <c r="H78" i="14"/>
  <c r="H74" i="14"/>
  <c r="E74" i="14"/>
  <c r="E76" i="14"/>
  <c r="E78" i="14"/>
  <c r="E75" i="14"/>
  <c r="E77" i="14"/>
  <c r="R140" i="14" l="1"/>
  <c r="I74" i="1"/>
  <c r="F80" i="1"/>
  <c r="H74" i="1"/>
  <c r="V149" i="14"/>
  <c r="W149" i="14" s="1"/>
  <c r="P151" i="14"/>
  <c r="Q151" i="14" s="1"/>
  <c r="AB151" i="14"/>
  <c r="AC151" i="14" s="1"/>
  <c r="V153" i="14"/>
  <c r="W153" i="14" s="1"/>
  <c r="P149" i="14"/>
  <c r="AB149" i="14"/>
  <c r="AC149" i="14" s="1"/>
  <c r="AD150" i="14" s="1"/>
  <c r="V151" i="14"/>
  <c r="W151" i="14" s="1"/>
  <c r="X152" i="14" s="1"/>
  <c r="P153" i="14"/>
  <c r="Q153" i="14" s="1"/>
  <c r="R154" i="14" s="1"/>
  <c r="AD149" i="14" l="1"/>
  <c r="AE149" i="14" s="1"/>
  <c r="Q149" i="14"/>
  <c r="R150" i="14" s="1"/>
  <c r="S150" i="14" s="1"/>
  <c r="R152" i="14"/>
  <c r="R151" i="14"/>
  <c r="X149" i="14"/>
  <c r="X150" i="14"/>
  <c r="T154" i="14"/>
  <c r="S154" i="14"/>
  <c r="X154" i="14"/>
  <c r="X153" i="14"/>
  <c r="AE150" i="14"/>
  <c r="AF150" i="14"/>
  <c r="Z152" i="14"/>
  <c r="Y152" i="14"/>
  <c r="AD151" i="14"/>
  <c r="AD152" i="14"/>
  <c r="R153" i="14"/>
  <c r="I80" i="1"/>
  <c r="X220" i="1" s="1"/>
  <c r="H80" i="1"/>
  <c r="I66" i="1"/>
  <c r="U204" i="1"/>
  <c r="U162" i="1"/>
  <c r="J102" i="1"/>
  <c r="J103" i="1" s="1"/>
  <c r="I68" i="1"/>
  <c r="X151" i="14"/>
  <c r="AG150" i="14" l="1"/>
  <c r="AF149" i="14"/>
  <c r="AG149" i="14" s="1"/>
  <c r="R149" i="14"/>
  <c r="T150" i="14"/>
  <c r="U150" i="14" s="1"/>
  <c r="AF152" i="14"/>
  <c r="AE152" i="14"/>
  <c r="Y150" i="14"/>
  <c r="Z150" i="14"/>
  <c r="T151" i="14"/>
  <c r="S151" i="14"/>
  <c r="AF151" i="14"/>
  <c r="AE151" i="14"/>
  <c r="U154" i="14"/>
  <c r="Z149" i="14"/>
  <c r="Y149" i="14"/>
  <c r="T152" i="14"/>
  <c r="S152" i="14"/>
  <c r="Z153" i="14"/>
  <c r="Y153" i="14"/>
  <c r="Y151" i="14"/>
  <c r="Z151" i="14"/>
  <c r="U207" i="1"/>
  <c r="U205" i="1"/>
  <c r="S153" i="14"/>
  <c r="T153" i="14"/>
  <c r="AA152" i="14"/>
  <c r="Z154" i="14"/>
  <c r="Y154" i="14"/>
  <c r="AA153" i="14" l="1"/>
  <c r="U152" i="14"/>
  <c r="AA150" i="14"/>
  <c r="AA149" i="14"/>
  <c r="T149" i="14"/>
  <c r="S149" i="14"/>
  <c r="W201" i="1"/>
  <c r="J98" i="1"/>
  <c r="I98" i="1"/>
  <c r="H98" i="1"/>
  <c r="G98" i="1"/>
  <c r="F98" i="1"/>
  <c r="E98" i="1"/>
  <c r="D98" i="1"/>
  <c r="AA154" i="14"/>
  <c r="AA214" i="1"/>
  <c r="AB214" i="1" s="1"/>
  <c r="AG151" i="14"/>
  <c r="U153" i="14"/>
  <c r="AA151" i="14"/>
  <c r="U151" i="14"/>
  <c r="AG152" i="14"/>
  <c r="U149" i="14" l="1"/>
  <c r="AC214" i="1"/>
  <c r="AC215" i="1"/>
  <c r="AG210" i="1"/>
  <c r="AH210" i="1" s="1"/>
  <c r="U214" i="1"/>
  <c r="V214" i="1" s="1"/>
  <c r="U212" i="1"/>
  <c r="V212" i="1" s="1"/>
  <c r="U210" i="1"/>
  <c r="V210" i="1" s="1"/>
  <c r="AA212" i="1"/>
  <c r="AB212" i="1" s="1"/>
  <c r="AA210" i="1"/>
  <c r="AB210" i="1" s="1"/>
  <c r="AG212" i="1"/>
  <c r="AH212" i="1" s="1"/>
  <c r="AC211" i="1" l="1"/>
  <c r="W214" i="1"/>
  <c r="W215" i="1"/>
  <c r="AC213" i="1"/>
  <c r="AI211" i="1"/>
  <c r="W211" i="1"/>
  <c r="AI213" i="1"/>
  <c r="W213" i="1"/>
  <c r="W210" i="1"/>
  <c r="AI212" i="1"/>
  <c r="AC210" i="1"/>
  <c r="AC212" i="1"/>
  <c r="W212" i="1"/>
  <c r="AI210" i="1"/>
  <c r="AD215" i="1"/>
  <c r="AE215" i="1"/>
  <c r="AE214" i="1"/>
  <c r="AD214" i="1"/>
  <c r="AF215" i="1" l="1"/>
  <c r="AK210" i="1"/>
  <c r="AJ210" i="1"/>
  <c r="AK212" i="1"/>
  <c r="AJ212" i="1"/>
  <c r="X211" i="1"/>
  <c r="Y211" i="1"/>
  <c r="AF214" i="1"/>
  <c r="Y212" i="1"/>
  <c r="X212" i="1"/>
  <c r="X210" i="1"/>
  <c r="Y210" i="1"/>
  <c r="AJ213" i="1"/>
  <c r="AK213" i="1"/>
  <c r="X215" i="1"/>
  <c r="Y215" i="1"/>
  <c r="AD211" i="1"/>
  <c r="AE211" i="1"/>
  <c r="AE212" i="1"/>
  <c r="AD212" i="1"/>
  <c r="Y213" i="1"/>
  <c r="X213" i="1"/>
  <c r="AD213" i="1"/>
  <c r="AE213" i="1"/>
  <c r="Y214" i="1"/>
  <c r="X214" i="1"/>
  <c r="AE210" i="1"/>
  <c r="AD210" i="1"/>
  <c r="AK211" i="1"/>
  <c r="AJ211" i="1"/>
  <c r="E102" i="1" l="1"/>
  <c r="AL211" i="1"/>
  <c r="AF210" i="1"/>
  <c r="AF212" i="1"/>
  <c r="Z211" i="1"/>
  <c r="Z214" i="1"/>
  <c r="Z213" i="1"/>
  <c r="Z212" i="1"/>
  <c r="AF213" i="1"/>
  <c r="Z215" i="1"/>
  <c r="Z210" i="1"/>
  <c r="AL212" i="1"/>
  <c r="AF211" i="1"/>
  <c r="AL213" i="1"/>
  <c r="AL210" i="1"/>
  <c r="H100" i="1" l="1"/>
  <c r="G99" i="1"/>
  <c r="H99" i="1"/>
  <c r="E100" i="1"/>
  <c r="G100" i="1"/>
  <c r="J99" i="1"/>
  <c r="E99" i="1"/>
  <c r="F100" i="1"/>
  <c r="F99" i="1"/>
  <c r="D99" i="1"/>
  <c r="D100" i="1"/>
  <c r="I100" i="1"/>
  <c r="I99" i="1"/>
  <c r="J100" i="1"/>
</calcChain>
</file>

<file path=xl/comments1.xml><?xml version="1.0" encoding="utf-8"?>
<comments xmlns="http://schemas.openxmlformats.org/spreadsheetml/2006/main">
  <authors>
    <author>Curt Lacy</author>
  </authors>
  <commentList>
    <comment ref="G7" authorId="0">
      <text>
        <r>
          <rPr>
            <b/>
            <sz val="10"/>
            <color indexed="81"/>
            <rFont val="Tahoma"/>
            <family val="2"/>
          </rPr>
          <t xml:space="preserve">Number of stockers and/or cows that utilize these facilities. 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<sst xmlns="http://schemas.openxmlformats.org/spreadsheetml/2006/main" count="734" uniqueCount="340">
  <si>
    <t/>
  </si>
  <si>
    <t>-</t>
  </si>
  <si>
    <t xml:space="preserve"> </t>
  </si>
  <si>
    <t xml:space="preserve">  </t>
  </si>
  <si>
    <t xml:space="preserve">          </t>
  </si>
  <si>
    <t xml:space="preserve">           </t>
  </si>
  <si>
    <t xml:space="preserve">      COST OF GAIN SUMMARY AND MAX. BREAKEVEN CALF PRICE</t>
  </si>
  <si>
    <t xml:space="preserve">     ITEM</t>
  </si>
  <si>
    <t xml:space="preserve">    $/HD.</t>
  </si>
  <si>
    <t xml:space="preserve">    (%)</t>
  </si>
  <si>
    <t xml:space="preserve">    (Yr.)</t>
  </si>
  <si>
    <t xml:space="preserve">    Must match budget Entries</t>
  </si>
  <si>
    <t xml:space="preserve">   $/CWT.</t>
  </si>
  <si>
    <t xml:space="preserve">   -------FINANCING-------</t>
  </si>
  <si>
    <t xml:space="preserve">  ($/cwt.)</t>
  </si>
  <si>
    <t xml:space="preserve">  (cwt.)</t>
  </si>
  <si>
    <t xml:space="preserve">  (units)</t>
  </si>
  <si>
    <t xml:space="preserve">  Best P</t>
  </si>
  <si>
    <t xml:space="preserve">  Best Y</t>
  </si>
  <si>
    <t xml:space="preserve">  CHANCE FOR PROFIT </t>
  </si>
  <si>
    <t xml:space="preserve">  ENR</t>
  </si>
  <si>
    <t xml:space="preserve">  ETR</t>
  </si>
  <si>
    <t xml:space="preserve">  Exp. P</t>
  </si>
  <si>
    <t xml:space="preserve">  Exp. Y</t>
  </si>
  <si>
    <t xml:space="preserve">  FACILITIES:</t>
  </si>
  <si>
    <t xml:space="preserve">  H&amp;MC</t>
  </si>
  <si>
    <t xml:space="preserve">  ITEM</t>
  </si>
  <si>
    <t xml:space="preserve">  Med. P</t>
  </si>
  <si>
    <t xml:space="preserve">  Med. Y</t>
  </si>
  <si>
    <t xml:space="preserve">  MNR</t>
  </si>
  <si>
    <t xml:space="preserve">  MP</t>
  </si>
  <si>
    <t xml:space="preserve">  MTC</t>
  </si>
  <si>
    <t xml:space="preserve">  MTR</t>
  </si>
  <si>
    <t xml:space="preserve">  MY</t>
  </si>
  <si>
    <t xml:space="preserve">  Opt. P</t>
  </si>
  <si>
    <t xml:space="preserve">  Opt. Y</t>
  </si>
  <si>
    <t xml:space="preserve">  Pess. P</t>
  </si>
  <si>
    <t xml:space="preserve">  Pess. Y</t>
  </si>
  <si>
    <t xml:space="preserve">  Pessimistic</t>
  </si>
  <si>
    <t xml:space="preserve">  SPO</t>
  </si>
  <si>
    <t xml:space="preserve">  SPP</t>
  </si>
  <si>
    <t xml:space="preserve">  STRHH</t>
  </si>
  <si>
    <t xml:space="preserve">  STRHL</t>
  </si>
  <si>
    <t xml:space="preserve">  STRLH</t>
  </si>
  <si>
    <t xml:space="preserve">  STRLL</t>
  </si>
  <si>
    <t xml:space="preserve">  STRO</t>
  </si>
  <si>
    <t xml:space="preserve">  STRP</t>
  </si>
  <si>
    <t xml:space="preserve">  SYO</t>
  </si>
  <si>
    <t xml:space="preserve">  SYP</t>
  </si>
  <si>
    <t xml:space="preserve">  T.C.</t>
  </si>
  <si>
    <t xml:space="preserve">  VPO</t>
  </si>
  <si>
    <t xml:space="preserve">  VPP</t>
  </si>
  <si>
    <t xml:space="preserve">  VTRHH</t>
  </si>
  <si>
    <t xml:space="preserve">  VTRHL</t>
  </si>
  <si>
    <t xml:space="preserve">  VTRLH</t>
  </si>
  <si>
    <t xml:space="preserve">  VTRLL</t>
  </si>
  <si>
    <t xml:space="preserve">  VYO</t>
  </si>
  <si>
    <t xml:space="preserve">  VYP</t>
  </si>
  <si>
    <t xml:space="preserve">  Worst P</t>
  </si>
  <si>
    <t xml:space="preserve">  Worst Y</t>
  </si>
  <si>
    <t xml:space="preserve"> ($/hd.)</t>
  </si>
  <si>
    <t xml:space="preserve"> ($/unit)</t>
  </si>
  <si>
    <t xml:space="preserve"> ($/yr.)</t>
  </si>
  <si>
    <t xml:space="preserve"> AVE. INV. TIMES</t>
  </si>
  <si>
    <t xml:space="preserve"> head sold</t>
  </si>
  <si>
    <t xml:space="preserve"> TOTAL AMOUNT</t>
  </si>
  <si>
    <t xml:space="preserve"> Type</t>
  </si>
  <si>
    <t xml:space="preserve"> UNITS</t>
  </si>
  <si>
    <t xml:space="preserve"> VARIABLE </t>
  </si>
  <si>
    <t>$ / CWT.</t>
  </si>
  <si>
    <t>%</t>
  </si>
  <si>
    <t>% OF TIME FOR</t>
  </si>
  <si>
    <t>(Check All Higlighted Entries this Page)</t>
  </si>
  <si>
    <t>(cwt./hd.)</t>
  </si>
  <si>
    <t>(For Use In Calculating Debt Payments on New Investment)</t>
  </si>
  <si>
    <t>(For Use In Totaling Debt Payments on Existing Investment)</t>
  </si>
  <si>
    <t>*</t>
  </si>
  <si>
    <t>:</t>
  </si>
  <si>
    <t>ACRE</t>
  </si>
  <si>
    <t>AMOUNT</t>
  </si>
  <si>
    <t>ANNUAL ENTERPRISE FIXED OUTLAYS</t>
  </si>
  <si>
    <t>AUCTION AND HAULING</t>
  </si>
  <si>
    <t>BEST</t>
  </si>
  <si>
    <t>Budget</t>
  </si>
  <si>
    <t>CALC.</t>
  </si>
  <si>
    <t>CALCULATED TOTAL ANNUAL DEBT PAYMENT</t>
  </si>
  <si>
    <t>Calculation of NR and for Z values</t>
  </si>
  <si>
    <t>Calculations</t>
  </si>
  <si>
    <t>CALF</t>
  </si>
  <si>
    <t xml:space="preserve">CASH </t>
  </si>
  <si>
    <t>CATTLE EQUIP. TAX &amp; INS.,</t>
  </si>
  <si>
    <t>CATTLE EQUIP:</t>
  </si>
  <si>
    <t>Chances</t>
  </si>
  <si>
    <t>Check All Highlighted Entries this Page)</t>
  </si>
  <si>
    <t>CORRAL &amp;</t>
  </si>
  <si>
    <t>CORRAL &amp; LOADING CHUTE</t>
  </si>
  <si>
    <t>COST</t>
  </si>
  <si>
    <t>CURRENT ANNUAL DEBT PAYMENTS:</t>
  </si>
  <si>
    <t>CWT.</t>
  </si>
  <si>
    <t>DAILY GAIN (LBS./DAY)</t>
  </si>
  <si>
    <t>DEATH LOSS</t>
  </si>
  <si>
    <t>DEATH LOSS (%)</t>
  </si>
  <si>
    <t>DEBT PAYMENT CALCULATION ON NEW INVESTMENT:</t>
  </si>
  <si>
    <t>DEPR.</t>
  </si>
  <si>
    <t>DIRECT FIXED COST</t>
  </si>
  <si>
    <t>DISK</t>
  </si>
  <si>
    <t>ENR_MNR</t>
  </si>
  <si>
    <t>EXP. PRICE</t>
  </si>
  <si>
    <t>EXP. WEIGHT</t>
  </si>
  <si>
    <t>EXPDATA:</t>
  </si>
  <si>
    <t>Expected</t>
  </si>
  <si>
    <t>EXPECTED BREAKEVEN TABLE</t>
  </si>
  <si>
    <t>EXPECTED RETURN TABLE</t>
  </si>
  <si>
    <t>Ext. Ag. Econ. Dept., Univ. of Ga.</t>
  </si>
  <si>
    <t>FEED BUNK</t>
  </si>
  <si>
    <t>FEED BUNKS</t>
  </si>
  <si>
    <t>FEED ONLY COST OF GAIN ($/CWT.)</t>
  </si>
  <si>
    <t>FEEDING COST OF GAIN ($/CWT.)</t>
  </si>
  <si>
    <t>FEEDING PERIOD (DAYS)</t>
  </si>
  <si>
    <t>FENCE (MILES)</t>
  </si>
  <si>
    <t>FENCING</t>
  </si>
  <si>
    <t>FLOW</t>
  </si>
  <si>
    <t>GRAIN BIN (2000 BU.)</t>
  </si>
  <si>
    <t>GRAIN DRILL</t>
  </si>
  <si>
    <t>GRINDERMIXER</t>
  </si>
  <si>
    <t>GROW.STIMULANT</t>
  </si>
  <si>
    <t>HAY</t>
  </si>
  <si>
    <t>HEAD</t>
  </si>
  <si>
    <t>HRS.</t>
  </si>
  <si>
    <t>IMPLANT</t>
  </si>
  <si>
    <t>INPUT DATA: Your values in the unprotected or highlighted cells</t>
  </si>
  <si>
    <t>INT.RATE</t>
  </si>
  <si>
    <t>INTEREST ON CATTLE INVEST. (AVE. INV. TIMES INT. RATE)</t>
  </si>
  <si>
    <t>INTEREST ON MACH. &amp; EQUIP. INVEST. (AVE. INV. TIMES INT. RATE)</t>
  </si>
  <si>
    <t>INTEREST ON OP. CAP.</t>
  </si>
  <si>
    <t>INTEREST RATE:</t>
  </si>
  <si>
    <t>INVESTMENT AND ANNUAL FIXED COST</t>
  </si>
  <si>
    <t>ITEM</t>
  </si>
  <si>
    <t>LABOR</t>
  </si>
  <si>
    <t>LAND</t>
  </si>
  <si>
    <t>LAND RENTAL</t>
  </si>
  <si>
    <t>LBS.</t>
  </si>
  <si>
    <t>LIFE</t>
  </si>
  <si>
    <t>LIME</t>
  </si>
  <si>
    <t>LOADING CHUTE</t>
  </si>
  <si>
    <t>LOAN # 1</t>
  </si>
  <si>
    <t>LOAN # 2</t>
  </si>
  <si>
    <t>LOAN # 3</t>
  </si>
  <si>
    <t>LOAN # 4</t>
  </si>
  <si>
    <t>LOAN # 5</t>
  </si>
  <si>
    <t>MACH &amp; EQUIP. TAX &amp; INS.,</t>
  </si>
  <si>
    <t>MACHINERY &amp; EQUIPMENT:</t>
  </si>
  <si>
    <t>MARKETING SHRINK(%)</t>
  </si>
  <si>
    <t>MAX. BREAKEVEN PURCHASE PRICE OF CALF</t>
  </si>
  <si>
    <t>MAY ENTER YOUR OWN VALUES.</t>
  </si>
  <si>
    <t>MEDIAN</t>
  </si>
  <si>
    <t>MEDICATION,WORM,VAC.</t>
  </si>
  <si>
    <t>MILES</t>
  </si>
  <si>
    <t>MISC. EQUIP.</t>
  </si>
  <si>
    <t>MISC. EQUIPMENT</t>
  </si>
  <si>
    <t>Net return levels (TOP ROW);</t>
  </si>
  <si>
    <t>NET SELLING WEIGHT (CWT.)</t>
  </si>
  <si>
    <t>NO. OF ACRES:</t>
  </si>
  <si>
    <t>NO. OF CALVES STOCKERED:</t>
  </si>
  <si>
    <t>NO. OF HEAD:</t>
  </si>
  <si>
    <t>NUMBER</t>
  </si>
  <si>
    <t>NUMBER OF ACRES</t>
  </si>
  <si>
    <t>NUMBER OF CALVES PLACED</t>
  </si>
  <si>
    <t>NUMBER OF CALVES SOLD</t>
  </si>
  <si>
    <t>OPT.</t>
  </si>
  <si>
    <t>Optimistic</t>
  </si>
  <si>
    <t>OTHER</t>
  </si>
  <si>
    <t>OTHER SEEDING EQUIP.</t>
  </si>
  <si>
    <t>PAYMENT</t>
  </si>
  <si>
    <t>PAYWEIGHT TO PAYWEIGHT</t>
  </si>
  <si>
    <t>PESS.</t>
  </si>
  <si>
    <t>PLOW</t>
  </si>
  <si>
    <t>PRICE</t>
  </si>
  <si>
    <t>PROCUREMENT COST</t>
  </si>
  <si>
    <t>PROFIT IS RETURN TO RISK AND ALL "ZERO" ITEMS IN THE BUDGET.</t>
  </si>
  <si>
    <t>QUANTITY</t>
  </si>
  <si>
    <t>RECEIVING RATION</t>
  </si>
  <si>
    <t>REPAIRS</t>
  </si>
  <si>
    <t>RISK RATED RETURNS OVER TOTAL COST</t>
  </si>
  <si>
    <t>SALVAGE</t>
  </si>
  <si>
    <t>SELLING PRICE ($/CWT.)</t>
  </si>
  <si>
    <t>STOCKING RATE (HEAD/ACRE)</t>
  </si>
  <si>
    <t>STRHH</t>
  </si>
  <si>
    <t>STRHL</t>
  </si>
  <si>
    <t>STRLH</t>
  </si>
  <si>
    <t>STRLL</t>
  </si>
  <si>
    <t>TAXES AND INSURANCE</t>
  </si>
  <si>
    <t>The chances of obtaining this level or less (BOTTOM ROW).</t>
  </si>
  <si>
    <t>The chances of obtaining this level or more (MIDDLE ROW); and</t>
  </si>
  <si>
    <t>THIS ENTERPRISE</t>
  </si>
  <si>
    <t>TON</t>
  </si>
  <si>
    <t>TONS</t>
  </si>
  <si>
    <t>TOTAL</t>
  </si>
  <si>
    <t>TOTAL ANNUAL DEBT PAYMENT</t>
  </si>
  <si>
    <t>TOTAL ANNUAL FIXED COST</t>
  </si>
  <si>
    <t>TOTAL ANNUAL FIXED OUTLAY</t>
  </si>
  <si>
    <t>TOTAL ANNUAL FIXED OUTLAY PER HEAD</t>
  </si>
  <si>
    <t>TOTAL ANNUAL MACHINERY &amp; EQUIPMENT FIXED COST PER ACRE</t>
  </si>
  <si>
    <t>TOTAL CATTLE EQUIP. DEPRECIATION</t>
  </si>
  <si>
    <t>TOTAL CATTLE INVESTMENT</t>
  </si>
  <si>
    <t>TOTAL COST</t>
  </si>
  <si>
    <t>TOTAL COST OF GAIN ($/CWT.)</t>
  </si>
  <si>
    <t>TOTAL FIXED COST</t>
  </si>
  <si>
    <t>TOTAL MACH. &amp; EQUIP. DEPRECIATION</t>
  </si>
  <si>
    <t>TOTAL MACH. &amp; EQUIP. INVEST.</t>
  </si>
  <si>
    <t>TOTAL PROCUREMENT COST</t>
  </si>
  <si>
    <t>TOTAL RETURN</t>
  </si>
  <si>
    <t>TOTAL VARIABLE COST</t>
  </si>
  <si>
    <t>TOTAL WEIGHT</t>
  </si>
  <si>
    <t>TRACTOR</t>
  </si>
  <si>
    <t>UNIT</t>
  </si>
  <si>
    <t>VALUE</t>
  </si>
  <si>
    <t>VARIABLE COST</t>
  </si>
  <si>
    <t>VARIABLE COSTS:</t>
  </si>
  <si>
    <t>WINTER GRAZING</t>
  </si>
  <si>
    <t>WORST</t>
  </si>
  <si>
    <t>YEARS</t>
  </si>
  <si>
    <t>YRS. OF</t>
  </si>
  <si>
    <t>Button</t>
  </si>
  <si>
    <t>REMEMBER</t>
  </si>
  <si>
    <t xml:space="preserve">  In order to Print a specific budget</t>
  </si>
  <si>
    <t xml:space="preserve">  you must Calculate before you</t>
  </si>
  <si>
    <t xml:space="preserve">  Print that particular budget.</t>
  </si>
  <si>
    <t>Returns</t>
  </si>
  <si>
    <t>(Total Cost Budget)</t>
  </si>
  <si>
    <t>(Cash Flow Budget)</t>
  </si>
  <si>
    <t>(Variable Cost Budget)</t>
  </si>
  <si>
    <t>ANNUAL FIXED PAYMENT</t>
  </si>
  <si>
    <t>RISK RATED RETURNS OVER CASH FLOW COST</t>
  </si>
  <si>
    <t>RISK RATED RETURNS OVER VARIABLE COST</t>
  </si>
  <si>
    <t>Note: Be sure to enable all</t>
  </si>
  <si>
    <t>macros on start-up.</t>
  </si>
  <si>
    <t>Calf weight</t>
  </si>
  <si>
    <t>Days fed</t>
  </si>
  <si>
    <t>$/ton</t>
  </si>
  <si>
    <t>$/#</t>
  </si>
  <si>
    <t>% of Ration</t>
  </si>
  <si>
    <t>#/ton</t>
  </si>
  <si>
    <t>Cost/ton</t>
  </si>
  <si>
    <t>corn</t>
  </si>
  <si>
    <t>whole cottonseed</t>
  </si>
  <si>
    <t>gin trash</t>
  </si>
  <si>
    <t>Total</t>
  </si>
  <si>
    <t>Total $/#</t>
  </si>
  <si>
    <t>Consumption</t>
  </si>
  <si>
    <t># fed/day</t>
  </si>
  <si>
    <t>Cost/day</t>
  </si>
  <si>
    <t>Total cost</t>
  </si>
  <si>
    <t>total # fed</t>
  </si>
  <si>
    <t>Animal Type</t>
  </si>
  <si>
    <t>Gain Target</t>
  </si>
  <si>
    <t>Steer</t>
  </si>
  <si>
    <t>Acre</t>
  </si>
  <si>
    <t>In Date</t>
  </si>
  <si>
    <t>Out Date</t>
  </si>
  <si>
    <t>Expected Buy-Sell Margin</t>
  </si>
  <si>
    <t>Total Cost</t>
  </si>
  <si>
    <t>Cash Flow</t>
  </si>
  <si>
    <t>Return to Budget</t>
  </si>
  <si>
    <t>ANNUAL CATTLE EQUIP. FIXED COST</t>
  </si>
  <si>
    <t>SUPPLEMENTAL FEED</t>
  </si>
  <si>
    <t>Winter Grazing Detail</t>
  </si>
  <si>
    <t>Winter Annual Grazing Budget</t>
  </si>
  <si>
    <t>Revised 2003</t>
  </si>
  <si>
    <t>Number of Acres</t>
  </si>
  <si>
    <t>Number of 1,000 # Animal Units/acre</t>
  </si>
  <si>
    <t>Expected number of grazing days/acre</t>
  </si>
  <si>
    <t>YOUR</t>
  </si>
  <si>
    <t xml:space="preserve">    ITEM</t>
  </si>
  <si>
    <t>PER ACRE</t>
  </si>
  <si>
    <t>FARM</t>
  </si>
  <si>
    <t>SEED</t>
  </si>
  <si>
    <t xml:space="preserve"> Wheat</t>
  </si>
  <si>
    <t>BU</t>
  </si>
  <si>
    <t xml:space="preserve"> Rye</t>
  </si>
  <si>
    <t>LB.</t>
  </si>
  <si>
    <t>FERTILIZER:</t>
  </si>
  <si>
    <t xml:space="preserve">  NITROGEN</t>
  </si>
  <si>
    <t xml:space="preserve">  PHOSPHATE</t>
  </si>
  <si>
    <t xml:space="preserve">  POTASH</t>
  </si>
  <si>
    <t>MACHINERY</t>
  </si>
  <si>
    <t xml:space="preserve">  FUEL</t>
  </si>
  <si>
    <t>GAL.</t>
  </si>
  <si>
    <t xml:space="preserve">  REPAIRS &amp; MAINT.</t>
  </si>
  <si>
    <t>Custom Planting</t>
  </si>
  <si>
    <t>Calculate Fixed Cost</t>
  </si>
  <si>
    <t>Calculate Fixed Payment</t>
  </si>
  <si>
    <t>TOTAL  FIXED COST</t>
  </si>
  <si>
    <t xml:space="preserve">TOTAL COST </t>
  </si>
  <si>
    <t>SENSITIVITY ANALYSIS-VARIABLE COSTS</t>
  </si>
  <si>
    <t xml:space="preserve">Cost Per Grazing Day at Various Combinations of Grazing Days &amp; Costs Per Acre </t>
  </si>
  <si>
    <t>+10%</t>
  </si>
  <si>
    <t>+25%</t>
  </si>
  <si>
    <t>Grazing Days</t>
  </si>
  <si>
    <t>Grazing Days Required to Breakeven at Various Dollars Per Day Drylot Cost &amp; Per Acre Cost</t>
  </si>
  <si>
    <t>$/Day Drylot Costs</t>
  </si>
  <si>
    <t>EXPDATA</t>
  </si>
  <si>
    <t>ALTB for calculation and return to breakeven table;</t>
  </si>
  <si>
    <t>ALTR for calculation and return to risk rated return table;</t>
  </si>
  <si>
    <t>ALTI for return to Instructions;</t>
  </si>
  <si>
    <t>HOME for return to beginning of budget.</t>
  </si>
  <si>
    <t>$/Cwt</t>
  </si>
  <si>
    <t xml:space="preserve">BASE BUDGETED NET REVENUE </t>
  </si>
  <si>
    <t>Profit (Loss) Per Head Placed</t>
  </si>
  <si>
    <t>MINERAL + IONOPHORE</t>
  </si>
  <si>
    <t>PERCENT</t>
  </si>
  <si>
    <t>Stockering Steers On Temporary Winter Grazing, Hay &amp; Supplement</t>
  </si>
  <si>
    <t>Agricultural &amp; Applied Economics and Animal &amp; Dairy Science Departments</t>
  </si>
  <si>
    <t>Return to Main Budget</t>
  </si>
  <si>
    <t>Procurement Cost Detail</t>
  </si>
  <si>
    <t>Auction &amp; Hauling Cost Detail</t>
  </si>
  <si>
    <t>Commission</t>
  </si>
  <si>
    <t>Yardage</t>
  </si>
  <si>
    <t>Day</t>
  </si>
  <si>
    <t>Hauling</t>
  </si>
  <si>
    <t>Total Auction &amp; Hauling Cost</t>
  </si>
  <si>
    <t>Procurement Detail</t>
  </si>
  <si>
    <t>Auction &amp; Hauling Detail</t>
  </si>
  <si>
    <t>Soybean Meal</t>
  </si>
  <si>
    <t xml:space="preserve"> Units Per Head</t>
  </si>
  <si>
    <t>Item</t>
  </si>
  <si>
    <t>Unit</t>
  </si>
  <si>
    <t>Total Quantity (units)</t>
  </si>
  <si>
    <t xml:space="preserve"> Unit Price ($/Unit)</t>
  </si>
  <si>
    <t>Total Amount</t>
  </si>
  <si>
    <t>Per Head Marketed</t>
  </si>
  <si>
    <t xml:space="preserve"> Oats</t>
  </si>
  <si>
    <t>Stockering Lightweight Steers On Cover Crop Temporary Winter Grazing, Hay &amp; Supplement</t>
  </si>
  <si>
    <t>Cover Crop Temporary Winter Grazing</t>
  </si>
  <si>
    <t>Return to Main budget</t>
  </si>
  <si>
    <t>University of Georgia Cooperative Extension Service</t>
  </si>
  <si>
    <t>Miles</t>
  </si>
  <si>
    <t>Order Buying</t>
  </si>
  <si>
    <t>R. Curt Lacy and Lawton Stewart</t>
  </si>
  <si>
    <t>October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</si>
</sst>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  <numFmt numFmtId="167" formatCode="mm/dd/yy"/>
    <numFmt numFmtId="168" formatCode="0.000"/>
    <numFmt numFmtId="171" formatCode="_(&quot;$&quot;* #,##0_);_(&quot;$&quot;* \(#,##0\);_(&quot;$&quot;* &quot;-&quot;??_);_(@_)"/>
  </numFmts>
  <fonts count="45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8"/>
      <name val="Helv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6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3"/>
      <name val="Arial"/>
      <family val="2"/>
    </font>
    <font>
      <b/>
      <sz val="12"/>
      <color indexed="13"/>
      <name val="Arial"/>
      <family val="2"/>
    </font>
    <font>
      <b/>
      <sz val="11"/>
      <color indexed="13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u/>
      <sz val="10"/>
      <color indexed="12"/>
      <name val="Bookman Old Style"/>
      <family val="1"/>
    </font>
    <font>
      <sz val="10"/>
      <color indexed="12"/>
      <name val="Bookman Old Style"/>
      <family val="1"/>
    </font>
    <font>
      <b/>
      <i/>
      <sz val="10"/>
      <name val="Bookman Old Style"/>
      <family val="1"/>
    </font>
    <font>
      <b/>
      <sz val="10"/>
      <color indexed="10"/>
      <name val="Bookman Old Style"/>
      <family val="1"/>
    </font>
    <font>
      <b/>
      <sz val="10"/>
      <color indexed="8"/>
      <name val="Bookman Old Style"/>
      <family val="1"/>
    </font>
    <font>
      <b/>
      <u/>
      <sz val="10"/>
      <name val="Bookman Old Style"/>
      <family val="1"/>
    </font>
    <font>
      <sz val="10"/>
      <name val="Arial"/>
      <family val="2"/>
    </font>
    <font>
      <sz val="10"/>
      <color rgb="FF0070C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8"/>
        <bgColor indexed="9"/>
      </patternFill>
    </fill>
    <fill>
      <patternFill patternType="solid">
        <fgColor indexed="22"/>
      </patternFill>
    </fill>
    <fill>
      <patternFill patternType="solid">
        <fgColor indexed="41"/>
        <bgColor indexed="9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0"/>
    <xf numFmtId="3" fontId="43" fillId="2" borderId="0"/>
    <xf numFmtId="7" fontId="43" fillId="2" borderId="0"/>
    <xf numFmtId="44" fontId="13" fillId="0" borderId="0" applyFont="0" applyFill="0" applyBorder="0" applyAlignment="0" applyProtection="0"/>
    <xf numFmtId="5" fontId="43" fillId="2" borderId="0"/>
    <xf numFmtId="0" fontId="43" fillId="2" borderId="0"/>
    <xf numFmtId="2" fontId="43" fillId="2" borderId="0"/>
    <xf numFmtId="0" fontId="1" fillId="2" borderId="0"/>
    <xf numFmtId="0" fontId="2" fillId="2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10" fontId="43" fillId="2" borderId="0"/>
    <xf numFmtId="9" fontId="13" fillId="0" borderId="0" applyFont="0" applyFill="0" applyBorder="0" applyAlignment="0" applyProtection="0"/>
    <xf numFmtId="0" fontId="43" fillId="2" borderId="1"/>
  </cellStyleXfs>
  <cellXfs count="236">
    <xf numFmtId="2" fontId="0" fillId="2" borderId="0" xfId="0" applyNumberFormat="1" applyFill="1"/>
    <xf numFmtId="9" fontId="0" fillId="2" borderId="0" xfId="0" applyNumberFormat="1" applyFill="1"/>
    <xf numFmtId="3" fontId="0" fillId="2" borderId="0" xfId="0" applyNumberFormat="1" applyFill="1"/>
    <xf numFmtId="0" fontId="0" fillId="2" borderId="0" xfId="0" applyFill="1"/>
    <xf numFmtId="2" fontId="3" fillId="3" borderId="0" xfId="0" applyNumberFormat="1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2" fontId="0" fillId="2" borderId="0" xfId="0" applyNumberFormat="1" applyFill="1" applyBorder="1"/>
    <xf numFmtId="0" fontId="13" fillId="0" borderId="0" xfId="11"/>
    <xf numFmtId="44" fontId="13" fillId="0" borderId="0" xfId="4"/>
    <xf numFmtId="9" fontId="13" fillId="0" borderId="0" xfId="13"/>
    <xf numFmtId="10" fontId="13" fillId="0" borderId="0" xfId="13" applyNumberFormat="1"/>
    <xf numFmtId="44" fontId="13" fillId="0" borderId="0" xfId="11" applyNumberFormat="1"/>
    <xf numFmtId="168" fontId="13" fillId="0" borderId="0" xfId="11" applyNumberFormat="1"/>
    <xf numFmtId="0" fontId="13" fillId="0" borderId="0" xfId="11" applyFont="1"/>
    <xf numFmtId="0" fontId="14" fillId="0" borderId="0" xfId="11" applyFont="1"/>
    <xf numFmtId="2" fontId="3" fillId="2" borderId="0" xfId="0" applyNumberFormat="1" applyFont="1" applyFill="1" applyBorder="1" applyAlignment="1">
      <alignment horizontal="centerContinuous"/>
    </xf>
    <xf numFmtId="2" fontId="10" fillId="2" borderId="0" xfId="0" applyNumberFormat="1" applyFont="1" applyFill="1" applyBorder="1"/>
    <xf numFmtId="9" fontId="0" fillId="2" borderId="0" xfId="0" applyNumberFormat="1" applyFill="1" applyBorder="1"/>
    <xf numFmtId="1" fontId="0" fillId="2" borderId="0" xfId="0" applyNumberFormat="1" applyFill="1" applyBorder="1"/>
    <xf numFmtId="165" fontId="0" fillId="2" borderId="0" xfId="0" applyNumberFormat="1" applyFill="1" applyBorder="1"/>
    <xf numFmtId="2" fontId="3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right"/>
    </xf>
    <xf numFmtId="3" fontId="0" fillId="2" borderId="0" xfId="0" applyNumberFormat="1" applyFill="1" applyBorder="1"/>
    <xf numFmtId="2" fontId="3" fillId="2" borderId="0" xfId="0" applyNumberFormat="1" applyFont="1" applyFill="1" applyBorder="1"/>
    <xf numFmtId="165" fontId="3" fillId="2" borderId="0" xfId="0" applyNumberFormat="1" applyFont="1" applyFill="1" applyBorder="1"/>
    <xf numFmtId="2" fontId="0" fillId="2" borderId="0" xfId="0" applyNumberFormat="1" applyFill="1" applyBorder="1" applyAlignment="1">
      <alignment horizontal="centerContinuous"/>
    </xf>
    <xf numFmtId="0" fontId="0" fillId="2" borderId="0" xfId="0" applyFill="1" applyBorder="1"/>
    <xf numFmtId="2" fontId="15" fillId="2" borderId="0" xfId="10" applyNumberFormat="1" applyFill="1" applyBorder="1" applyAlignment="1" applyProtection="1"/>
    <xf numFmtId="2" fontId="5" fillId="2" borderId="0" xfId="0" applyNumberFormat="1" applyFont="1" applyFill="1" applyBorder="1" applyAlignment="1">
      <alignment horizontal="centerContinuous"/>
    </xf>
    <xf numFmtId="2" fontId="7" fillId="2" borderId="0" xfId="0" applyNumberFormat="1" applyFont="1" applyFill="1" applyBorder="1" applyAlignment="1">
      <alignment horizontal="centerContinuous"/>
    </xf>
    <xf numFmtId="1" fontId="0" fillId="2" borderId="0" xfId="0" applyNumberFormat="1" applyFill="1" applyBorder="1" applyAlignment="1">
      <alignment horizontal="left"/>
    </xf>
    <xf numFmtId="1" fontId="16" fillId="2" borderId="0" xfId="0" applyNumberFormat="1" applyFont="1" applyFill="1" applyBorder="1" applyAlignment="1">
      <alignment horizontal="left"/>
    </xf>
    <xf numFmtId="164" fontId="0" fillId="2" borderId="0" xfId="0" applyNumberFormat="1" applyFill="1" applyBorder="1"/>
    <xf numFmtId="9" fontId="3" fillId="2" borderId="0" xfId="0" applyNumberFormat="1" applyFont="1" applyFill="1" applyBorder="1"/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centerContinuous"/>
    </xf>
    <xf numFmtId="165" fontId="0" fillId="2" borderId="0" xfId="0" applyNumberFormat="1" applyFill="1" applyBorder="1" applyAlignment="1">
      <alignment horizontal="centerContinuous"/>
    </xf>
    <xf numFmtId="165" fontId="9" fillId="2" borderId="0" xfId="0" applyNumberFormat="1" applyFont="1" applyFill="1" applyBorder="1"/>
    <xf numFmtId="2" fontId="11" fillId="2" borderId="0" xfId="0" applyNumberFormat="1" applyFont="1" applyFill="1" applyBorder="1"/>
    <xf numFmtId="165" fontId="12" fillId="2" borderId="0" xfId="0" applyNumberFormat="1" applyFont="1" applyFill="1" applyBorder="1"/>
    <xf numFmtId="2" fontId="0" fillId="2" borderId="2" xfId="0" applyNumberFormat="1" applyFill="1" applyBorder="1"/>
    <xf numFmtId="2" fontId="0" fillId="2" borderId="3" xfId="0" applyNumberFormat="1" applyFill="1" applyBorder="1"/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2" fontId="19" fillId="2" borderId="0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12" fillId="4" borderId="0" xfId="0" applyFont="1" applyFill="1" applyProtection="1">
      <protection locked="0"/>
    </xf>
    <xf numFmtId="0" fontId="9" fillId="4" borderId="0" xfId="0" applyFont="1" applyFill="1" applyBorder="1" applyProtection="1">
      <protection locked="0"/>
    </xf>
    <xf numFmtId="2" fontId="0" fillId="2" borderId="0" xfId="0" applyNumberFormat="1" applyFill="1" applyBorder="1" applyAlignment="1"/>
    <xf numFmtId="2" fontId="20" fillId="2" borderId="0" xfId="0" applyNumberFormat="1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left"/>
    </xf>
    <xf numFmtId="2" fontId="0" fillId="2" borderId="4" xfId="0" applyNumberFormat="1" applyFill="1" applyBorder="1"/>
    <xf numFmtId="2" fontId="9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5" xfId="0" applyNumberFormat="1" applyFill="1" applyBorder="1"/>
    <xf numFmtId="2" fontId="0" fillId="2" borderId="6" xfId="0" applyNumberFormat="1" applyFill="1" applyBorder="1"/>
    <xf numFmtId="10" fontId="21" fillId="2" borderId="0" xfId="12" applyFont="1" applyFill="1" applyBorder="1"/>
    <xf numFmtId="165" fontId="22" fillId="2" borderId="0" xfId="0" applyNumberFormat="1" applyFont="1" applyFill="1" applyBorder="1"/>
    <xf numFmtId="2" fontId="0" fillId="2" borderId="7" xfId="0" applyNumberFormat="1" applyFill="1" applyBorder="1"/>
    <xf numFmtId="2" fontId="0" fillId="5" borderId="8" xfId="0" applyNumberFormat="1" applyFill="1" applyBorder="1"/>
    <xf numFmtId="0" fontId="23" fillId="4" borderId="0" xfId="0" applyFont="1" applyFill="1" applyBorder="1" applyAlignment="1" applyProtection="1">
      <protection locked="0"/>
    </xf>
    <xf numFmtId="165" fontId="23" fillId="4" borderId="0" xfId="0" applyNumberFormat="1" applyFont="1" applyFill="1" applyAlignment="1" applyProtection="1">
      <protection locked="0"/>
    </xf>
    <xf numFmtId="0" fontId="23" fillId="4" borderId="0" xfId="0" applyFont="1" applyFill="1" applyAlignment="1" applyProtection="1">
      <protection locked="0"/>
    </xf>
    <xf numFmtId="2" fontId="15" fillId="2" borderId="0" xfId="10" applyNumberFormat="1" applyFill="1" applyBorder="1" applyAlignment="1" applyProtection="1">
      <alignment wrapText="1"/>
    </xf>
    <xf numFmtId="1" fontId="16" fillId="4" borderId="0" xfId="0" applyNumberFormat="1" applyFont="1" applyFill="1" applyBorder="1" applyAlignment="1" applyProtection="1">
      <protection locked="0"/>
    </xf>
    <xf numFmtId="165" fontId="16" fillId="4" borderId="0" xfId="0" applyNumberFormat="1" applyFont="1" applyFill="1" applyBorder="1" applyAlignment="1" applyProtection="1">
      <protection locked="0"/>
    </xf>
    <xf numFmtId="0" fontId="24" fillId="4" borderId="0" xfId="0" applyFont="1" applyFill="1" applyAlignment="1" applyProtection="1">
      <protection locked="0"/>
    </xf>
    <xf numFmtId="3" fontId="16" fillId="4" borderId="0" xfId="0" applyNumberFormat="1" applyFont="1" applyFill="1" applyBorder="1" applyAlignment="1" applyProtection="1">
      <protection locked="0"/>
    </xf>
    <xf numFmtId="0" fontId="16" fillId="4" borderId="0" xfId="0" applyFont="1" applyFill="1" applyBorder="1" applyAlignment="1" applyProtection="1">
      <protection locked="0"/>
    </xf>
    <xf numFmtId="10" fontId="16" fillId="2" borderId="0" xfId="12" applyFont="1" applyFill="1" applyBorder="1"/>
    <xf numFmtId="2" fontId="25" fillId="2" borderId="0" xfId="0" applyNumberFormat="1" applyFont="1" applyFill="1" applyBorder="1"/>
    <xf numFmtId="165" fontId="25" fillId="2" borderId="0" xfId="0" applyNumberFormat="1" applyFont="1" applyFill="1" applyBorder="1"/>
    <xf numFmtId="2" fontId="22" fillId="2" borderId="2" xfId="0" applyNumberFormat="1" applyFont="1" applyFill="1" applyBorder="1"/>
    <xf numFmtId="2" fontId="26" fillId="2" borderId="0" xfId="0" applyNumberFormat="1" applyFont="1" applyFill="1" applyBorder="1"/>
    <xf numFmtId="2" fontId="0" fillId="2" borderId="9" xfId="0" applyNumberFormat="1" applyFill="1" applyBorder="1"/>
    <xf numFmtId="2" fontId="0" fillId="2" borderId="0" xfId="0" applyNumberFormat="1" applyFill="1" applyBorder="1" applyAlignment="1">
      <alignment wrapText="1"/>
    </xf>
    <xf numFmtId="0" fontId="0" fillId="4" borderId="0" xfId="0" applyFill="1" applyBorder="1"/>
    <xf numFmtId="9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9" fontId="0" fillId="4" borderId="0" xfId="0" quotePrefix="1" applyNumberFormat="1" applyFill="1" applyBorder="1" applyAlignment="1">
      <alignment horizontal="center"/>
    </xf>
    <xf numFmtId="0" fontId="0" fillId="4" borderId="0" xfId="0" quotePrefix="1" applyFill="1" applyBorder="1" applyAlignment="1">
      <alignment horizontal="center"/>
    </xf>
    <xf numFmtId="2" fontId="3" fillId="2" borderId="0" xfId="8" applyNumberFormat="1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 wrapText="1"/>
    </xf>
    <xf numFmtId="171" fontId="14" fillId="2" borderId="11" xfId="3" applyNumberFormat="1" applyFont="1" applyFill="1" applyBorder="1" applyAlignment="1"/>
    <xf numFmtId="171" fontId="14" fillId="2" borderId="12" xfId="3" applyNumberFormat="1" applyFont="1" applyFill="1" applyBorder="1" applyAlignment="1"/>
    <xf numFmtId="166" fontId="0" fillId="2" borderId="0" xfId="0" applyNumberFormat="1" applyFill="1" applyBorder="1"/>
    <xf numFmtId="0" fontId="14" fillId="4" borderId="13" xfId="0" applyFont="1" applyFill="1" applyBorder="1"/>
    <xf numFmtId="7" fontId="21" fillId="2" borderId="0" xfId="3" applyFont="1" applyFill="1" applyBorder="1"/>
    <xf numFmtId="7" fontId="21" fillId="2" borderId="0" xfId="3" applyFont="1" applyFill="1"/>
    <xf numFmtId="166" fontId="22" fillId="2" borderId="0" xfId="0" applyNumberFormat="1" applyFont="1" applyFill="1" applyBorder="1"/>
    <xf numFmtId="0" fontId="14" fillId="4" borderId="14" xfId="0" applyFont="1" applyFill="1" applyBorder="1"/>
    <xf numFmtId="0" fontId="14" fillId="4" borderId="0" xfId="0" applyFont="1" applyFill="1" applyBorder="1"/>
    <xf numFmtId="7" fontId="14" fillId="2" borderId="13" xfId="3" applyFont="1" applyFill="1" applyBorder="1"/>
    <xf numFmtId="37" fontId="21" fillId="2" borderId="0" xfId="3" applyNumberFormat="1" applyFont="1" applyFill="1" applyBorder="1"/>
    <xf numFmtId="37" fontId="21" fillId="2" borderId="0" xfId="3" applyNumberFormat="1" applyFont="1" applyFill="1"/>
    <xf numFmtId="7" fontId="14" fillId="2" borderId="14" xfId="3" applyFont="1" applyFill="1" applyBorder="1"/>
    <xf numFmtId="11" fontId="0" fillId="2" borderId="0" xfId="0" applyNumberFormat="1" applyFill="1" applyBorder="1"/>
    <xf numFmtId="2" fontId="0" fillId="2" borderId="15" xfId="0" applyNumberFormat="1" applyFill="1" applyBorder="1"/>
    <xf numFmtId="2" fontId="0" fillId="2" borderId="16" xfId="0" applyNumberFormat="1" applyFill="1" applyBorder="1"/>
    <xf numFmtId="11" fontId="3" fillId="2" borderId="0" xfId="0" applyNumberFormat="1" applyFont="1" applyFill="1" applyBorder="1" applyAlignment="1">
      <alignment horizontal="centerContinuous"/>
    </xf>
    <xf numFmtId="0" fontId="12" fillId="4" borderId="0" xfId="0" applyFont="1" applyFill="1" applyBorder="1" applyProtection="1">
      <protection locked="0"/>
    </xf>
    <xf numFmtId="0" fontId="0" fillId="2" borderId="0" xfId="0" applyFill="1" applyBorder="1" applyAlignment="1">
      <alignment horizontal="centerContinuous"/>
    </xf>
    <xf numFmtId="2" fontId="6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Continuous"/>
    </xf>
    <xf numFmtId="2" fontId="5" fillId="2" borderId="0" xfId="0" applyNumberFormat="1" applyFont="1" applyFill="1" applyBorder="1"/>
    <xf numFmtId="2" fontId="5" fillId="2" borderId="4" xfId="0" applyNumberFormat="1" applyFont="1" applyFill="1" applyBorder="1"/>
    <xf numFmtId="2" fontId="0" fillId="2" borderId="17" xfId="0" applyNumberFormat="1" applyFill="1" applyBorder="1"/>
    <xf numFmtId="1" fontId="0" fillId="2" borderId="3" xfId="0" applyNumberFormat="1" applyFill="1" applyBorder="1"/>
    <xf numFmtId="7" fontId="9" fillId="2" borderId="0" xfId="3" applyFont="1"/>
    <xf numFmtId="9" fontId="13" fillId="0" borderId="0" xfId="11" applyNumberFormat="1"/>
    <xf numFmtId="9" fontId="0" fillId="2" borderId="0" xfId="0" applyNumberFormat="1" applyFill="1" applyBorder="1" applyAlignment="1">
      <alignment horizontal="left"/>
    </xf>
    <xf numFmtId="165" fontId="11" fillId="2" borderId="0" xfId="0" applyNumberFormat="1" applyFont="1" applyFill="1" applyBorder="1"/>
    <xf numFmtId="2" fontId="9" fillId="2" borderId="0" xfId="0" applyNumberFormat="1" applyFont="1" applyFill="1" applyBorder="1" applyAlignment="1">
      <alignment horizontal="left"/>
    </xf>
    <xf numFmtId="165" fontId="9" fillId="2" borderId="0" xfId="0" applyNumberFormat="1" applyFont="1" applyFill="1" applyBorder="1" applyAlignment="1">
      <alignment horizontal="center" wrapText="1"/>
    </xf>
    <xf numFmtId="0" fontId="32" fillId="6" borderId="18" xfId="0" applyFont="1" applyFill="1" applyBorder="1"/>
    <xf numFmtId="0" fontId="33" fillId="6" borderId="7" xfId="0" applyFont="1" applyFill="1" applyBorder="1" applyAlignment="1">
      <alignment horizontal="center"/>
    </xf>
    <xf numFmtId="0" fontId="32" fillId="6" borderId="19" xfId="0" applyFont="1" applyFill="1" applyBorder="1"/>
    <xf numFmtId="0" fontId="32" fillId="6" borderId="20" xfId="0" applyFont="1" applyFill="1" applyBorder="1"/>
    <xf numFmtId="0" fontId="32" fillId="6" borderId="0" xfId="0" applyFont="1" applyFill="1" applyBorder="1"/>
    <xf numFmtId="0" fontId="32" fillId="6" borderId="21" xfId="0" applyFont="1" applyFill="1" applyBorder="1"/>
    <xf numFmtId="0" fontId="34" fillId="6" borderId="20" xfId="0" applyFont="1" applyFill="1" applyBorder="1"/>
    <xf numFmtId="0" fontId="32" fillId="6" borderId="22" xfId="0" applyFont="1" applyFill="1" applyBorder="1"/>
    <xf numFmtId="0" fontId="32" fillId="6" borderId="5" xfId="0" applyFont="1" applyFill="1" applyBorder="1"/>
    <xf numFmtId="0" fontId="32" fillId="6" borderId="23" xfId="0" applyFont="1" applyFill="1" applyBorder="1"/>
    <xf numFmtId="2" fontId="0" fillId="5" borderId="24" xfId="0" applyNumberFormat="1" applyFill="1" applyBorder="1" applyAlignment="1">
      <alignment horizontal="centerContinuous"/>
    </xf>
    <xf numFmtId="2" fontId="0" fillId="5" borderId="25" xfId="0" applyNumberFormat="1" applyFill="1" applyBorder="1" applyAlignment="1">
      <alignment horizontal="centerContinuous"/>
    </xf>
    <xf numFmtId="2" fontId="0" fillId="5" borderId="26" xfId="0" applyNumberFormat="1" applyFill="1" applyBorder="1"/>
    <xf numFmtId="2" fontId="3" fillId="5" borderId="0" xfId="0" applyNumberFormat="1" applyFont="1" applyFill="1" applyAlignment="1">
      <alignment horizontal="centerContinuous"/>
    </xf>
    <xf numFmtId="2" fontId="0" fillId="5" borderId="27" xfId="0" applyNumberFormat="1" applyFill="1" applyBorder="1"/>
    <xf numFmtId="2" fontId="0" fillId="5" borderId="28" xfId="0" applyNumberFormat="1" applyFill="1" applyBorder="1"/>
    <xf numFmtId="2" fontId="0" fillId="5" borderId="29" xfId="0" applyNumberFormat="1" applyFill="1" applyBorder="1"/>
    <xf numFmtId="2" fontId="0" fillId="5" borderId="30" xfId="0" applyNumberFormat="1" applyFill="1" applyBorder="1"/>
    <xf numFmtId="2" fontId="0" fillId="5" borderId="31" xfId="0" applyNumberFormat="1" applyFill="1" applyBorder="1"/>
    <xf numFmtId="2" fontId="0" fillId="5" borderId="32" xfId="0" applyNumberFormat="1" applyFill="1" applyBorder="1"/>
    <xf numFmtId="0" fontId="0" fillId="7" borderId="2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5" borderId="27" xfId="0" applyFill="1" applyBorder="1" applyProtection="1">
      <protection locked="0"/>
    </xf>
    <xf numFmtId="0" fontId="8" fillId="5" borderId="28" xfId="0" applyFont="1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29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5" borderId="34" xfId="0" applyFill="1" applyBorder="1" applyProtection="1">
      <protection locked="0"/>
    </xf>
    <xf numFmtId="2" fontId="31" fillId="5" borderId="28" xfId="0" applyNumberFormat="1" applyFont="1" applyFill="1" applyBorder="1" applyAlignment="1">
      <alignment horizontal="left"/>
    </xf>
    <xf numFmtId="2" fontId="35" fillId="5" borderId="0" xfId="0" applyNumberFormat="1" applyFont="1" applyFill="1" applyAlignment="1">
      <alignment horizontal="centerContinuous"/>
    </xf>
    <xf numFmtId="2" fontId="31" fillId="5" borderId="0" xfId="0" applyNumberFormat="1" applyFont="1" applyFill="1" applyAlignment="1">
      <alignment horizontal="centerContinuous"/>
    </xf>
    <xf numFmtId="2" fontId="35" fillId="5" borderId="27" xfId="0" applyNumberFormat="1" applyFont="1" applyFill="1" applyBorder="1"/>
    <xf numFmtId="2" fontId="31" fillId="5" borderId="35" xfId="0" applyNumberFormat="1" applyFont="1" applyFill="1" applyBorder="1" applyAlignment="1">
      <alignment horizontal="center"/>
    </xf>
    <xf numFmtId="2" fontId="31" fillId="5" borderId="31" xfId="0" applyNumberFormat="1" applyFont="1" applyFill="1" applyBorder="1" applyAlignment="1">
      <alignment horizontal="center"/>
    </xf>
    <xf numFmtId="2" fontId="31" fillId="5" borderId="36" xfId="0" applyNumberFormat="1" applyFont="1" applyFill="1" applyBorder="1" applyAlignment="1">
      <alignment horizontal="center"/>
    </xf>
    <xf numFmtId="2" fontId="31" fillId="5" borderId="30" xfId="0" applyNumberFormat="1" applyFont="1" applyFill="1" applyBorder="1" applyAlignment="1">
      <alignment horizontal="center"/>
    </xf>
    <xf numFmtId="2" fontId="35" fillId="5" borderId="29" xfId="0" applyNumberFormat="1" applyFont="1" applyFill="1" applyBorder="1"/>
    <xf numFmtId="2" fontId="31" fillId="5" borderId="37" xfId="0" applyNumberFormat="1" applyFont="1" applyFill="1" applyBorder="1" applyAlignment="1">
      <alignment horizontal="center"/>
    </xf>
    <xf numFmtId="0" fontId="9" fillId="5" borderId="0" xfId="0" applyFont="1" applyFill="1" applyBorder="1" applyProtection="1">
      <protection locked="0"/>
    </xf>
    <xf numFmtId="2" fontId="36" fillId="2" borderId="0" xfId="0" applyNumberFormat="1" applyFont="1" applyFill="1" applyBorder="1"/>
    <xf numFmtId="2" fontId="14" fillId="2" borderId="0" xfId="0" applyNumberFormat="1" applyFont="1" applyFill="1" applyBorder="1" applyAlignment="1">
      <alignment horizontal="centerContinuous"/>
    </xf>
    <xf numFmtId="2" fontId="14" fillId="2" borderId="0" xfId="8" applyNumberFormat="1" applyFont="1" applyFill="1" applyBorder="1" applyAlignment="1">
      <alignment horizontal="center"/>
    </xf>
    <xf numFmtId="165" fontId="36" fillId="2" borderId="0" xfId="0" applyNumberFormat="1" applyFont="1" applyFill="1" applyBorder="1"/>
    <xf numFmtId="2" fontId="14" fillId="2" borderId="0" xfId="0" applyNumberFormat="1" applyFont="1" applyFill="1" applyBorder="1"/>
    <xf numFmtId="165" fontId="14" fillId="2" borderId="0" xfId="0" applyNumberFormat="1" applyFont="1" applyFill="1" applyBorder="1"/>
    <xf numFmtId="2" fontId="36" fillId="2" borderId="0" xfId="0" applyNumberFormat="1" applyFont="1" applyFill="1" applyBorder="1" applyAlignment="1">
      <alignment horizontal="left"/>
    </xf>
    <xf numFmtId="7" fontId="36" fillId="2" borderId="0" xfId="3" applyFont="1"/>
    <xf numFmtId="10" fontId="38" fillId="2" borderId="0" xfId="12" applyFont="1"/>
    <xf numFmtId="2" fontId="38" fillId="2" borderId="0" xfId="0" applyNumberFormat="1" applyFont="1" applyFill="1" applyBorder="1"/>
    <xf numFmtId="7" fontId="14" fillId="2" borderId="0" xfId="3" applyFont="1"/>
    <xf numFmtId="2" fontId="36" fillId="2" borderId="0" xfId="0" applyNumberFormat="1" applyFont="1" applyFill="1" applyBorder="1" applyAlignment="1"/>
    <xf numFmtId="167" fontId="36" fillId="2" borderId="0" xfId="0" applyNumberFormat="1" applyFont="1" applyFill="1" applyBorder="1"/>
    <xf numFmtId="1" fontId="36" fillId="2" borderId="0" xfId="0" applyNumberFormat="1" applyFont="1" applyFill="1" applyBorder="1"/>
    <xf numFmtId="7" fontId="38" fillId="2" borderId="0" xfId="3" applyFont="1"/>
    <xf numFmtId="2" fontId="14" fillId="2" borderId="0" xfId="0" applyNumberFormat="1" applyFont="1" applyFill="1" applyBorder="1" applyAlignment="1">
      <alignment horizontal="center" wrapText="1"/>
    </xf>
    <xf numFmtId="2" fontId="36" fillId="2" borderId="0" xfId="0" applyNumberFormat="1" applyFont="1" applyFill="1" applyBorder="1" applyAlignment="1">
      <alignment horizontal="right"/>
    </xf>
    <xf numFmtId="3" fontId="36" fillId="2" borderId="0" xfId="0" applyNumberFormat="1" applyFont="1" applyFill="1" applyBorder="1"/>
    <xf numFmtId="166" fontId="36" fillId="2" borderId="0" xfId="0" applyNumberFormat="1" applyFont="1" applyFill="1" applyBorder="1"/>
    <xf numFmtId="10" fontId="36" fillId="2" borderId="0" xfId="12" applyFont="1"/>
    <xf numFmtId="166" fontId="14" fillId="2" borderId="0" xfId="0" applyNumberFormat="1" applyFont="1" applyFill="1" applyBorder="1"/>
    <xf numFmtId="7" fontId="36" fillId="2" borderId="0" xfId="3" applyNumberFormat="1" applyFont="1"/>
    <xf numFmtId="7" fontId="36" fillId="2" borderId="0" xfId="3" applyFont="1" applyBorder="1"/>
    <xf numFmtId="3" fontId="38" fillId="2" borderId="0" xfId="0" applyNumberFormat="1" applyFont="1" applyFill="1" applyBorder="1"/>
    <xf numFmtId="165" fontId="36" fillId="2" borderId="0" xfId="0" applyNumberFormat="1" applyFont="1" applyFill="1" applyBorder="1" applyAlignment="1">
      <alignment horizontal="right"/>
    </xf>
    <xf numFmtId="2" fontId="14" fillId="2" borderId="0" xfId="8" applyNumberFormat="1" applyFont="1" applyBorder="1" applyAlignment="1">
      <alignment horizontal="right"/>
    </xf>
    <xf numFmtId="165" fontId="14" fillId="2" borderId="0" xfId="0" applyNumberFormat="1" applyFont="1" applyFill="1" applyBorder="1" applyAlignment="1">
      <alignment horizontal="right"/>
    </xf>
    <xf numFmtId="165" fontId="41" fillId="2" borderId="0" xfId="0" applyNumberFormat="1" applyFont="1" applyFill="1" applyBorder="1" applyAlignment="1">
      <alignment horizontal="right"/>
    </xf>
    <xf numFmtId="1" fontId="36" fillId="8" borderId="38" xfId="0" applyNumberFormat="1" applyFont="1" applyFill="1" applyBorder="1"/>
    <xf numFmtId="2" fontId="36" fillId="8" borderId="11" xfId="0" applyNumberFormat="1" applyFont="1" applyFill="1" applyBorder="1"/>
    <xf numFmtId="2" fontId="36" fillId="8" borderId="12" xfId="0" applyNumberFormat="1" applyFont="1" applyFill="1" applyBorder="1"/>
    <xf numFmtId="11" fontId="36" fillId="2" borderId="0" xfId="0" applyNumberFormat="1" applyFont="1" applyFill="1" applyBorder="1"/>
    <xf numFmtId="2" fontId="42" fillId="2" borderId="0" xfId="0" applyNumberFormat="1" applyFont="1" applyFill="1" applyBorder="1"/>
    <xf numFmtId="9" fontId="36" fillId="2" borderId="0" xfId="0" applyNumberFormat="1" applyFont="1" applyFill="1" applyBorder="1"/>
    <xf numFmtId="9" fontId="14" fillId="2" borderId="0" xfId="0" applyNumberFormat="1" applyFont="1" applyFill="1" applyBorder="1" applyAlignment="1">
      <alignment horizontal="centerContinuous"/>
    </xf>
    <xf numFmtId="2" fontId="14" fillId="2" borderId="46" xfId="0" applyNumberFormat="1" applyFont="1" applyFill="1" applyBorder="1" applyAlignment="1">
      <alignment horizontal="center"/>
    </xf>
    <xf numFmtId="2" fontId="14" fillId="2" borderId="47" xfId="0" applyNumberFormat="1" applyFont="1" applyFill="1" applyBorder="1" applyAlignment="1">
      <alignment horizontal="center"/>
    </xf>
    <xf numFmtId="2" fontId="14" fillId="2" borderId="48" xfId="0" applyNumberFormat="1" applyFont="1" applyFill="1" applyBorder="1" applyAlignment="1">
      <alignment horizontal="center"/>
    </xf>
    <xf numFmtId="2" fontId="14" fillId="2" borderId="49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4" fillId="2" borderId="50" xfId="0" applyNumberFormat="1" applyFont="1" applyFill="1" applyBorder="1" applyAlignment="1">
      <alignment horizontal="center"/>
    </xf>
    <xf numFmtId="2" fontId="14" fillId="2" borderId="51" xfId="0" applyNumberFormat="1" applyFont="1" applyFill="1" applyBorder="1" applyAlignment="1">
      <alignment horizontal="center"/>
    </xf>
    <xf numFmtId="2" fontId="14" fillId="2" borderId="52" xfId="0" applyNumberFormat="1" applyFont="1" applyFill="1" applyBorder="1" applyAlignment="1">
      <alignment horizontal="center"/>
    </xf>
    <xf numFmtId="2" fontId="14" fillId="2" borderId="53" xfId="0" applyNumberFormat="1" applyFont="1" applyFill="1" applyBorder="1" applyAlignment="1">
      <alignment horizontal="center"/>
    </xf>
    <xf numFmtId="2" fontId="14" fillId="2" borderId="54" xfId="9" applyNumberFormat="1" applyFont="1" applyBorder="1" applyAlignment="1">
      <alignment horizontal="center"/>
    </xf>
    <xf numFmtId="2" fontId="14" fillId="2" borderId="32" xfId="9" applyNumberFormat="1" applyFont="1" applyBorder="1" applyAlignment="1">
      <alignment horizontal="center"/>
    </xf>
    <xf numFmtId="2" fontId="14" fillId="2" borderId="55" xfId="9" applyNumberFormat="1" applyFont="1" applyBorder="1" applyAlignment="1">
      <alignment horizontal="center"/>
    </xf>
    <xf numFmtId="2" fontId="14" fillId="2" borderId="54" xfId="0" applyNumberFormat="1" applyFont="1" applyFill="1" applyBorder="1" applyAlignment="1">
      <alignment horizontal="center" wrapText="1"/>
    </xf>
    <xf numFmtId="2" fontId="14" fillId="2" borderId="32" xfId="0" applyNumberFormat="1" applyFont="1" applyFill="1" applyBorder="1" applyAlignment="1">
      <alignment horizontal="center" wrapText="1"/>
    </xf>
    <xf numFmtId="2" fontId="14" fillId="2" borderId="55" xfId="0" applyNumberFormat="1" applyFont="1" applyFill="1" applyBorder="1" applyAlignment="1">
      <alignment horizontal="center" wrapText="1"/>
    </xf>
    <xf numFmtId="2" fontId="14" fillId="2" borderId="56" xfId="0" applyNumberFormat="1" applyFont="1" applyFill="1" applyBorder="1" applyAlignment="1">
      <alignment horizontal="center" wrapText="1"/>
    </xf>
    <xf numFmtId="2" fontId="36" fillId="2" borderId="0" xfId="0" applyNumberFormat="1" applyFont="1" applyFill="1" applyBorder="1" applyAlignment="1"/>
    <xf numFmtId="11" fontId="14" fillId="2" borderId="0" xfId="0" applyNumberFormat="1" applyFont="1" applyFill="1" applyBorder="1" applyAlignment="1">
      <alignment horizontal="center"/>
    </xf>
    <xf numFmtId="0" fontId="36" fillId="2" borderId="44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6" fillId="2" borderId="45" xfId="0" applyFont="1" applyFill="1" applyBorder="1" applyAlignment="1">
      <alignment horizontal="center"/>
    </xf>
    <xf numFmtId="2" fontId="14" fillId="2" borderId="0" xfId="0" applyNumberFormat="1" applyFont="1" applyFill="1" applyBorder="1" applyAlignment="1"/>
    <xf numFmtId="2" fontId="36" fillId="2" borderId="0" xfId="0" applyNumberFormat="1" applyFont="1" applyFill="1" applyAlignment="1"/>
    <xf numFmtId="2" fontId="40" fillId="2" borderId="33" xfId="0" applyNumberFormat="1" applyFont="1" applyFill="1" applyBorder="1" applyAlignment="1"/>
    <xf numFmtId="2" fontId="39" fillId="2" borderId="0" xfId="0" applyNumberFormat="1" applyFont="1" applyFill="1" applyBorder="1" applyAlignment="1"/>
    <xf numFmtId="0" fontId="36" fillId="2" borderId="39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6" fillId="2" borderId="40" xfId="0" applyFont="1" applyFill="1" applyBorder="1" applyAlignment="1">
      <alignment horizontal="center"/>
    </xf>
    <xf numFmtId="0" fontId="36" fillId="2" borderId="41" xfId="0" applyFont="1" applyFill="1" applyBorder="1" applyAlignment="1">
      <alignment horizontal="center"/>
    </xf>
    <xf numFmtId="0" fontId="36" fillId="2" borderId="42" xfId="0" applyFont="1" applyFill="1" applyBorder="1" applyAlignment="1">
      <alignment horizontal="center"/>
    </xf>
    <xf numFmtId="0" fontId="36" fillId="2" borderId="43" xfId="0" applyFont="1" applyFill="1" applyBorder="1" applyAlignment="1">
      <alignment horizontal="center"/>
    </xf>
    <xf numFmtId="2" fontId="28" fillId="5" borderId="0" xfId="0" applyNumberFormat="1" applyFont="1" applyFill="1" applyBorder="1" applyAlignment="1">
      <alignment horizontal="center"/>
    </xf>
    <xf numFmtId="2" fontId="29" fillId="5" borderId="0" xfId="0" applyNumberFormat="1" applyFont="1" applyFill="1" applyBorder="1" applyAlignment="1">
      <alignment horizontal="center"/>
    </xf>
    <xf numFmtId="2" fontId="22" fillId="2" borderId="0" xfId="0" applyNumberFormat="1" applyFont="1" applyFill="1" applyBorder="1" applyAlignment="1">
      <alignment horizontal="center"/>
    </xf>
    <xf numFmtId="2" fontId="30" fillId="2" borderId="0" xfId="0" quotePrefix="1" applyNumberFormat="1" applyFont="1" applyFill="1" applyBorder="1" applyAlignment="1">
      <alignment horizontal="center"/>
    </xf>
    <xf numFmtId="2" fontId="30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wrapText="1"/>
    </xf>
    <xf numFmtId="2" fontId="0" fillId="2" borderId="0" xfId="0" applyNumberFormat="1" applyFill="1" applyBorder="1" applyAlignment="1"/>
    <xf numFmtId="2" fontId="26" fillId="2" borderId="0" xfId="0" applyNumberFormat="1" applyFont="1" applyFill="1" applyBorder="1" applyAlignment="1"/>
    <xf numFmtId="0" fontId="16" fillId="4" borderId="0" xfId="0" applyFont="1" applyFill="1" applyBorder="1" applyAlignment="1" applyProtection="1">
      <alignment wrapText="1"/>
      <protection locked="0"/>
    </xf>
    <xf numFmtId="2" fontId="38" fillId="2" borderId="0" xfId="0" applyNumberFormat="1" applyFont="1" applyFill="1" applyBorder="1" applyAlignment="1"/>
    <xf numFmtId="2" fontId="37" fillId="2" borderId="0" xfId="10" applyNumberFormat="1" applyFont="1" applyFill="1" applyBorder="1" applyAlignment="1" applyProtection="1">
      <alignment horizontal="center"/>
    </xf>
    <xf numFmtId="2" fontId="15" fillId="2" borderId="0" xfId="10" applyNumberFormat="1" applyFill="1" applyBorder="1" applyAlignment="1" applyProtection="1"/>
    <xf numFmtId="165" fontId="44" fillId="2" borderId="0" xfId="0" applyNumberFormat="1" applyFont="1" applyFill="1" applyBorder="1"/>
    <xf numFmtId="7" fontId="44" fillId="2" borderId="0" xfId="3" applyFont="1"/>
  </cellXfs>
  <cellStyles count="15">
    <cellStyle name="Code" xfId="1"/>
    <cellStyle name="Comma0" xfId="2"/>
    <cellStyle name="Currency" xfId="3" builtinId="4"/>
    <cellStyle name="Currency_Feed cost calcualtor" xf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Hyperlink" xfId="10" builtinId="8"/>
    <cellStyle name="Normal" xfId="0" builtinId="0"/>
    <cellStyle name="Normal_Feed cost calcualtor" xfId="11"/>
    <cellStyle name="Percent" xfId="12" builtinId="5"/>
    <cellStyle name="Percent_Feed cost calcualtor" xfId="13"/>
    <cellStyle name="Total" xfId="14" builtinId="25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</xdr:row>
      <xdr:rowOff>0</xdr:rowOff>
    </xdr:from>
    <xdr:to>
      <xdr:col>3</xdr:col>
      <xdr:colOff>771525</xdr:colOff>
      <xdr:row>9</xdr:row>
      <xdr:rowOff>152400</xdr:rowOff>
    </xdr:to>
    <xdr:sp macro="[0]!totalcost" textlink="">
      <xdr:nvSpPr>
        <xdr:cNvPr id="2049" name="Rectangle 1025"/>
        <xdr:cNvSpPr>
          <a:spLocks noChangeArrowheads="1"/>
        </xdr:cNvSpPr>
      </xdr:nvSpPr>
      <xdr:spPr bwMode="auto">
        <a:xfrm>
          <a:off x="1885950" y="1638300"/>
          <a:ext cx="762000" cy="152400"/>
        </a:xfrm>
        <a:prstGeom prst="rect">
          <a:avLst/>
        </a:prstGeom>
        <a:solidFill>
          <a:srgbClr val="EAEAE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Calculate</a:t>
          </a:r>
          <a:endParaRPr lang="en-US"/>
        </a:p>
      </xdr:txBody>
    </xdr:sp>
    <xdr:clientData/>
  </xdr:twoCellAnchor>
  <xdr:twoCellAnchor>
    <xdr:from>
      <xdr:col>3</xdr:col>
      <xdr:colOff>9525</xdr:colOff>
      <xdr:row>10</xdr:row>
      <xdr:rowOff>0</xdr:rowOff>
    </xdr:from>
    <xdr:to>
      <xdr:col>3</xdr:col>
      <xdr:colOff>771525</xdr:colOff>
      <xdr:row>10</xdr:row>
      <xdr:rowOff>152400</xdr:rowOff>
    </xdr:to>
    <xdr:sp macro="[0]!print_total_cost" textlink="">
      <xdr:nvSpPr>
        <xdr:cNvPr id="2050" name="Rectangle 1026"/>
        <xdr:cNvSpPr>
          <a:spLocks noChangeArrowheads="1"/>
        </xdr:cNvSpPr>
      </xdr:nvSpPr>
      <xdr:spPr bwMode="auto">
        <a:xfrm>
          <a:off x="1885950" y="1800225"/>
          <a:ext cx="762000" cy="152400"/>
        </a:xfrm>
        <a:prstGeom prst="rect">
          <a:avLst/>
        </a:prstGeom>
        <a:solidFill>
          <a:srgbClr val="EAEAE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</a:t>
          </a:r>
          <a:endParaRPr lang="en-US"/>
        </a:p>
      </xdr:txBody>
    </xdr:sp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771525</xdr:colOff>
      <xdr:row>12</xdr:row>
      <xdr:rowOff>152400</xdr:rowOff>
    </xdr:to>
    <xdr:sp macro="[0]!cashflow" textlink="">
      <xdr:nvSpPr>
        <xdr:cNvPr id="2051" name="Rectangle 1027"/>
        <xdr:cNvSpPr>
          <a:spLocks noChangeArrowheads="1"/>
        </xdr:cNvSpPr>
      </xdr:nvSpPr>
      <xdr:spPr bwMode="auto">
        <a:xfrm>
          <a:off x="1885950" y="2143125"/>
          <a:ext cx="762000" cy="152400"/>
        </a:xfrm>
        <a:prstGeom prst="rect">
          <a:avLst/>
        </a:prstGeom>
        <a:solidFill>
          <a:srgbClr val="EAEAE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Calculate</a:t>
          </a:r>
          <a:endParaRPr lang="en-US"/>
        </a:p>
      </xdr:txBody>
    </xdr:sp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771525</xdr:colOff>
      <xdr:row>13</xdr:row>
      <xdr:rowOff>152400</xdr:rowOff>
    </xdr:to>
    <xdr:sp macro="[0]!print_cashflow" textlink="">
      <xdr:nvSpPr>
        <xdr:cNvPr id="2052" name="Rectangle 1028"/>
        <xdr:cNvSpPr>
          <a:spLocks noChangeArrowheads="1"/>
        </xdr:cNvSpPr>
      </xdr:nvSpPr>
      <xdr:spPr bwMode="auto">
        <a:xfrm>
          <a:off x="1885950" y="2305050"/>
          <a:ext cx="762000" cy="152400"/>
        </a:xfrm>
        <a:prstGeom prst="rect">
          <a:avLst/>
        </a:prstGeom>
        <a:solidFill>
          <a:srgbClr val="EAEAE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</a:t>
          </a:r>
          <a:endParaRPr lang="en-US"/>
        </a:p>
      </xdr:txBody>
    </xdr:sp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771525</xdr:colOff>
      <xdr:row>15</xdr:row>
      <xdr:rowOff>152400</xdr:rowOff>
    </xdr:to>
    <xdr:sp macro="[0]!variablecost" textlink="">
      <xdr:nvSpPr>
        <xdr:cNvPr id="2053" name="Rectangle 1029"/>
        <xdr:cNvSpPr>
          <a:spLocks noChangeArrowheads="1"/>
        </xdr:cNvSpPr>
      </xdr:nvSpPr>
      <xdr:spPr bwMode="auto">
        <a:xfrm>
          <a:off x="1885950" y="2647950"/>
          <a:ext cx="762000" cy="152400"/>
        </a:xfrm>
        <a:prstGeom prst="rect">
          <a:avLst/>
        </a:prstGeom>
        <a:solidFill>
          <a:srgbClr val="EAEAE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Calculate</a:t>
          </a:r>
          <a:endParaRPr lang="en-US"/>
        </a:p>
      </xdr:txBody>
    </xdr:sp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771525</xdr:colOff>
      <xdr:row>16</xdr:row>
      <xdr:rowOff>152400</xdr:rowOff>
    </xdr:to>
    <xdr:sp macro="[0]!printVC" textlink="">
      <xdr:nvSpPr>
        <xdr:cNvPr id="2054" name="Rectangle 1030"/>
        <xdr:cNvSpPr>
          <a:spLocks noChangeArrowheads="1"/>
        </xdr:cNvSpPr>
      </xdr:nvSpPr>
      <xdr:spPr bwMode="auto">
        <a:xfrm>
          <a:off x="1885950" y="2809875"/>
          <a:ext cx="762000" cy="152400"/>
        </a:xfrm>
        <a:prstGeom prst="rect">
          <a:avLst/>
        </a:prstGeom>
        <a:solidFill>
          <a:srgbClr val="EAEAE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</a:t>
          </a:r>
          <a:endParaRPr lang="en-US"/>
        </a:p>
      </xdr:txBody>
    </xdr:sp>
    <xdr:clientData/>
  </xdr:twoCellAnchor>
  <xdr:twoCellAnchor>
    <xdr:from>
      <xdr:col>0</xdr:col>
      <xdr:colOff>542925</xdr:colOff>
      <xdr:row>0</xdr:row>
      <xdr:rowOff>47625</xdr:rowOff>
    </xdr:from>
    <xdr:to>
      <xdr:col>4</xdr:col>
      <xdr:colOff>657225</xdr:colOff>
      <xdr:row>5</xdr:row>
      <xdr:rowOff>47625</xdr:rowOff>
    </xdr:to>
    <xdr:sp macro="" textlink="">
      <xdr:nvSpPr>
        <xdr:cNvPr id="2055" name="Text Box 1031"/>
        <xdr:cNvSpPr txBox="1">
          <a:spLocks noChangeArrowheads="1"/>
        </xdr:cNvSpPr>
      </xdr:nvSpPr>
      <xdr:spPr bwMode="auto">
        <a:xfrm>
          <a:off x="542925" y="47625"/>
          <a:ext cx="2771775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Bookman Old Style"/>
            </a:rPr>
            <a:t>Welcome to the Stockering Lightweight Steers on Cover Crop Winter Grazing, Hay, and Supplement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47625</xdr:rowOff>
    </xdr:from>
    <xdr:to>
      <xdr:col>3</xdr:col>
      <xdr:colOff>257175</xdr:colOff>
      <xdr:row>12</xdr:row>
      <xdr:rowOff>57150</xdr:rowOff>
    </xdr:to>
    <xdr:sp macro="[0]!Rect4_Click" textlink="">
      <xdr:nvSpPr>
        <xdr:cNvPr id="3073" name="Rectangle 1"/>
        <xdr:cNvSpPr>
          <a:spLocks noChangeArrowheads="1"/>
        </xdr:cNvSpPr>
      </xdr:nvSpPr>
      <xdr:spPr bwMode="auto">
        <a:xfrm>
          <a:off x="1543050" y="1962150"/>
          <a:ext cx="1143000" cy="171450"/>
        </a:xfrm>
        <a:prstGeom prst="rect">
          <a:avLst/>
        </a:prstGeom>
        <a:solidFill>
          <a:srgbClr val="EAEAE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</a:t>
          </a:r>
          <a:endParaRPr lang="en-US"/>
        </a:p>
      </xdr:txBody>
    </xdr:sp>
    <xdr:clientData/>
  </xdr:twoCellAnchor>
  <xdr:twoCellAnchor>
    <xdr:from>
      <xdr:col>1</xdr:col>
      <xdr:colOff>38100</xdr:colOff>
      <xdr:row>107</xdr:row>
      <xdr:rowOff>47625</xdr:rowOff>
    </xdr:from>
    <xdr:to>
      <xdr:col>10</xdr:col>
      <xdr:colOff>66675</xdr:colOff>
      <xdr:row>116</xdr:row>
      <xdr:rowOff>66675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571625" y="20088225"/>
          <a:ext cx="7486650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fuel, repairs, or labor included for winter grazing as they are allocated to crop enterprise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Hay figured as 5 lbs/day for 60 days when grazing no is available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Receiving Ration figured as 12.5 lbs./day for 6 weeks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Supplemental feed is a corn, whole cottonseed, gin trash, and soybean meal ration fed at 11 lbs./day for 30 days during stockering period when no grazing is available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Mineral+ Ionophore(Bovatec, Rumensin, or GainPro)  figured as 4 ozs/day for stockering period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of Ionophores &amp; implants significantly increase rate of gain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Stocking rates will affect forage availability and supplemental feed needs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acy/My%20Documents/Budgets/Forages/Stockpiled%20Fescue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ockers-sil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Fixed_Cost"/>
      <sheetName val="Fixed_Payment"/>
      <sheetName val="E"/>
      <sheetName val="F"/>
      <sheetName val="G"/>
      <sheetName val="H"/>
      <sheetName val="I"/>
      <sheetName val="J"/>
    </sheetNames>
    <sheetDataSet>
      <sheetData sheetId="0">
        <row r="4">
          <cell r="B4" t="str">
            <v>WELCOME TO THE WINTER</v>
          </cell>
          <cell r="H4" t="str">
            <v>REMEMBER</v>
          </cell>
        </row>
        <row r="5">
          <cell r="B5" t="str">
            <v>ANNUAL PRODUCTION  BUDGET</v>
          </cell>
        </row>
      </sheetData>
      <sheetData sheetId="1">
        <row r="5">
          <cell r="B5" t="str">
            <v>University of Georgia Cooperative Extension service</v>
          </cell>
          <cell r="K5" t="str">
            <v/>
          </cell>
        </row>
      </sheetData>
      <sheetData sheetId="2">
        <row r="4">
          <cell r="B4" t="str">
            <v>(Check All Higlighted Entries this Page)</v>
          </cell>
        </row>
        <row r="44">
          <cell r="J44">
            <v>72.486399999999989</v>
          </cell>
        </row>
      </sheetData>
      <sheetData sheetId="3">
        <row r="4">
          <cell r="B4" t="str">
            <v>(Check All Highlighted Entries this Page)</v>
          </cell>
        </row>
        <row r="45">
          <cell r="J45">
            <v>61.151408955241287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Winter Grazing"/>
      <sheetName val="Feed Cost"/>
      <sheetName val="Procurement"/>
      <sheetName val="Fixed_Cost"/>
      <sheetName val="Fixed_Payment"/>
      <sheetName val="G"/>
      <sheetName val="H"/>
      <sheetName val="I"/>
      <sheetName val="J"/>
      <sheetName val="K"/>
      <sheetName val="L"/>
    </sheetNames>
    <sheetDataSet>
      <sheetData sheetId="0">
        <row r="4">
          <cell r="B4" t="str">
            <v>WELCOME TO THE  STOCKER STEERS ON</v>
          </cell>
          <cell r="H4" t="str">
            <v>REMEMBER</v>
          </cell>
        </row>
        <row r="5">
          <cell r="B5" t="str">
            <v>TEMPORARY WINTER GRAZING  BUDGET</v>
          </cell>
        </row>
      </sheetData>
      <sheetData sheetId="1">
        <row r="5">
          <cell r="B5" t="str">
            <v>University of Georgia Cooperative Extension Service</v>
          </cell>
        </row>
      </sheetData>
      <sheetData sheetId="2">
        <row r="4">
          <cell r="B4" t="str">
            <v>Revised 2003</v>
          </cell>
        </row>
        <row r="5">
          <cell r="K5" t="str">
            <v/>
          </cell>
        </row>
      </sheetData>
      <sheetData sheetId="3">
        <row r="4">
          <cell r="A4" t="str">
            <v>Days fed</v>
          </cell>
          <cell r="B4">
            <v>30</v>
          </cell>
        </row>
        <row r="5">
          <cell r="B5" t="str">
            <v>$/ton</v>
          </cell>
          <cell r="C5" t="str">
            <v>$/#</v>
          </cell>
          <cell r="D5" t="str">
            <v>% of Ration</v>
          </cell>
          <cell r="E5" t="str">
            <v>#/ton</v>
          </cell>
          <cell r="F5" t="str">
            <v>Cost/ton</v>
          </cell>
        </row>
      </sheetData>
      <sheetData sheetId="4">
        <row r="5">
          <cell r="B5" t="str">
            <v xml:space="preserve">     ITEM</v>
          </cell>
          <cell r="E5" t="str">
            <v>UNIT</v>
          </cell>
          <cell r="F5" t="str">
            <v>QUANTITY</v>
          </cell>
          <cell r="G5" t="str">
            <v>PRICE</v>
          </cell>
          <cell r="H5" t="str">
            <v>AMOUNT</v>
          </cell>
        </row>
      </sheetData>
      <sheetData sheetId="5">
        <row r="4">
          <cell r="B4" t="str">
            <v>(Check All Higlighted Entries this Page)</v>
          </cell>
        </row>
      </sheetData>
      <sheetData sheetId="6">
        <row r="4">
          <cell r="B4" t="str">
            <v>Check All Highlighted Entries this Page)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I21"/>
  <sheetViews>
    <sheetView showGridLines="0" showRowColHeaders="0" workbookViewId="0"/>
  </sheetViews>
  <sheetFormatPr defaultColWidth="8.42578125" defaultRowHeight="12.75" x14ac:dyDescent="0.2"/>
  <cols>
    <col min="1" max="1" width="8.42578125" customWidth="1"/>
    <col min="2" max="2" width="8.7109375" customWidth="1"/>
    <col min="3" max="3" width="11" customWidth="1"/>
    <col min="4" max="4" width="11.7109375" customWidth="1"/>
    <col min="5" max="5" width="10.140625" customWidth="1"/>
    <col min="6" max="6" width="1.7109375" customWidth="1"/>
    <col min="7" max="9" width="12.7109375" customWidth="1"/>
  </cols>
  <sheetData>
    <row r="2" spans="2:9" ht="13.5" thickBot="1" x14ac:dyDescent="0.25">
      <c r="E2" s="6"/>
    </row>
    <row r="3" spans="2:9" ht="13.5" thickBot="1" x14ac:dyDescent="0.25">
      <c r="B3" s="125"/>
      <c r="C3" s="126"/>
      <c r="D3" s="126"/>
      <c r="E3" s="127"/>
      <c r="F3" s="6"/>
    </row>
    <row r="4" spans="2:9" ht="16.5" thickTop="1" x14ac:dyDescent="0.25">
      <c r="B4" s="143"/>
      <c r="C4" s="144"/>
      <c r="D4" s="145"/>
      <c r="E4" s="146"/>
      <c r="F4" s="6"/>
      <c r="G4" s="115"/>
      <c r="H4" s="116" t="s">
        <v>224</v>
      </c>
      <c r="I4" s="117"/>
    </row>
    <row r="5" spans="2:9" x14ac:dyDescent="0.2">
      <c r="B5" s="143"/>
      <c r="C5" s="144"/>
      <c r="D5" s="144"/>
      <c r="E5" s="146"/>
      <c r="F5" s="6"/>
      <c r="G5" s="118"/>
      <c r="H5" s="119"/>
      <c r="I5" s="120"/>
    </row>
    <row r="6" spans="2:9" ht="15.75" thickBot="1" x14ac:dyDescent="0.3">
      <c r="B6" s="130"/>
      <c r="C6" s="128"/>
      <c r="D6" s="128"/>
      <c r="E6" s="129"/>
      <c r="F6" s="6"/>
      <c r="G6" s="121" t="s">
        <v>225</v>
      </c>
      <c r="H6" s="119"/>
      <c r="I6" s="120"/>
    </row>
    <row r="7" spans="2:9" ht="15" x14ac:dyDescent="0.25">
      <c r="B7" s="130"/>
      <c r="C7" s="147" t="s">
        <v>83</v>
      </c>
      <c r="D7" s="148" t="s">
        <v>223</v>
      </c>
      <c r="E7" s="129"/>
      <c r="F7" s="6"/>
      <c r="G7" s="121" t="s">
        <v>226</v>
      </c>
      <c r="H7" s="119"/>
      <c r="I7" s="120"/>
    </row>
    <row r="8" spans="2:9" ht="15.75" thickBot="1" x14ac:dyDescent="0.3">
      <c r="B8" s="130"/>
      <c r="C8" s="149" t="s">
        <v>66</v>
      </c>
      <c r="D8" s="150"/>
      <c r="E8" s="129"/>
      <c r="F8" s="6"/>
      <c r="G8" s="121" t="s">
        <v>227</v>
      </c>
      <c r="H8" s="119"/>
      <c r="I8" s="120"/>
    </row>
    <row r="9" spans="2:9" ht="13.5" thickBot="1" x14ac:dyDescent="0.25">
      <c r="B9" s="130"/>
      <c r="C9" s="131"/>
      <c r="D9" s="132"/>
      <c r="E9" s="129"/>
      <c r="F9" s="6"/>
      <c r="G9" s="122"/>
      <c r="H9" s="123"/>
      <c r="I9" s="124"/>
    </row>
    <row r="10" spans="2:9" x14ac:dyDescent="0.2">
      <c r="B10" s="130"/>
      <c r="C10" s="147" t="s">
        <v>197</v>
      </c>
      <c r="D10" s="133" t="s">
        <v>3</v>
      </c>
      <c r="E10" s="129"/>
      <c r="F10" s="6"/>
    </row>
    <row r="11" spans="2:9" ht="13.5" thickBot="1" x14ac:dyDescent="0.25">
      <c r="B11" s="130"/>
      <c r="C11" s="149" t="s">
        <v>96</v>
      </c>
      <c r="D11" s="132"/>
      <c r="E11" s="129"/>
      <c r="F11" s="6"/>
    </row>
    <row r="12" spans="2:9" ht="13.5" thickBot="1" x14ac:dyDescent="0.25">
      <c r="B12" s="130"/>
      <c r="C12" s="151"/>
      <c r="D12" s="132"/>
      <c r="E12" s="129"/>
      <c r="F12" s="6"/>
    </row>
    <row r="13" spans="2:9" x14ac:dyDescent="0.2">
      <c r="B13" s="130"/>
      <c r="C13" s="147" t="s">
        <v>89</v>
      </c>
      <c r="D13" s="133"/>
      <c r="E13" s="129"/>
      <c r="F13" s="6"/>
    </row>
    <row r="14" spans="2:9" ht="13.5" thickBot="1" x14ac:dyDescent="0.25">
      <c r="B14" s="130"/>
      <c r="C14" s="149" t="s">
        <v>121</v>
      </c>
      <c r="D14" s="132"/>
      <c r="E14" s="129"/>
      <c r="F14" s="6"/>
    </row>
    <row r="15" spans="2:9" ht="13.5" thickBot="1" x14ac:dyDescent="0.25">
      <c r="B15" s="130"/>
      <c r="C15" s="151"/>
      <c r="D15" s="132"/>
      <c r="E15" s="129"/>
      <c r="F15" s="6"/>
    </row>
    <row r="16" spans="2:9" x14ac:dyDescent="0.2">
      <c r="B16" s="130"/>
      <c r="C16" s="152" t="s">
        <v>68</v>
      </c>
      <c r="D16" s="134"/>
      <c r="E16" s="129"/>
      <c r="F16" s="6"/>
    </row>
    <row r="17" spans="2:6" ht="13.5" thickBot="1" x14ac:dyDescent="0.25">
      <c r="B17" s="130"/>
      <c r="C17" s="149" t="s">
        <v>96</v>
      </c>
      <c r="D17" s="132"/>
      <c r="E17" s="129"/>
      <c r="F17" s="6"/>
    </row>
    <row r="18" spans="2:6" x14ac:dyDescent="0.2">
      <c r="B18" s="135"/>
      <c r="C18" s="136"/>
      <c r="D18" s="136"/>
      <c r="E18" s="137"/>
      <c r="F18" s="6"/>
    </row>
    <row r="19" spans="2:6" x14ac:dyDescent="0.2">
      <c r="B19" s="138"/>
      <c r="C19" s="153" t="s">
        <v>235</v>
      </c>
      <c r="D19" s="153"/>
      <c r="E19" s="137"/>
    </row>
    <row r="20" spans="2:6" x14ac:dyDescent="0.2">
      <c r="B20" s="139"/>
      <c r="C20" s="153" t="s">
        <v>236</v>
      </c>
      <c r="D20" s="153"/>
      <c r="E20" s="137"/>
    </row>
    <row r="21" spans="2:6" ht="13.5" thickBot="1" x14ac:dyDescent="0.25">
      <c r="B21" s="140"/>
      <c r="C21" s="141"/>
      <c r="D21" s="141"/>
      <c r="E21" s="142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&amp;L&amp;"Arial"&amp;10@&amp;C&amp;"Arial"&amp;10 Total Cost Budget&amp;R&amp;"Arial"&amp;10 Page &amp;N+1</oddHeader>
    <oddFooter>&amp;C&amp;"Arial"&amp;10Extension Ag Econ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"/>
  <sheetViews>
    <sheetView workbookViewId="0"/>
  </sheetViews>
  <sheetFormatPr defaultRowHeight="12.75" x14ac:dyDescent="0.2"/>
  <sheetData/>
  <phoneticPr fontId="0" type="noConversion"/>
  <printOptions horizontalCentered="1"/>
  <pageMargins left="0.75" right="0.75" top="1" bottom="1" header="0.5" footer="0.5"/>
  <headerFooter alignWithMargins="0">
    <oddHeader>&amp;L&amp;"Arial"&amp;10@&amp;C&amp;"Arial"&amp;10 Total Cost Budget&amp;R&amp;"Arial"&amp;10 Page &amp;N+1</oddHeader>
    <oddFooter>&amp;C&amp;"Arial"&amp;10Extension Ag Econ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topLeftCell="M1" workbookViewId="0">
      <selection activeCell="Z21" sqref="Z21"/>
    </sheetView>
  </sheetViews>
  <sheetFormatPr defaultRowHeight="12.75" x14ac:dyDescent="0.2"/>
  <sheetData/>
  <phoneticPr fontId="0" type="noConversion"/>
  <printOptions horizontalCentered="1"/>
  <pageMargins left="0.75" right="0.75" top="1" bottom="1" header="0.5" footer="0.5"/>
  <headerFooter alignWithMargins="0">
    <oddHeader>&amp;L&amp;"Arial"&amp;10@&amp;C&amp;"Arial"&amp;10 Total Cost Budget&amp;R&amp;"Arial"&amp;10 Page &amp;N+1</oddHeader>
    <oddFooter>&amp;C&amp;"Arial"&amp;10Extension Ag Econ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workbookViewId="0"/>
  </sheetViews>
  <sheetFormatPr defaultRowHeight="12.75" x14ac:dyDescent="0.2"/>
  <sheetData/>
  <phoneticPr fontId="0" type="noConversion"/>
  <printOptions horizontalCentered="1"/>
  <pageMargins left="0.75" right="0.75" top="1" bottom="1" header="0.5" footer="0.5"/>
  <headerFooter alignWithMargins="0">
    <oddHeader>&amp;L&amp;"Arial"&amp;10@&amp;C&amp;"Arial"&amp;10 Total Cost Budget&amp;R&amp;"Arial"&amp;10 Page &amp;N+1</oddHeader>
    <oddFooter>&amp;C&amp;"Arial"&amp;10Extension Ag Econ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14"/>
  <sheetViews>
    <sheetView topLeftCell="N1" workbookViewId="0">
      <selection activeCell="P4" sqref="P4"/>
    </sheetView>
  </sheetViews>
  <sheetFormatPr defaultRowHeight="12.75" x14ac:dyDescent="0.2"/>
  <sheetData>
    <row r="1" spans="1:15" x14ac:dyDescent="0.2">
      <c r="N1" s="2">
        <v>-23595.594594968865</v>
      </c>
      <c r="O1" s="1">
        <v>2.2750092654188533E-2</v>
      </c>
    </row>
    <row r="2" spans="1:15" x14ac:dyDescent="0.2">
      <c r="N2" s="2">
        <v>-18314.612601769117</v>
      </c>
      <c r="O2" s="1">
        <v>6.6807279375848599E-2</v>
      </c>
    </row>
    <row r="3" spans="1:15" x14ac:dyDescent="0.2">
      <c r="A3">
        <v>1</v>
      </c>
      <c r="N3" s="2">
        <v>-13033.630608569367</v>
      </c>
      <c r="O3" s="1">
        <v>0.15865531316113057</v>
      </c>
    </row>
    <row r="4" spans="1:15" x14ac:dyDescent="0.2">
      <c r="N4" s="2">
        <v>-10393.139611969493</v>
      </c>
      <c r="O4" s="1">
        <v>0.22662732264844102</v>
      </c>
    </row>
    <row r="5" spans="1:15" x14ac:dyDescent="0.2">
      <c r="N5" s="2">
        <v>-7752.6486153696178</v>
      </c>
      <c r="O5" s="1">
        <v>0.3085375586179277</v>
      </c>
    </row>
    <row r="6" spans="1:15" x14ac:dyDescent="0.2">
      <c r="N6" s="2">
        <v>-5112.1576187697428</v>
      </c>
      <c r="O6" s="1">
        <v>0.40129373468325191</v>
      </c>
    </row>
    <row r="7" spans="1:15" x14ac:dyDescent="0.2">
      <c r="N7" s="2">
        <v>-2471.6666221698688</v>
      </c>
      <c r="O7" s="1">
        <v>0.49999999977461573</v>
      </c>
    </row>
    <row r="8" spans="1:15" x14ac:dyDescent="0.2">
      <c r="N8" s="2">
        <v>-2471.6666221698688</v>
      </c>
      <c r="O8" s="1">
        <v>0.49999999977461573</v>
      </c>
    </row>
    <row r="9" spans="1:15" x14ac:dyDescent="0.2">
      <c r="N9" s="2">
        <v>168.82437443000572</v>
      </c>
      <c r="O9" s="3">
        <v>0.59870626531674809</v>
      </c>
    </row>
    <row r="10" spans="1:15" x14ac:dyDescent="0.2">
      <c r="N10" s="2">
        <v>2809.3153710298802</v>
      </c>
      <c r="O10" s="3">
        <v>0.69146244138207225</v>
      </c>
    </row>
    <row r="11" spans="1:15" x14ac:dyDescent="0.2">
      <c r="N11" s="2">
        <v>5449.8063676297552</v>
      </c>
      <c r="O11" s="3">
        <v>0.77337267735155901</v>
      </c>
    </row>
    <row r="12" spans="1:15" x14ac:dyDescent="0.2">
      <c r="N12" s="2">
        <v>8090.2973642296292</v>
      </c>
      <c r="O12" s="3">
        <v>0.84134468683886943</v>
      </c>
    </row>
    <row r="13" spans="1:15" x14ac:dyDescent="0.2">
      <c r="N13" s="2">
        <v>13371.279357429379</v>
      </c>
      <c r="O13" s="3">
        <v>0.93319272062415137</v>
      </c>
    </row>
    <row r="14" spans="1:15" x14ac:dyDescent="0.2">
      <c r="N14" s="2">
        <v>18652.261350629127</v>
      </c>
      <c r="O14" s="3">
        <v>0.97724990734581152</v>
      </c>
    </row>
  </sheetData>
  <phoneticPr fontId="0" type="noConversion"/>
  <printOptions horizontalCentered="1"/>
  <pageMargins left="0.75" right="0.75" top="1" bottom="1" header="0.5" footer="0.5"/>
  <headerFooter alignWithMargins="0">
    <oddHeader>&amp;L&amp;"Arial"&amp;10@&amp;C&amp;"Arial"&amp;10 Total Cost Budget&amp;R&amp;"Arial"&amp;10 Page &amp;N+1</oddHeader>
    <oddFooter>&amp;C&amp;"Arial"&amp;10Extension Ag Econ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53"/>
  <sheetViews>
    <sheetView tabSelected="1" topLeftCell="A25" zoomScaleNormal="100" workbookViewId="0">
      <selection activeCell="A49" sqref="A49"/>
    </sheetView>
  </sheetViews>
  <sheetFormatPr defaultColWidth="8.42578125" defaultRowHeight="12.75" x14ac:dyDescent="0.2"/>
  <cols>
    <col min="1" max="1" width="23" style="6" customWidth="1"/>
    <col min="2" max="2" width="5" style="6" customWidth="1"/>
    <col min="3" max="3" width="8.42578125" style="6" customWidth="1"/>
    <col min="4" max="4" width="19.28515625" style="6" customWidth="1"/>
    <col min="5" max="5" width="15.85546875" style="6" customWidth="1"/>
    <col min="6" max="8" width="12.7109375" style="6" customWidth="1"/>
    <col min="9" max="9" width="12.42578125" style="6" customWidth="1"/>
    <col min="10" max="10" width="12.7109375" style="6" customWidth="1"/>
    <col min="11" max="11" width="9.140625" style="6" customWidth="1"/>
    <col min="12" max="25" width="8.42578125" style="6" customWidth="1"/>
    <col min="26" max="26" width="44" style="6" customWidth="1"/>
    <col min="27" max="16384" width="8.42578125" style="6"/>
  </cols>
  <sheetData>
    <row r="1" spans="1:26" ht="15.75" x14ac:dyDescent="0.25">
      <c r="B1" s="220" t="s">
        <v>332</v>
      </c>
      <c r="C1" s="220"/>
      <c r="D1" s="220"/>
      <c r="E1" s="220"/>
      <c r="F1" s="220"/>
      <c r="G1" s="220"/>
      <c r="H1" s="220"/>
      <c r="I1" s="220"/>
      <c r="J1" s="220"/>
      <c r="U1" s="6">
        <v>3</v>
      </c>
    </row>
    <row r="2" spans="1:26" ht="15" x14ac:dyDescent="0.2">
      <c r="B2" s="221" t="s">
        <v>338</v>
      </c>
      <c r="C2" s="221"/>
      <c r="D2" s="221"/>
      <c r="E2" s="221"/>
      <c r="F2" s="221"/>
      <c r="G2" s="221"/>
      <c r="H2" s="221"/>
      <c r="I2" s="221"/>
      <c r="J2" s="221"/>
    </row>
    <row r="3" spans="1:26" ht="15" x14ac:dyDescent="0.2">
      <c r="B3" s="221" t="s">
        <v>312</v>
      </c>
      <c r="C3" s="221"/>
      <c r="D3" s="221"/>
      <c r="E3" s="221"/>
      <c r="F3" s="221"/>
      <c r="G3" s="221"/>
      <c r="H3" s="221"/>
      <c r="I3" s="221"/>
      <c r="J3" s="221"/>
    </row>
    <row r="4" spans="1:26" x14ac:dyDescent="0.2">
      <c r="A4" s="15"/>
      <c r="B4" s="222"/>
      <c r="C4" s="222"/>
      <c r="D4" s="222"/>
      <c r="E4" s="222"/>
      <c r="F4" s="222"/>
      <c r="G4" s="222"/>
      <c r="H4" s="222"/>
      <c r="I4" s="222"/>
      <c r="J4" s="222"/>
      <c r="X4" s="6">
        <v>1</v>
      </c>
      <c r="Y4" s="6">
        <v>2</v>
      </c>
      <c r="Z4" s="6">
        <v>3</v>
      </c>
    </row>
    <row r="5" spans="1:26" x14ac:dyDescent="0.2">
      <c r="A5" s="15"/>
      <c r="B5" s="222" t="s">
        <v>335</v>
      </c>
      <c r="C5" s="222"/>
      <c r="D5" s="222"/>
      <c r="E5" s="222"/>
      <c r="F5" s="222"/>
      <c r="G5" s="222"/>
      <c r="H5" s="222"/>
      <c r="I5" s="222"/>
      <c r="J5" s="222"/>
      <c r="S5" s="6" t="s">
        <v>5</v>
      </c>
      <c r="T5" s="6" t="s">
        <v>2</v>
      </c>
      <c r="U5" s="6" t="s">
        <v>2</v>
      </c>
    </row>
    <row r="6" spans="1:26" x14ac:dyDescent="0.2">
      <c r="A6" s="15"/>
      <c r="B6" s="222"/>
      <c r="C6" s="222"/>
      <c r="D6" s="222"/>
      <c r="E6" s="222"/>
      <c r="F6" s="222"/>
      <c r="G6" s="222"/>
      <c r="H6" s="222"/>
      <c r="I6" s="222"/>
      <c r="J6" s="222"/>
      <c r="S6" s="6" t="s">
        <v>2</v>
      </c>
      <c r="Z6" s="113" t="s">
        <v>229</v>
      </c>
    </row>
    <row r="7" spans="1:26" ht="15.75" x14ac:dyDescent="0.25">
      <c r="A7" s="15"/>
      <c r="B7" s="223" t="s">
        <v>339</v>
      </c>
      <c r="C7" s="224"/>
      <c r="D7" s="224"/>
      <c r="E7" s="224"/>
      <c r="F7" s="224"/>
      <c r="G7" s="224"/>
      <c r="H7" s="224"/>
      <c r="I7" s="224"/>
      <c r="J7" s="224"/>
      <c r="S7" s="6" t="s">
        <v>2</v>
      </c>
      <c r="Z7" s="113" t="s">
        <v>230</v>
      </c>
    </row>
    <row r="8" spans="1:26" x14ac:dyDescent="0.2">
      <c r="A8" s="15"/>
      <c r="B8" s="15"/>
      <c r="C8" s="15"/>
      <c r="D8" s="15"/>
      <c r="E8" s="15"/>
      <c r="F8" s="15"/>
      <c r="G8" s="15"/>
      <c r="H8" s="15"/>
      <c r="I8" s="15"/>
      <c r="K8" s="6" t="s">
        <v>0</v>
      </c>
      <c r="S8" s="6" t="s">
        <v>2</v>
      </c>
      <c r="Z8" s="113" t="s">
        <v>231</v>
      </c>
    </row>
    <row r="9" spans="1:26" x14ac:dyDescent="0.2">
      <c r="B9" s="4"/>
      <c r="C9" s="4"/>
      <c r="D9" s="5"/>
      <c r="E9" s="5"/>
      <c r="F9" s="5"/>
      <c r="G9" s="5"/>
      <c r="H9" s="5"/>
      <c r="I9" s="4"/>
      <c r="S9" s="6" t="s">
        <v>2</v>
      </c>
    </row>
    <row r="10" spans="1:26" x14ac:dyDescent="0.2">
      <c r="B10" s="5" t="s">
        <v>130</v>
      </c>
      <c r="C10" s="4"/>
      <c r="D10" s="4"/>
      <c r="E10" s="4"/>
      <c r="F10" s="4"/>
      <c r="G10" s="4"/>
      <c r="H10" s="5"/>
      <c r="I10" s="4"/>
      <c r="S10" s="6" t="s">
        <v>2</v>
      </c>
      <c r="Z10" s="16" t="s">
        <v>183</v>
      </c>
    </row>
    <row r="11" spans="1:26" x14ac:dyDescent="0.2">
      <c r="B11" s="4"/>
      <c r="C11" s="5"/>
      <c r="D11" s="5"/>
      <c r="E11" s="5"/>
      <c r="F11" s="5"/>
      <c r="G11" s="5"/>
      <c r="H11" s="5"/>
      <c r="I11" s="4"/>
      <c r="S11" s="6" t="s">
        <v>2</v>
      </c>
      <c r="Z11" s="16" t="s">
        <v>233</v>
      </c>
    </row>
    <row r="12" spans="1:26" x14ac:dyDescent="0.2">
      <c r="S12" s="6" t="s">
        <v>2</v>
      </c>
      <c r="Z12" s="16" t="s">
        <v>234</v>
      </c>
    </row>
    <row r="13" spans="1:26" x14ac:dyDescent="0.2">
      <c r="K13" s="6" t="s">
        <v>0</v>
      </c>
      <c r="S13" s="6" t="s">
        <v>2</v>
      </c>
    </row>
    <row r="14" spans="1:26" x14ac:dyDescent="0.2">
      <c r="S14" s="6" t="s">
        <v>2</v>
      </c>
    </row>
    <row r="15" spans="1:26" x14ac:dyDescent="0.2">
      <c r="B15" s="193" t="s">
        <v>311</v>
      </c>
      <c r="C15" s="193"/>
      <c r="D15" s="193"/>
      <c r="E15" s="193"/>
      <c r="F15" s="193"/>
      <c r="G15" s="193"/>
      <c r="H15" s="193"/>
      <c r="I15" s="193"/>
      <c r="J15" s="193"/>
      <c r="S15" s="6" t="s">
        <v>2</v>
      </c>
    </row>
    <row r="16" spans="1:26" x14ac:dyDescent="0.2">
      <c r="B16" s="193" t="s">
        <v>231</v>
      </c>
      <c r="C16" s="193"/>
      <c r="D16" s="193"/>
      <c r="E16" s="193"/>
      <c r="F16" s="193"/>
      <c r="G16" s="193"/>
      <c r="H16" s="193"/>
      <c r="I16" s="193"/>
      <c r="J16" s="193"/>
      <c r="S16" s="6" t="s">
        <v>2</v>
      </c>
    </row>
    <row r="17" spans="2:19" ht="15" x14ac:dyDescent="0.3">
      <c r="B17" s="154"/>
      <c r="C17" s="154"/>
      <c r="D17" s="154"/>
      <c r="E17" s="154"/>
      <c r="F17" s="154"/>
      <c r="G17" s="154"/>
      <c r="H17" s="154"/>
      <c r="I17" s="154"/>
      <c r="J17" s="154"/>
      <c r="K17" s="17" t="s">
        <v>0</v>
      </c>
      <c r="S17" s="6" t="s">
        <v>2</v>
      </c>
    </row>
    <row r="18" spans="2:19" ht="15" x14ac:dyDescent="0.3">
      <c r="B18" s="154" t="s">
        <v>166</v>
      </c>
      <c r="C18" s="154"/>
      <c r="D18" s="154"/>
      <c r="E18" s="154"/>
      <c r="F18" s="154">
        <v>50</v>
      </c>
      <c r="G18" s="154"/>
      <c r="H18" s="205" t="s">
        <v>258</v>
      </c>
      <c r="I18" s="205"/>
      <c r="J18" s="166">
        <v>38306</v>
      </c>
      <c r="S18" s="6" t="s">
        <v>2</v>
      </c>
    </row>
    <row r="19" spans="2:19" ht="15" x14ac:dyDescent="0.3">
      <c r="B19" s="154" t="s">
        <v>186</v>
      </c>
      <c r="C19" s="154"/>
      <c r="D19" s="154"/>
      <c r="E19" s="154"/>
      <c r="F19" s="154">
        <v>2</v>
      </c>
      <c r="G19" s="154"/>
      <c r="H19" s="205" t="s">
        <v>259</v>
      </c>
      <c r="I19" s="205"/>
      <c r="J19" s="166">
        <f>+J18+F23</f>
        <v>38426</v>
      </c>
      <c r="K19" s="17" t="s">
        <v>0</v>
      </c>
      <c r="S19" s="6" t="s">
        <v>2</v>
      </c>
    </row>
    <row r="20" spans="2:19" ht="15" x14ac:dyDescent="0.3">
      <c r="B20" s="154" t="s">
        <v>167</v>
      </c>
      <c r="C20" s="154"/>
      <c r="D20" s="154"/>
      <c r="E20" s="154"/>
      <c r="F20" s="167">
        <f>F18*F19</f>
        <v>100</v>
      </c>
      <c r="G20" s="154"/>
      <c r="H20" s="205" t="s">
        <v>260</v>
      </c>
      <c r="I20" s="205"/>
      <c r="J20" s="168">
        <v>-15</v>
      </c>
      <c r="S20" s="6" t="s">
        <v>2</v>
      </c>
    </row>
    <row r="21" spans="2:19" ht="15" x14ac:dyDescent="0.3">
      <c r="B21" s="154" t="s">
        <v>101</v>
      </c>
      <c r="C21" s="154"/>
      <c r="D21" s="154"/>
      <c r="E21" s="154"/>
      <c r="F21" s="154">
        <v>1</v>
      </c>
      <c r="G21" s="154"/>
      <c r="H21" s="154"/>
      <c r="I21" s="154"/>
      <c r="J21" s="154"/>
      <c r="K21" s="17" t="s">
        <v>0</v>
      </c>
      <c r="S21" s="6" t="s">
        <v>2</v>
      </c>
    </row>
    <row r="22" spans="2:19" ht="15" x14ac:dyDescent="0.3">
      <c r="B22" s="154" t="s">
        <v>168</v>
      </c>
      <c r="C22" s="154"/>
      <c r="D22" s="154"/>
      <c r="E22" s="154"/>
      <c r="F22" s="167">
        <f>+F20*((100-F21)/100)</f>
        <v>99</v>
      </c>
      <c r="G22" s="154"/>
      <c r="H22" s="154"/>
      <c r="I22" s="154"/>
      <c r="J22" s="154"/>
      <c r="K22" s="17" t="s">
        <v>0</v>
      </c>
      <c r="S22" s="6" t="s">
        <v>4</v>
      </c>
    </row>
    <row r="23" spans="2:19" ht="15" x14ac:dyDescent="0.3">
      <c r="B23" s="154" t="s">
        <v>118</v>
      </c>
      <c r="C23" s="154"/>
      <c r="D23" s="154"/>
      <c r="E23" s="154"/>
      <c r="F23" s="154">
        <v>120</v>
      </c>
      <c r="G23" s="154"/>
      <c r="H23" s="154"/>
      <c r="I23" s="154"/>
      <c r="J23" s="154"/>
    </row>
    <row r="24" spans="2:19" ht="15" x14ac:dyDescent="0.3">
      <c r="B24" s="154" t="s">
        <v>152</v>
      </c>
      <c r="C24" s="154"/>
      <c r="D24" s="154"/>
      <c r="E24" s="154"/>
      <c r="F24" s="154">
        <v>3</v>
      </c>
      <c r="G24" s="154"/>
      <c r="H24" s="154"/>
      <c r="I24" s="154"/>
      <c r="J24" s="154"/>
    </row>
    <row r="25" spans="2:19" ht="15" x14ac:dyDescent="0.3">
      <c r="B25" s="154"/>
      <c r="C25" s="154"/>
      <c r="D25" s="154"/>
      <c r="E25" s="154"/>
      <c r="F25" s="154"/>
      <c r="G25" s="154"/>
      <c r="H25" s="154"/>
      <c r="I25" s="154"/>
      <c r="J25" s="154"/>
    </row>
    <row r="26" spans="2:19" ht="15" x14ac:dyDescent="0.3">
      <c r="B26" s="154"/>
      <c r="C26" s="154"/>
      <c r="D26" s="154"/>
      <c r="E26" s="154"/>
      <c r="F26" s="155" t="s">
        <v>82</v>
      </c>
      <c r="G26" s="155" t="s">
        <v>169</v>
      </c>
      <c r="H26" s="155" t="s">
        <v>155</v>
      </c>
      <c r="I26" s="155" t="s">
        <v>175</v>
      </c>
      <c r="J26" s="155" t="s">
        <v>220</v>
      </c>
      <c r="K26" s="17" t="s">
        <v>0</v>
      </c>
    </row>
    <row r="27" spans="2:19" ht="15" x14ac:dyDescent="0.3">
      <c r="B27" s="154" t="s">
        <v>174</v>
      </c>
      <c r="C27" s="154"/>
      <c r="D27" s="154"/>
      <c r="E27" s="154"/>
      <c r="F27" s="154">
        <f>+G27+0.25</f>
        <v>2.5</v>
      </c>
      <c r="G27" s="154">
        <f>+H27+0.25</f>
        <v>2.25</v>
      </c>
      <c r="H27" s="154">
        <v>2</v>
      </c>
      <c r="I27" s="154">
        <f>+H27-0.25</f>
        <v>1.75</v>
      </c>
      <c r="J27" s="154">
        <f>+I27-0.25</f>
        <v>1.5</v>
      </c>
      <c r="K27" s="17" t="s">
        <v>0</v>
      </c>
    </row>
    <row r="28" spans="2:19" ht="15" x14ac:dyDescent="0.3">
      <c r="B28" s="154" t="s">
        <v>99</v>
      </c>
      <c r="C28" s="154"/>
      <c r="D28" s="154"/>
      <c r="E28" s="154"/>
      <c r="F28" s="154"/>
      <c r="G28" s="154"/>
      <c r="H28" s="154"/>
      <c r="I28" s="154"/>
      <c r="J28" s="154"/>
      <c r="K28" s="17" t="s">
        <v>0</v>
      </c>
    </row>
    <row r="29" spans="2:19" ht="15" x14ac:dyDescent="0.3">
      <c r="B29" s="154" t="s">
        <v>161</v>
      </c>
      <c r="C29" s="154"/>
      <c r="D29" s="154"/>
      <c r="E29" s="154"/>
      <c r="F29" s="154">
        <f>(F27*F23/100+F36)</f>
        <v>7</v>
      </c>
      <c r="G29" s="154">
        <f>(G27*F23/100+F36)</f>
        <v>6.7</v>
      </c>
      <c r="H29" s="154">
        <f>(H27*F23/100+F36)</f>
        <v>6.4</v>
      </c>
      <c r="I29" s="154">
        <f>(I27*F23/100+F36)</f>
        <v>6.1</v>
      </c>
      <c r="J29" s="154">
        <f>(J27*F23/100+F36)</f>
        <v>5.8</v>
      </c>
      <c r="K29" s="17" t="s">
        <v>0</v>
      </c>
    </row>
    <row r="30" spans="2:19" ht="15" x14ac:dyDescent="0.3">
      <c r="B30" s="154" t="s">
        <v>185</v>
      </c>
      <c r="C30" s="154"/>
      <c r="D30" s="154"/>
      <c r="E30" s="154"/>
      <c r="F30" s="157">
        <v>155</v>
      </c>
      <c r="G30" s="157">
        <f>+(F30+H30)/2</f>
        <v>150</v>
      </c>
      <c r="H30" s="157">
        <v>145</v>
      </c>
      <c r="I30" s="157">
        <f>+(H30+J30)/2</f>
        <v>140</v>
      </c>
      <c r="J30" s="157">
        <v>135</v>
      </c>
      <c r="K30" s="17" t="s">
        <v>0</v>
      </c>
    </row>
    <row r="31" spans="2:19" ht="15" x14ac:dyDescent="0.3">
      <c r="B31" s="154"/>
      <c r="C31" s="154"/>
      <c r="D31" s="154"/>
      <c r="E31" s="154"/>
      <c r="F31" s="154"/>
      <c r="G31" s="154"/>
      <c r="H31" s="154"/>
      <c r="I31" s="154"/>
      <c r="J31" s="154"/>
      <c r="K31" s="17" t="s">
        <v>0</v>
      </c>
    </row>
    <row r="32" spans="2:19" ht="12.75" customHeight="1" x14ac:dyDescent="0.3">
      <c r="B32" s="189" t="s">
        <v>325</v>
      </c>
      <c r="C32" s="190"/>
      <c r="D32" s="191"/>
      <c r="E32" s="198" t="s">
        <v>326</v>
      </c>
      <c r="F32" s="201" t="s">
        <v>324</v>
      </c>
      <c r="G32" s="204" t="s">
        <v>327</v>
      </c>
      <c r="H32" s="204" t="s">
        <v>328</v>
      </c>
      <c r="I32" s="201" t="s">
        <v>329</v>
      </c>
      <c r="J32" s="154"/>
    </row>
    <row r="33" spans="1:19" ht="15" x14ac:dyDescent="0.3">
      <c r="B33" s="192"/>
      <c r="C33" s="193"/>
      <c r="D33" s="194"/>
      <c r="E33" s="199"/>
      <c r="F33" s="202"/>
      <c r="G33" s="204"/>
      <c r="H33" s="204"/>
      <c r="I33" s="202"/>
      <c r="J33" s="154"/>
      <c r="S33" s="6" t="s">
        <v>5</v>
      </c>
    </row>
    <row r="34" spans="1:19" ht="15" x14ac:dyDescent="0.3">
      <c r="B34" s="195"/>
      <c r="C34" s="196"/>
      <c r="D34" s="197"/>
      <c r="E34" s="200"/>
      <c r="F34" s="203"/>
      <c r="G34" s="204"/>
      <c r="H34" s="204"/>
      <c r="I34" s="203"/>
      <c r="J34" s="154"/>
      <c r="S34" s="6" t="s">
        <v>2</v>
      </c>
    </row>
    <row r="35" spans="1:19" ht="15" x14ac:dyDescent="0.3">
      <c r="B35" s="213" t="s">
        <v>218</v>
      </c>
      <c r="C35" s="213"/>
      <c r="D35" s="213"/>
      <c r="E35" s="154"/>
      <c r="F35" s="154"/>
      <c r="G35" s="169"/>
      <c r="H35" s="169"/>
      <c r="I35" s="170"/>
      <c r="J35" s="154"/>
    </row>
    <row r="36" spans="1:19" ht="15" x14ac:dyDescent="0.3">
      <c r="B36" s="205" t="s">
        <v>88</v>
      </c>
      <c r="C36" s="205"/>
      <c r="D36" s="205"/>
      <c r="E36" s="154" t="s">
        <v>98</v>
      </c>
      <c r="F36" s="154">
        <v>4</v>
      </c>
      <c r="G36" s="171">
        <f t="shared" ref="G36:G47" si="0">+F36*placed</f>
        <v>400</v>
      </c>
      <c r="H36" s="234">
        <v>160</v>
      </c>
      <c r="I36" s="172">
        <f t="shared" ref="I36:I47" si="1">G36*H36</f>
        <v>64000</v>
      </c>
      <c r="J36" s="154"/>
      <c r="S36" s="6" t="s">
        <v>2</v>
      </c>
    </row>
    <row r="37" spans="1:19" ht="15" x14ac:dyDescent="0.3">
      <c r="A37" s="27" t="s">
        <v>321</v>
      </c>
      <c r="B37" s="205" t="s">
        <v>178</v>
      </c>
      <c r="C37" s="205"/>
      <c r="D37" s="205"/>
      <c r="E37" s="154" t="s">
        <v>127</v>
      </c>
      <c r="F37" s="154">
        <v>1</v>
      </c>
      <c r="G37" s="171">
        <f t="shared" si="0"/>
        <v>100</v>
      </c>
      <c r="H37" s="234">
        <f>+Procurement!H10</f>
        <v>7.4411764705882355</v>
      </c>
      <c r="I37" s="172">
        <f t="shared" si="1"/>
        <v>744.11764705882354</v>
      </c>
      <c r="J37" s="154"/>
      <c r="S37" s="6" t="s">
        <v>2</v>
      </c>
    </row>
    <row r="38" spans="1:19" ht="15" x14ac:dyDescent="0.3">
      <c r="A38" s="27" t="s">
        <v>266</v>
      </c>
      <c r="B38" s="205" t="s">
        <v>219</v>
      </c>
      <c r="C38" s="205"/>
      <c r="D38" s="205"/>
      <c r="E38" s="154" t="s">
        <v>78</v>
      </c>
      <c r="F38" s="154">
        <f>1/F19</f>
        <v>0.5</v>
      </c>
      <c r="G38" s="171">
        <f t="shared" si="0"/>
        <v>50</v>
      </c>
      <c r="H38" s="234">
        <f>+tvc_grazing/ACRES</f>
        <v>126.69904109589041</v>
      </c>
      <c r="I38" s="172">
        <f t="shared" si="1"/>
        <v>6334.9520547945203</v>
      </c>
      <c r="J38" s="154"/>
      <c r="S38" s="6" t="s">
        <v>2</v>
      </c>
    </row>
    <row r="39" spans="1:19" ht="15" x14ac:dyDescent="0.3">
      <c r="B39" s="205" t="s">
        <v>126</v>
      </c>
      <c r="C39" s="205"/>
      <c r="D39" s="205"/>
      <c r="E39" s="154" t="s">
        <v>195</v>
      </c>
      <c r="F39" s="154">
        <f>5*0.03</f>
        <v>0.15</v>
      </c>
      <c r="G39" s="171">
        <f t="shared" si="0"/>
        <v>15</v>
      </c>
      <c r="H39" s="234">
        <v>100</v>
      </c>
      <c r="I39" s="172">
        <f t="shared" si="1"/>
        <v>1500</v>
      </c>
      <c r="J39" s="154"/>
      <c r="S39" s="6" t="s">
        <v>2</v>
      </c>
    </row>
    <row r="40" spans="1:19" ht="15" x14ac:dyDescent="0.3">
      <c r="B40" s="205" t="s">
        <v>181</v>
      </c>
      <c r="C40" s="205"/>
      <c r="D40" s="205"/>
      <c r="E40" s="154" t="s">
        <v>196</v>
      </c>
      <c r="F40" s="154">
        <f>12.5*6*7/2000</f>
        <v>0.26250000000000001</v>
      </c>
      <c r="G40" s="171">
        <f t="shared" si="0"/>
        <v>26.25</v>
      </c>
      <c r="H40" s="234">
        <v>275</v>
      </c>
      <c r="I40" s="172">
        <f t="shared" si="1"/>
        <v>7218.75</v>
      </c>
      <c r="J40" s="154"/>
      <c r="S40" s="6" t="s">
        <v>2</v>
      </c>
    </row>
    <row r="41" spans="1:19" ht="15" x14ac:dyDescent="0.3">
      <c r="B41" s="205" t="s">
        <v>265</v>
      </c>
      <c r="C41" s="205"/>
      <c r="D41" s="205"/>
      <c r="E41" s="154" t="s">
        <v>196</v>
      </c>
      <c r="F41" s="154">
        <f>11*0.015</f>
        <v>0.16499999999999998</v>
      </c>
      <c r="G41" s="171">
        <f t="shared" si="0"/>
        <v>16.499999999999996</v>
      </c>
      <c r="H41" s="234">
        <v>275</v>
      </c>
      <c r="I41" s="172">
        <f t="shared" si="1"/>
        <v>4537.4999999999991</v>
      </c>
      <c r="J41" s="154"/>
    </row>
    <row r="42" spans="1:19" ht="15" x14ac:dyDescent="0.3">
      <c r="B42" s="205" t="s">
        <v>309</v>
      </c>
      <c r="C42" s="205"/>
      <c r="D42" s="205"/>
      <c r="E42" s="154" t="s">
        <v>141</v>
      </c>
      <c r="F42" s="154">
        <f>+F23*0.25</f>
        <v>30</v>
      </c>
      <c r="G42" s="171">
        <f t="shared" si="0"/>
        <v>3000</v>
      </c>
      <c r="H42" s="234">
        <v>0.28000000000000003</v>
      </c>
      <c r="I42" s="172">
        <f t="shared" si="1"/>
        <v>840.00000000000011</v>
      </c>
      <c r="J42" s="154"/>
      <c r="Q42" s="6" t="s">
        <v>76</v>
      </c>
      <c r="S42" s="6" t="s">
        <v>2</v>
      </c>
    </row>
    <row r="43" spans="1:19" ht="15" x14ac:dyDescent="0.3">
      <c r="B43" s="205" t="s">
        <v>156</v>
      </c>
      <c r="C43" s="205"/>
      <c r="D43" s="205"/>
      <c r="E43" s="154" t="s">
        <v>127</v>
      </c>
      <c r="F43" s="154">
        <v>2</v>
      </c>
      <c r="G43" s="171">
        <f t="shared" si="0"/>
        <v>200</v>
      </c>
      <c r="H43" s="234">
        <v>4</v>
      </c>
      <c r="I43" s="172">
        <f t="shared" si="1"/>
        <v>800</v>
      </c>
      <c r="J43" s="154"/>
    </row>
    <row r="44" spans="1:19" ht="15" x14ac:dyDescent="0.3">
      <c r="B44" s="205" t="s">
        <v>125</v>
      </c>
      <c r="C44" s="205"/>
      <c r="D44" s="205"/>
      <c r="E44" s="154" t="s">
        <v>129</v>
      </c>
      <c r="F44" s="154">
        <v>2</v>
      </c>
      <c r="G44" s="171">
        <f t="shared" si="0"/>
        <v>200</v>
      </c>
      <c r="H44" s="234">
        <v>1</v>
      </c>
      <c r="I44" s="172">
        <f t="shared" si="1"/>
        <v>200</v>
      </c>
      <c r="J44" s="154"/>
    </row>
    <row r="45" spans="1:19" ht="15" x14ac:dyDescent="0.3">
      <c r="B45" s="205" t="s">
        <v>182</v>
      </c>
      <c r="C45" s="205"/>
      <c r="D45" s="205"/>
      <c r="E45" s="154" t="s">
        <v>127</v>
      </c>
      <c r="F45" s="154">
        <v>1</v>
      </c>
      <c r="G45" s="171">
        <f t="shared" si="0"/>
        <v>100</v>
      </c>
      <c r="H45" s="234">
        <f>AVERAGE(Fixed_Cost!F30:G31)*0.02/Fixed_Cost!G6</f>
        <v>0.80230769230769228</v>
      </c>
      <c r="I45" s="172">
        <f t="shared" si="1"/>
        <v>80.230769230769226</v>
      </c>
      <c r="J45" s="154"/>
    </row>
    <row r="46" spans="1:19" ht="15" x14ac:dyDescent="0.3">
      <c r="B46" s="205" t="s">
        <v>140</v>
      </c>
      <c r="C46" s="205"/>
      <c r="D46" s="205"/>
      <c r="E46" s="154" t="s">
        <v>78</v>
      </c>
      <c r="F46" s="154">
        <f>F38</f>
        <v>0.5</v>
      </c>
      <c r="G46" s="171">
        <f t="shared" si="0"/>
        <v>50</v>
      </c>
      <c r="H46" s="234">
        <v>0</v>
      </c>
      <c r="I46" s="172">
        <f t="shared" si="1"/>
        <v>0</v>
      </c>
      <c r="J46" s="154"/>
    </row>
    <row r="47" spans="1:19" ht="15" x14ac:dyDescent="0.3">
      <c r="B47" s="205" t="s">
        <v>138</v>
      </c>
      <c r="C47" s="205"/>
      <c r="D47" s="205"/>
      <c r="E47" s="154" t="s">
        <v>128</v>
      </c>
      <c r="F47" s="154">
        <v>2</v>
      </c>
      <c r="G47" s="171">
        <f t="shared" si="0"/>
        <v>200</v>
      </c>
      <c r="H47" s="234">
        <v>9.02</v>
      </c>
      <c r="I47" s="172">
        <f t="shared" si="1"/>
        <v>1804</v>
      </c>
      <c r="J47" s="154"/>
    </row>
    <row r="48" spans="1:19" ht="15" x14ac:dyDescent="0.3">
      <c r="B48" s="205" t="s">
        <v>100</v>
      </c>
      <c r="C48" s="205"/>
      <c r="D48" s="205"/>
      <c r="E48" s="154" t="s">
        <v>310</v>
      </c>
      <c r="F48" s="173">
        <v>0.01</v>
      </c>
      <c r="G48" s="171">
        <f>+I36</f>
        <v>64000</v>
      </c>
      <c r="H48" s="161"/>
      <c r="I48" s="172">
        <f>+F48*G48</f>
        <v>640</v>
      </c>
      <c r="J48" s="154"/>
    </row>
    <row r="49" spans="1:10" ht="15" x14ac:dyDescent="0.3">
      <c r="B49" s="205" t="s">
        <v>134</v>
      </c>
      <c r="C49" s="205"/>
      <c r="D49" s="205"/>
      <c r="E49" s="154" t="s">
        <v>310</v>
      </c>
      <c r="F49" s="173">
        <v>0.08</v>
      </c>
      <c r="G49" s="171">
        <f>+(SUM(I36:I48)*0.5)/placed</f>
        <v>443.49775235542052</v>
      </c>
      <c r="H49" s="235">
        <f>+G49*(F49*F23/365)</f>
        <v>11.664598418115169</v>
      </c>
      <c r="I49" s="172">
        <f>G49*H49/365*F23</f>
        <v>1700.7857031986862</v>
      </c>
      <c r="J49" s="154"/>
    </row>
    <row r="50" spans="1:10" ht="15" x14ac:dyDescent="0.3">
      <c r="A50" s="27" t="s">
        <v>322</v>
      </c>
      <c r="B50" s="205" t="s">
        <v>81</v>
      </c>
      <c r="C50" s="205"/>
      <c r="D50" s="205"/>
      <c r="E50" s="154" t="s">
        <v>127</v>
      </c>
      <c r="F50" s="154">
        <v>1</v>
      </c>
      <c r="G50" s="171">
        <f>F50*F20</f>
        <v>100</v>
      </c>
      <c r="H50" s="234">
        <f>+mktng_cst</f>
        <v>27.268333333333331</v>
      </c>
      <c r="I50" s="172">
        <f>G50*H50</f>
        <v>2726.833333333333</v>
      </c>
      <c r="J50" s="154"/>
    </row>
    <row r="51" spans="1:10" ht="15" x14ac:dyDescent="0.3">
      <c r="B51" s="154"/>
      <c r="C51" s="154"/>
      <c r="D51" s="154"/>
      <c r="E51" s="154"/>
      <c r="F51" s="154"/>
      <c r="G51" s="154"/>
      <c r="H51" s="157"/>
      <c r="I51" s="172"/>
      <c r="J51" s="154"/>
    </row>
    <row r="52" spans="1:10" ht="15" x14ac:dyDescent="0.3">
      <c r="B52" s="158" t="s">
        <v>212</v>
      </c>
      <c r="C52" s="158"/>
      <c r="D52" s="158"/>
      <c r="E52" s="158"/>
      <c r="F52" s="158" t="s">
        <v>0</v>
      </c>
      <c r="G52" s="158"/>
      <c r="H52" s="159"/>
      <c r="I52" s="174">
        <f>SUM(I36:I50)</f>
        <v>93127.169507616127</v>
      </c>
      <c r="J52" s="154"/>
    </row>
    <row r="53" spans="1:10" ht="15" x14ac:dyDescent="0.3">
      <c r="B53" s="154"/>
      <c r="C53" s="154"/>
      <c r="D53" s="154"/>
      <c r="E53" s="154"/>
      <c r="F53" s="154"/>
      <c r="G53" s="154"/>
      <c r="H53" s="157"/>
      <c r="I53" s="172"/>
      <c r="J53" s="154"/>
    </row>
    <row r="54" spans="1:10" ht="15.75" thickBot="1" x14ac:dyDescent="0.35">
      <c r="B54" s="212" t="str">
        <f>+IF(bud_type=3,"No Fixed Costs for Variable Cost Budget","FIXED COST:(Click Appropriate Link at Left for Annual Fixed Cost)")</f>
        <v>No Fixed Costs for Variable Cost Budget</v>
      </c>
      <c r="C54" s="212"/>
      <c r="D54" s="212"/>
      <c r="E54" s="212"/>
      <c r="F54" s="212"/>
      <c r="G54" s="212"/>
      <c r="H54" s="212"/>
      <c r="I54" s="212"/>
      <c r="J54" s="154"/>
    </row>
    <row r="55" spans="1:10" ht="15" x14ac:dyDescent="0.3">
      <c r="A55" s="27" t="s">
        <v>261</v>
      </c>
      <c r="B55" s="205" t="str">
        <f>+IF(bud_type=1,"Total Cattle Equipment Fixed Costs",IF(bud_type=2,"Total Fixed Cash Payments",""))</f>
        <v/>
      </c>
      <c r="C55" s="205"/>
      <c r="D55" s="205"/>
      <c r="E55" s="160" t="str">
        <f>+IF(bud_type&lt;&gt;3,"Head Sold","")</f>
        <v/>
      </c>
      <c r="F55" s="175">
        <f>+IF(bud_type&lt;&gt;3,+ROUNDUP(sold,0),0)</f>
        <v>0</v>
      </c>
      <c r="G55" s="165"/>
      <c r="H55" s="176">
        <f>+IF(bud_type&lt;&gt;3,I55/sold,0)</f>
        <v>0</v>
      </c>
      <c r="I55" s="176">
        <f>+IF(bud_type=1,cattle_fixed,IF(bud_type=2,cf_total,0))</f>
        <v>0</v>
      </c>
      <c r="J55" s="154"/>
    </row>
    <row r="56" spans="1:10" ht="15" x14ac:dyDescent="0.3">
      <c r="A56" s="27" t="s">
        <v>262</v>
      </c>
      <c r="B56" s="165" t="str">
        <f>+IF(bud_type=1,"Total Machinery Fixed Costs","")</f>
        <v/>
      </c>
      <c r="C56" s="165"/>
      <c r="D56" s="165"/>
      <c r="E56" s="160" t="str">
        <f>+IF(bud_type=1,"Acres","")</f>
        <v/>
      </c>
      <c r="F56" s="161">
        <f>+IF(bud_type=1,ACRES,0)</f>
        <v>0</v>
      </c>
      <c r="G56" s="165"/>
      <c r="H56" s="161">
        <f>+IF(bud_type=1,I56/ACRES,0)</f>
        <v>0</v>
      </c>
      <c r="I56" s="161">
        <f>+IF(bud_type=1,mach_fixed,0)</f>
        <v>0</v>
      </c>
      <c r="J56" s="154"/>
    </row>
    <row r="57" spans="1:10" ht="15" x14ac:dyDescent="0.3">
      <c r="B57" s="165" t="str">
        <f>+IF(bud_type=1,"Overhead","")</f>
        <v/>
      </c>
      <c r="C57" s="165"/>
      <c r="D57" s="165"/>
      <c r="E57" s="160" t="str">
        <f>+IF(bud_type=1,"Head Sold","")</f>
        <v/>
      </c>
      <c r="F57" s="175">
        <f>+IF(bud_type=1,+ROUNDUP(sold,0),0)</f>
        <v>0</v>
      </c>
      <c r="G57" s="171"/>
      <c r="H57" s="168">
        <v>0</v>
      </c>
      <c r="I57" s="161">
        <f>+IF(bud_type=1,H57*F57,0)</f>
        <v>0</v>
      </c>
      <c r="J57" s="154" t="s">
        <v>0</v>
      </c>
    </row>
    <row r="58" spans="1:10" ht="15" x14ac:dyDescent="0.3">
      <c r="B58" s="165" t="str">
        <f>+IF(bud_type=1,"Management ","")</f>
        <v/>
      </c>
      <c r="C58" s="165"/>
      <c r="D58" s="165"/>
      <c r="E58" s="160" t="str">
        <f>+IF(bud_type=1,"% of Value Added","")</f>
        <v/>
      </c>
      <c r="F58" s="161">
        <f>+IF(bud_type=1,(H88-I36),0)</f>
        <v>0</v>
      </c>
      <c r="G58" s="175"/>
      <c r="H58" s="162">
        <v>0.06</v>
      </c>
      <c r="I58" s="161">
        <f>+IF(bud_type=1,H58*F58,0)</f>
        <v>0</v>
      </c>
      <c r="J58" s="154" t="s">
        <v>0</v>
      </c>
    </row>
    <row r="59" spans="1:10" ht="15" x14ac:dyDescent="0.3">
      <c r="B59" s="205" t="str">
        <f>+IF(bud_type=1,"Land","")</f>
        <v/>
      </c>
      <c r="C59" s="211"/>
      <c r="D59" s="211"/>
      <c r="E59" s="160" t="str">
        <f>+IF(bud_type=1,"Acres","")</f>
        <v/>
      </c>
      <c r="F59" s="161">
        <f>+IF(bud_type=1,ACRES,0)</f>
        <v>0</v>
      </c>
      <c r="G59" s="177"/>
      <c r="H59" s="168">
        <v>0</v>
      </c>
      <c r="I59" s="161">
        <f>+IF(bud_type=1,H59*F59,0)</f>
        <v>0</v>
      </c>
      <c r="J59" s="154" t="s">
        <v>0</v>
      </c>
    </row>
    <row r="60" spans="1:10" ht="15" x14ac:dyDescent="0.3">
      <c r="B60" s="210" t="s">
        <v>207</v>
      </c>
      <c r="C60" s="210"/>
      <c r="D60" s="210"/>
      <c r="E60" s="158"/>
      <c r="F60" s="158"/>
      <c r="G60" s="158" t="s">
        <v>0</v>
      </c>
      <c r="H60" s="158" t="s">
        <v>0</v>
      </c>
      <c r="I60" s="159">
        <f>SUM(I55:I59)</f>
        <v>0</v>
      </c>
      <c r="J60" s="154" t="s">
        <v>0</v>
      </c>
    </row>
    <row r="61" spans="1:10" ht="15" x14ac:dyDescent="0.3">
      <c r="B61" s="154"/>
      <c r="C61" s="154"/>
      <c r="D61" s="154"/>
      <c r="E61" s="154"/>
      <c r="F61" s="154"/>
      <c r="G61" s="154"/>
      <c r="H61" s="154"/>
      <c r="I61" s="154"/>
      <c r="J61" s="154"/>
    </row>
    <row r="62" spans="1:10" ht="15" x14ac:dyDescent="0.3">
      <c r="B62" s="155" t="s">
        <v>6</v>
      </c>
      <c r="C62" s="155"/>
      <c r="D62" s="155"/>
      <c r="E62" s="155"/>
      <c r="F62" s="155"/>
      <c r="G62" s="155"/>
      <c r="H62" s="155"/>
      <c r="I62" s="155"/>
      <c r="J62" s="154"/>
    </row>
    <row r="63" spans="1:10" ht="15" x14ac:dyDescent="0.3">
      <c r="B63" s="154"/>
      <c r="C63" s="154"/>
      <c r="D63" s="154"/>
      <c r="E63" s="154"/>
      <c r="F63" s="154"/>
      <c r="G63" s="154"/>
      <c r="H63" s="170"/>
      <c r="I63" s="170" t="s">
        <v>12</v>
      </c>
      <c r="J63" s="154"/>
    </row>
    <row r="64" spans="1:10" ht="15" x14ac:dyDescent="0.3">
      <c r="B64" s="154" t="s">
        <v>116</v>
      </c>
      <c r="C64" s="154"/>
      <c r="D64" s="154"/>
      <c r="E64" s="154"/>
      <c r="F64" s="154"/>
      <c r="G64" s="154"/>
      <c r="H64" s="170"/>
      <c r="I64" s="178">
        <f>SUM(I38:I42)/(D88-G36)</f>
        <v>87.462337563332653</v>
      </c>
      <c r="J64" s="154"/>
    </row>
    <row r="65" spans="2:10" ht="15" x14ac:dyDescent="0.3">
      <c r="B65" s="154" t="s">
        <v>117</v>
      </c>
      <c r="C65" s="154"/>
      <c r="D65" s="154"/>
      <c r="E65" s="154"/>
      <c r="F65" s="154"/>
      <c r="G65" s="154"/>
      <c r="H65" s="170"/>
      <c r="I65" s="178">
        <f>+(+I52-I36-I37)/(D88-G36)</f>
        <v>121.50279049896098</v>
      </c>
      <c r="J65" s="154"/>
    </row>
    <row r="66" spans="2:10" ht="15" x14ac:dyDescent="0.3">
      <c r="B66" s="154" t="s">
        <v>206</v>
      </c>
      <c r="C66" s="154"/>
      <c r="D66" s="154"/>
      <c r="E66" s="154"/>
      <c r="F66" s="154"/>
      <c r="G66" s="154"/>
      <c r="H66" s="170"/>
      <c r="I66" s="178">
        <f>+(+F80-I36-I37)/(D88-G36)</f>
        <v>121.50279049896098</v>
      </c>
      <c r="J66" s="154"/>
    </row>
    <row r="67" spans="2:10" ht="15" x14ac:dyDescent="0.3">
      <c r="B67" s="154"/>
      <c r="C67" s="154"/>
      <c r="D67" s="154"/>
      <c r="E67" s="154"/>
      <c r="F67" s="154"/>
      <c r="G67" s="154"/>
      <c r="H67" s="170"/>
      <c r="I67" s="178"/>
      <c r="J67" s="154"/>
    </row>
    <row r="68" spans="2:10" ht="15" x14ac:dyDescent="0.3">
      <c r="B68" s="154" t="s">
        <v>153</v>
      </c>
      <c r="C68" s="154"/>
      <c r="D68" s="154"/>
      <c r="E68" s="154"/>
      <c r="F68" s="154"/>
      <c r="G68" s="154"/>
      <c r="H68" s="170"/>
      <c r="I68" s="178">
        <f>+(+H88-(+F80-I36))/G36</f>
        <v>156.86207623095973</v>
      </c>
      <c r="J68" s="154"/>
    </row>
    <row r="69" spans="2:10" ht="15" x14ac:dyDescent="0.3">
      <c r="B69" s="154"/>
      <c r="C69" s="154"/>
      <c r="D69" s="154"/>
      <c r="E69" s="154"/>
      <c r="F69" s="154"/>
      <c r="G69" s="154"/>
      <c r="H69" s="170"/>
      <c r="I69" s="170"/>
      <c r="J69" s="154"/>
    </row>
    <row r="70" spans="2:10" ht="15" x14ac:dyDescent="0.3">
      <c r="B70" s="154"/>
      <c r="C70" s="154"/>
      <c r="D70" s="154"/>
      <c r="E70" s="154"/>
      <c r="F70" s="154"/>
      <c r="G70" s="154"/>
      <c r="H70" s="170"/>
      <c r="I70" s="170"/>
      <c r="J70" s="154"/>
    </row>
    <row r="71" spans="2:10" ht="15" x14ac:dyDescent="0.3">
      <c r="B71" s="193" t="s">
        <v>111</v>
      </c>
      <c r="C71" s="193"/>
      <c r="D71" s="193"/>
      <c r="E71" s="193"/>
      <c r="F71" s="193"/>
      <c r="G71" s="193"/>
      <c r="H71" s="193"/>
      <c r="I71" s="193"/>
      <c r="J71" s="154"/>
    </row>
    <row r="72" spans="2:10" ht="15" x14ac:dyDescent="0.3">
      <c r="B72" s="154"/>
      <c r="C72" s="154"/>
      <c r="D72" s="154"/>
      <c r="E72" s="154"/>
      <c r="F72" s="154"/>
      <c r="G72" s="154"/>
      <c r="H72" s="170"/>
      <c r="I72" s="170"/>
      <c r="J72" s="154"/>
    </row>
    <row r="73" spans="2:10" ht="15" x14ac:dyDescent="0.3">
      <c r="B73" s="155" t="s">
        <v>137</v>
      </c>
      <c r="C73" s="155"/>
      <c r="D73" s="155"/>
      <c r="E73" s="155" t="s">
        <v>65</v>
      </c>
      <c r="F73" s="155"/>
      <c r="G73" s="155"/>
      <c r="H73" s="179" t="s">
        <v>69</v>
      </c>
      <c r="I73" s="179" t="s">
        <v>8</v>
      </c>
      <c r="J73" s="154"/>
    </row>
    <row r="74" spans="2:10" ht="15" x14ac:dyDescent="0.3">
      <c r="B74" s="154" t="s">
        <v>217</v>
      </c>
      <c r="C74" s="154"/>
      <c r="D74" s="154"/>
      <c r="E74" s="154"/>
      <c r="F74" s="172">
        <f>I52</f>
        <v>93127.169507616127</v>
      </c>
      <c r="G74" s="154"/>
      <c r="H74" s="178">
        <f>F74/(U168*F20)</f>
        <v>145.51120235565017</v>
      </c>
      <c r="I74" s="178">
        <f t="shared" ref="I74:I80" si="2">+F74/sold</f>
        <v>940.67847987491041</v>
      </c>
      <c r="J74" s="154"/>
    </row>
    <row r="75" spans="2:10" ht="15" x14ac:dyDescent="0.3">
      <c r="B75" s="205" t="str">
        <f>+B55</f>
        <v/>
      </c>
      <c r="C75" s="205"/>
      <c r="D75" s="205"/>
      <c r="E75" s="211"/>
      <c r="F75" s="172">
        <f>IF(I55&gt;0,I55,0)</f>
        <v>0</v>
      </c>
      <c r="G75" s="154"/>
      <c r="H75" s="178">
        <f>IF(F75&gt;0,F75/(U168*F20),0)</f>
        <v>0</v>
      </c>
      <c r="I75" s="178">
        <f t="shared" si="2"/>
        <v>0</v>
      </c>
      <c r="J75" s="154"/>
    </row>
    <row r="76" spans="2:10" ht="15" x14ac:dyDescent="0.3">
      <c r="B76" s="205" t="str">
        <f>+B56</f>
        <v/>
      </c>
      <c r="C76" s="205"/>
      <c r="D76" s="205"/>
      <c r="E76" s="211"/>
      <c r="F76" s="172">
        <f>I56</f>
        <v>0</v>
      </c>
      <c r="G76" s="154"/>
      <c r="H76" s="178">
        <f>F76/(U168*F20)</f>
        <v>0</v>
      </c>
      <c r="I76" s="178">
        <f t="shared" si="2"/>
        <v>0</v>
      </c>
      <c r="J76" s="154"/>
    </row>
    <row r="77" spans="2:10" ht="15" x14ac:dyDescent="0.3">
      <c r="B77" s="205" t="str">
        <f>+B57</f>
        <v/>
      </c>
      <c r="C77" s="205"/>
      <c r="D77" s="205"/>
      <c r="E77" s="211"/>
      <c r="F77" s="172">
        <f>I57</f>
        <v>0</v>
      </c>
      <c r="G77" s="154"/>
      <c r="H77" s="178">
        <f>F77/(U168*F20)</f>
        <v>0</v>
      </c>
      <c r="I77" s="178">
        <f t="shared" si="2"/>
        <v>0</v>
      </c>
      <c r="J77" s="154"/>
    </row>
    <row r="78" spans="2:10" ht="15" x14ac:dyDescent="0.3">
      <c r="B78" s="205" t="str">
        <f>+B58</f>
        <v/>
      </c>
      <c r="C78" s="205"/>
      <c r="D78" s="205"/>
      <c r="E78" s="211"/>
      <c r="F78" s="172">
        <f>I58</f>
        <v>0</v>
      </c>
      <c r="G78" s="154"/>
      <c r="H78" s="178">
        <f>F78/(U168*F20)</f>
        <v>0</v>
      </c>
      <c r="I78" s="178">
        <f t="shared" si="2"/>
        <v>0</v>
      </c>
      <c r="J78" s="154"/>
    </row>
    <row r="79" spans="2:10" ht="15" x14ac:dyDescent="0.3">
      <c r="B79" s="205" t="str">
        <f>+B59</f>
        <v/>
      </c>
      <c r="C79" s="205"/>
      <c r="D79" s="205"/>
      <c r="E79" s="211"/>
      <c r="F79" s="172">
        <f>I59</f>
        <v>0</v>
      </c>
      <c r="G79" s="154"/>
      <c r="H79" s="178">
        <f>F79/(U168*F20)</f>
        <v>0</v>
      </c>
      <c r="I79" s="178">
        <f t="shared" si="2"/>
        <v>0</v>
      </c>
      <c r="J79" s="154"/>
    </row>
    <row r="80" spans="2:10" ht="15" x14ac:dyDescent="0.3">
      <c r="B80" s="158" t="s">
        <v>205</v>
      </c>
      <c r="C80" s="158"/>
      <c r="D80" s="158"/>
      <c r="E80" s="158"/>
      <c r="F80" s="174">
        <f>SUM(F74:F79)</f>
        <v>93127.169507616127</v>
      </c>
      <c r="G80" s="158"/>
      <c r="H80" s="180">
        <f>F80/(U168*F20)</f>
        <v>145.51120235565017</v>
      </c>
      <c r="I80" s="181">
        <f t="shared" si="2"/>
        <v>940.67847987491041</v>
      </c>
      <c r="J80" s="154"/>
    </row>
    <row r="81" spans="2:10" ht="15" x14ac:dyDescent="0.3">
      <c r="B81" s="154"/>
      <c r="C81" s="154"/>
      <c r="D81" s="154"/>
      <c r="E81" s="154"/>
      <c r="F81" s="154"/>
      <c r="G81" s="154"/>
      <c r="H81" s="154"/>
      <c r="I81" s="154"/>
      <c r="J81" s="154"/>
    </row>
    <row r="82" spans="2:10" ht="15" x14ac:dyDescent="0.3">
      <c r="B82" s="154"/>
      <c r="C82" s="154"/>
      <c r="D82" s="154"/>
      <c r="E82" s="154"/>
      <c r="F82" s="154"/>
      <c r="G82" s="154"/>
      <c r="H82" s="154"/>
      <c r="I82" s="154"/>
      <c r="J82" s="154"/>
    </row>
    <row r="83" spans="2:10" ht="13.5" thickBot="1" x14ac:dyDescent="0.25">
      <c r="B83" s="193" t="s">
        <v>112</v>
      </c>
      <c r="C83" s="193"/>
      <c r="D83" s="193"/>
      <c r="E83" s="193"/>
      <c r="F83" s="193"/>
      <c r="G83" s="193"/>
      <c r="H83" s="193"/>
      <c r="I83" s="193"/>
      <c r="J83" s="193"/>
    </row>
    <row r="84" spans="2:10" ht="15.75" thickBot="1" x14ac:dyDescent="0.35">
      <c r="B84" s="154"/>
      <c r="C84" s="154"/>
      <c r="D84" s="154"/>
      <c r="E84" s="182">
        <f>+sold</f>
        <v>99</v>
      </c>
      <c r="F84" s="183" t="s">
        <v>64</v>
      </c>
      <c r="G84" s="184"/>
      <c r="H84" s="154"/>
      <c r="I84" s="154"/>
      <c r="J84" s="154"/>
    </row>
    <row r="85" spans="2:10" ht="15" x14ac:dyDescent="0.3">
      <c r="B85" s="154"/>
      <c r="C85" s="154"/>
      <c r="D85" s="154"/>
      <c r="E85" s="154"/>
      <c r="F85" s="154"/>
      <c r="G85" s="154"/>
      <c r="H85" s="154"/>
      <c r="I85" s="154"/>
      <c r="J85" s="154"/>
    </row>
    <row r="86" spans="2:10" ht="15" x14ac:dyDescent="0.3">
      <c r="B86" s="155" t="s">
        <v>108</v>
      </c>
      <c r="C86" s="155"/>
      <c r="D86" s="155" t="s">
        <v>213</v>
      </c>
      <c r="E86" s="154"/>
      <c r="F86" s="155" t="s">
        <v>107</v>
      </c>
      <c r="G86" s="155"/>
      <c r="H86" s="155" t="s">
        <v>211</v>
      </c>
      <c r="I86" s="155"/>
      <c r="J86" s="154"/>
    </row>
    <row r="87" spans="2:10" ht="15" x14ac:dyDescent="0.3">
      <c r="B87" s="154" t="s">
        <v>73</v>
      </c>
      <c r="C87" s="154"/>
      <c r="D87" s="154" t="s">
        <v>15</v>
      </c>
      <c r="E87" s="154"/>
      <c r="F87" s="170" t="s">
        <v>14</v>
      </c>
      <c r="G87" s="170"/>
      <c r="H87" s="170"/>
      <c r="I87" s="154"/>
      <c r="J87" s="154"/>
    </row>
    <row r="88" spans="2:10" ht="15" x14ac:dyDescent="0.3">
      <c r="B88" s="154">
        <f>+U168</f>
        <v>6.4000000000000012</v>
      </c>
      <c r="C88" s="154"/>
      <c r="D88" s="154">
        <f>+B88*sold</f>
        <v>633.60000000000014</v>
      </c>
      <c r="E88" s="154"/>
      <c r="F88" s="157">
        <f>+W168</f>
        <v>145</v>
      </c>
      <c r="G88" s="154"/>
      <c r="H88" s="172">
        <f>+F88*D88</f>
        <v>91872.000000000015</v>
      </c>
      <c r="I88" s="154"/>
      <c r="J88" s="154"/>
    </row>
    <row r="89" spans="2:10" ht="15" x14ac:dyDescent="0.3">
      <c r="B89" s="185"/>
      <c r="C89" s="185"/>
      <c r="D89" s="185"/>
      <c r="E89" s="185"/>
      <c r="F89" s="185"/>
      <c r="G89" s="185"/>
      <c r="H89" s="185"/>
      <c r="I89" s="185"/>
      <c r="J89" s="185"/>
    </row>
    <row r="90" spans="2:10" ht="15" x14ac:dyDescent="0.3">
      <c r="B90" s="154"/>
      <c r="C90" s="154"/>
      <c r="D90" s="154"/>
      <c r="E90" s="154"/>
      <c r="F90" s="154"/>
      <c r="G90" s="154"/>
      <c r="H90" s="154"/>
      <c r="I90" s="154"/>
      <c r="J90" s="154"/>
    </row>
    <row r="91" spans="2:10" x14ac:dyDescent="0.2">
      <c r="B91" s="206" t="s">
        <v>234</v>
      </c>
      <c r="C91" s="206"/>
      <c r="D91" s="206"/>
      <c r="E91" s="206"/>
      <c r="F91" s="206"/>
      <c r="G91" s="206"/>
      <c r="H91" s="206"/>
      <c r="I91" s="206"/>
      <c r="J91" s="206"/>
    </row>
    <row r="92" spans="2:10" ht="15.75" thickBot="1" x14ac:dyDescent="0.35">
      <c r="B92" s="154"/>
      <c r="C92" s="154"/>
      <c r="D92" s="185"/>
      <c r="E92" s="154"/>
      <c r="F92" s="154"/>
      <c r="G92" s="154"/>
      <c r="H92" s="154"/>
      <c r="I92" s="154"/>
      <c r="J92" s="185" t="s">
        <v>0</v>
      </c>
    </row>
    <row r="93" spans="2:10" ht="15.75" thickTop="1" x14ac:dyDescent="0.3">
      <c r="B93" s="207" t="s">
        <v>160</v>
      </c>
      <c r="C93" s="208"/>
      <c r="D93" s="208"/>
      <c r="E93" s="208"/>
      <c r="F93" s="208"/>
      <c r="G93" s="208"/>
      <c r="H93" s="208"/>
      <c r="I93" s="208"/>
      <c r="J93" s="209"/>
    </row>
    <row r="94" spans="2:10" ht="15" x14ac:dyDescent="0.3">
      <c r="B94" s="214" t="s">
        <v>193</v>
      </c>
      <c r="C94" s="215"/>
      <c r="D94" s="215"/>
      <c r="E94" s="215"/>
      <c r="F94" s="215"/>
      <c r="G94" s="215"/>
      <c r="H94" s="215"/>
      <c r="I94" s="215"/>
      <c r="J94" s="216"/>
    </row>
    <row r="95" spans="2:10" ht="15.75" thickBot="1" x14ac:dyDescent="0.35">
      <c r="B95" s="217" t="s">
        <v>192</v>
      </c>
      <c r="C95" s="218"/>
      <c r="D95" s="218"/>
      <c r="E95" s="218"/>
      <c r="F95" s="218"/>
      <c r="G95" s="218"/>
      <c r="H95" s="218"/>
      <c r="I95" s="218"/>
      <c r="J95" s="219"/>
    </row>
    <row r="96" spans="2:10" ht="15.75" thickTop="1" x14ac:dyDescent="0.3">
      <c r="B96" s="154"/>
      <c r="C96" s="154"/>
      <c r="D96" s="154"/>
      <c r="E96" s="154"/>
      <c r="F96" s="154"/>
      <c r="G96" s="154"/>
      <c r="H96" s="154"/>
      <c r="I96" s="154"/>
      <c r="J96" s="154"/>
    </row>
    <row r="97" spans="2:10" ht="15" x14ac:dyDescent="0.3">
      <c r="B97" s="154"/>
      <c r="C97" s="154"/>
      <c r="D97" s="154"/>
      <c r="E97" s="186" t="s">
        <v>170</v>
      </c>
      <c r="F97" s="154"/>
      <c r="G97" s="186" t="s">
        <v>110</v>
      </c>
      <c r="H97" s="154"/>
      <c r="I97" s="186" t="s">
        <v>38</v>
      </c>
      <c r="J97" s="154"/>
    </row>
    <row r="98" spans="2:10" ht="15" x14ac:dyDescent="0.3">
      <c r="B98" s="154" t="s">
        <v>228</v>
      </c>
      <c r="C98" s="154"/>
      <c r="D98" s="172">
        <f>U207:U207+1.5*W206:W206</f>
        <v>7773.1777071642446</v>
      </c>
      <c r="E98" s="172">
        <f>U207:U207+W206:W206</f>
        <v>5073.0619689041259</v>
      </c>
      <c r="F98" s="172">
        <f>U207:U207+0.5*W206:W206</f>
        <v>2372.9462306440068</v>
      </c>
      <c r="G98" s="172">
        <f>U207:U207</f>
        <v>-327.16950761611224</v>
      </c>
      <c r="H98" s="172">
        <f>U207:U207-0.5*W207:W207</f>
        <v>-3027.2852458762386</v>
      </c>
      <c r="I98" s="172">
        <f>U207:U207-W207:W207</f>
        <v>-5727.400984136365</v>
      </c>
      <c r="J98" s="172">
        <f>U207:U207-1.5*W207:W207</f>
        <v>-8427.5167223964909</v>
      </c>
    </row>
    <row r="99" spans="2:10" ht="15" x14ac:dyDescent="0.3">
      <c r="B99" s="154" t="s">
        <v>92</v>
      </c>
      <c r="C99" s="154"/>
      <c r="D99" s="187">
        <f>IF(V210&lt;1,IF(U210,Z210,1-Z210),IF(U210,Z211,1-Z211))</f>
        <v>6.6807279375848461E-2</v>
      </c>
      <c r="E99" s="187">
        <f>IF(AB210&lt;1,IF(AA210,AF210,1-AF210),IF(AA210,AF211,1-AF211))</f>
        <v>0.15865531316113046</v>
      </c>
      <c r="F99" s="187">
        <f>IF(AH210&lt;1,IF(AG210,AL210,1-AL210),IF(AG210,AL211,1-AL211))</f>
        <v>0.30853755861792781</v>
      </c>
      <c r="G99" s="187">
        <f>IF(V212&lt;1,IF(U212,Z212,1-Z212),IF(U212,Z213,1-Z213))</f>
        <v>0.50000000022538427</v>
      </c>
      <c r="H99" s="187">
        <f>IF(AB212&lt;1,IF(AA212,AF212,1-AF212),IF(AA212,AF213,1-AF213))</f>
        <v>0.69146244138207236</v>
      </c>
      <c r="I99" s="187">
        <f>IF(AH212&lt;1,IF(AG212,AL212,1-AL212),IF(AG212,AL213,1-AL213))</f>
        <v>0.84134468683886943</v>
      </c>
      <c r="J99" s="187">
        <f>IF(V214&lt;1,IF(U214,Z214,1-Z214),IF(U214,Z215,1-Z215))</f>
        <v>0.93319272062415137</v>
      </c>
    </row>
    <row r="100" spans="2:10" ht="15" x14ac:dyDescent="0.3">
      <c r="B100" s="154" t="s">
        <v>92</v>
      </c>
      <c r="C100" s="154"/>
      <c r="D100" s="187">
        <f>IF(V210&lt;1,IF(U210,1-Z210,Z210),IF(U210,1-Z211,Z211))</f>
        <v>0.93319272062415148</v>
      </c>
      <c r="E100" s="187">
        <f>IF(AB210&lt;1,IF(AA210,1-AF210,AF210),IF(AA210,1-AF211,AF211))</f>
        <v>0.84134468683886954</v>
      </c>
      <c r="F100" s="187">
        <f>IF(AH210&lt;1,IF(AG210,1-AL210,AL210),IF(AG210,1-AL211,AL211))</f>
        <v>0.69146244138207225</v>
      </c>
      <c r="G100" s="187">
        <f>IF(V212&lt;1,IF(U212,1-Z212,Z212),IF(U212,1-Z213,Z213))</f>
        <v>0.49999999977461573</v>
      </c>
      <c r="H100" s="187">
        <f>IF(AB212&lt;1,IF(AA212,1-AF212,AF212),IF(AA212,1-AF213,AF213))</f>
        <v>0.30853755861792764</v>
      </c>
      <c r="I100" s="187">
        <f>IF(AH212&lt;1,IF(AG212,1-AL212,AL212),IF(AG212,1-AL213,AL213))</f>
        <v>0.15865531316113052</v>
      </c>
      <c r="J100" s="187">
        <f>IF(V214&lt;1,IF(U214,1-Z214,Z214),IF(U214,1-Z215,Z215))</f>
        <v>6.6807279375848669E-2</v>
      </c>
    </row>
    <row r="101" spans="2:10" ht="15" x14ac:dyDescent="0.3">
      <c r="B101" s="154"/>
      <c r="C101" s="154"/>
      <c r="D101" s="154"/>
      <c r="E101" s="154"/>
      <c r="F101" s="154"/>
      <c r="G101" s="154"/>
      <c r="H101" s="154"/>
      <c r="I101" s="154"/>
      <c r="J101" s="154"/>
    </row>
    <row r="102" spans="2:10" ht="15" x14ac:dyDescent="0.3">
      <c r="B102" s="158" t="s">
        <v>19</v>
      </c>
      <c r="C102" s="154"/>
      <c r="D102" s="154"/>
      <c r="E102" s="188">
        <f>IF(AB214&lt;1,IF(AA214,AF214,1-AF214),IF(AA214,AF215,1-AF215))</f>
        <v>0.47584504979702297</v>
      </c>
      <c r="F102" s="210" t="s">
        <v>307</v>
      </c>
      <c r="G102" s="211"/>
      <c r="H102" s="211"/>
      <c r="I102" s="211"/>
      <c r="J102" s="161">
        <f>+U155*H29*H30-F80</f>
        <v>-327.16950761612679</v>
      </c>
    </row>
    <row r="103" spans="2:10" ht="15" x14ac:dyDescent="0.3">
      <c r="B103" s="154"/>
      <c r="C103" s="154"/>
      <c r="D103" s="154"/>
      <c r="E103" s="154"/>
      <c r="F103" s="210" t="s">
        <v>308</v>
      </c>
      <c r="G103" s="210"/>
      <c r="H103" s="210"/>
      <c r="I103" s="154"/>
      <c r="J103" s="161">
        <f>+J102/placed</f>
        <v>-3.2716950761612678</v>
      </c>
    </row>
    <row r="104" spans="2:10" ht="15" x14ac:dyDescent="0.3">
      <c r="B104" s="154"/>
      <c r="C104" s="154"/>
      <c r="D104" s="154"/>
      <c r="E104" s="154"/>
      <c r="F104" s="154"/>
      <c r="G104" s="154"/>
      <c r="H104" s="154"/>
      <c r="I104" s="154"/>
      <c r="J104" s="154"/>
    </row>
    <row r="105" spans="2:10" ht="15" x14ac:dyDescent="0.3">
      <c r="B105" s="154" t="s">
        <v>179</v>
      </c>
      <c r="C105" s="154"/>
      <c r="D105" s="154"/>
      <c r="E105" s="154"/>
      <c r="F105" s="154"/>
      <c r="G105" s="154"/>
      <c r="H105" s="154"/>
      <c r="I105" s="154"/>
      <c r="J105" s="154"/>
    </row>
    <row r="106" spans="2:10" ht="15" x14ac:dyDescent="0.3">
      <c r="B106" s="154" t="s">
        <v>154</v>
      </c>
      <c r="C106" s="154"/>
      <c r="D106" s="154"/>
      <c r="E106" s="154"/>
      <c r="F106" s="154"/>
      <c r="G106" s="154"/>
      <c r="H106" s="154"/>
      <c r="I106" s="154"/>
      <c r="J106" s="154"/>
    </row>
    <row r="107" spans="2:10" ht="15" x14ac:dyDescent="0.3">
      <c r="B107" s="154"/>
      <c r="C107" s="154"/>
      <c r="D107" s="154"/>
      <c r="E107" s="154"/>
      <c r="F107" s="154"/>
      <c r="G107" s="154"/>
      <c r="H107" s="154"/>
      <c r="I107" s="154"/>
      <c r="J107" s="154"/>
    </row>
    <row r="108" spans="2:10" ht="15" x14ac:dyDescent="0.3">
      <c r="B108" s="154"/>
      <c r="C108" s="154"/>
      <c r="D108" s="154"/>
      <c r="E108" s="154"/>
      <c r="F108" s="154"/>
      <c r="G108" s="154"/>
      <c r="H108" s="154"/>
      <c r="I108" s="154"/>
      <c r="J108" s="154"/>
    </row>
    <row r="109" spans="2:10" ht="15" x14ac:dyDescent="0.3">
      <c r="B109" s="154"/>
      <c r="C109" s="154"/>
      <c r="D109" s="154"/>
      <c r="E109" s="154"/>
      <c r="F109" s="154"/>
      <c r="G109" s="154"/>
      <c r="H109" s="154"/>
      <c r="I109" s="154"/>
      <c r="J109" s="154"/>
    </row>
    <row r="110" spans="2:10" ht="15" x14ac:dyDescent="0.3">
      <c r="B110" s="154"/>
      <c r="C110" s="154"/>
      <c r="D110" s="154"/>
      <c r="E110" s="154"/>
      <c r="F110" s="154"/>
      <c r="G110" s="154"/>
      <c r="H110" s="154"/>
      <c r="I110" s="154"/>
      <c r="J110" s="154"/>
    </row>
    <row r="111" spans="2:10" ht="15" x14ac:dyDescent="0.3">
      <c r="B111" s="154"/>
      <c r="C111" s="154"/>
      <c r="D111" s="154"/>
      <c r="E111" s="154"/>
      <c r="F111" s="154"/>
      <c r="G111" s="154"/>
      <c r="H111" s="154"/>
      <c r="I111" s="154"/>
      <c r="J111" s="154"/>
    </row>
    <row r="112" spans="2:10" ht="15" x14ac:dyDescent="0.3">
      <c r="B112" s="154"/>
      <c r="C112" s="154"/>
      <c r="D112" s="154"/>
      <c r="E112" s="154"/>
      <c r="F112" s="154"/>
      <c r="G112" s="154"/>
      <c r="H112" s="154"/>
      <c r="I112" s="154"/>
      <c r="J112" s="154"/>
    </row>
    <row r="113" spans="2:11" ht="15" x14ac:dyDescent="0.3">
      <c r="B113" s="154"/>
      <c r="C113" s="154"/>
      <c r="D113" s="154"/>
      <c r="E113" s="154"/>
      <c r="F113" s="154"/>
      <c r="G113" s="154"/>
      <c r="H113" s="154"/>
      <c r="I113" s="154"/>
      <c r="J113" s="154"/>
    </row>
    <row r="114" spans="2:11" ht="15" x14ac:dyDescent="0.3">
      <c r="B114" s="154"/>
      <c r="C114" s="154"/>
      <c r="D114" s="154"/>
      <c r="E114" s="154"/>
      <c r="F114" s="154"/>
      <c r="G114" s="154"/>
      <c r="H114" s="154"/>
      <c r="I114" s="154"/>
      <c r="J114" s="154"/>
      <c r="K114" s="6" t="s">
        <v>0</v>
      </c>
    </row>
    <row r="115" spans="2:11" ht="15" x14ac:dyDescent="0.3">
      <c r="B115" s="154"/>
      <c r="C115" s="154"/>
      <c r="D115" s="154"/>
      <c r="E115" s="154"/>
      <c r="F115" s="154"/>
      <c r="G115" s="154"/>
      <c r="H115" s="154"/>
      <c r="I115" s="154"/>
      <c r="J115" s="154"/>
    </row>
    <row r="116" spans="2:11" ht="15" x14ac:dyDescent="0.3">
      <c r="B116" s="154"/>
      <c r="C116" s="154"/>
      <c r="D116" s="154"/>
      <c r="E116" s="154"/>
      <c r="F116" s="154"/>
      <c r="G116" s="154"/>
      <c r="H116" s="154"/>
      <c r="I116" s="154"/>
      <c r="J116" s="154"/>
    </row>
    <row r="117" spans="2:11" ht="15" x14ac:dyDescent="0.3">
      <c r="B117" s="154"/>
      <c r="C117" s="154"/>
      <c r="D117" s="154"/>
      <c r="E117" s="154"/>
      <c r="F117" s="154"/>
      <c r="G117" s="154"/>
      <c r="H117" s="154"/>
      <c r="I117" s="154"/>
      <c r="J117" s="154"/>
    </row>
    <row r="118" spans="2:11" ht="15" x14ac:dyDescent="0.3">
      <c r="B118" s="154"/>
      <c r="C118" s="154"/>
      <c r="D118" s="154"/>
      <c r="E118" s="154"/>
      <c r="F118" s="154"/>
      <c r="G118" s="154"/>
      <c r="H118" s="154"/>
      <c r="I118" s="154"/>
      <c r="J118" s="154"/>
    </row>
    <row r="119" spans="2:11" ht="15" x14ac:dyDescent="0.3">
      <c r="B119" s="154"/>
      <c r="C119" s="154"/>
      <c r="D119" s="154"/>
      <c r="E119" s="154"/>
      <c r="F119" s="154"/>
      <c r="G119" s="154"/>
      <c r="H119" s="154"/>
      <c r="I119" s="154"/>
      <c r="J119" s="154"/>
    </row>
    <row r="120" spans="2:11" ht="15" x14ac:dyDescent="0.3">
      <c r="B120" s="154"/>
      <c r="C120" s="154"/>
      <c r="D120" s="154"/>
      <c r="E120" s="154"/>
      <c r="F120" s="154"/>
      <c r="G120" s="154"/>
      <c r="H120" s="154"/>
      <c r="I120" s="154"/>
      <c r="J120" s="154"/>
    </row>
    <row r="121" spans="2:11" ht="15" x14ac:dyDescent="0.3">
      <c r="B121" s="154"/>
      <c r="C121" s="154"/>
      <c r="D121" s="154"/>
      <c r="E121" s="154"/>
      <c r="F121" s="154"/>
      <c r="G121" s="154"/>
      <c r="H121" s="154"/>
      <c r="I121" s="154"/>
      <c r="J121" s="154"/>
    </row>
    <row r="136" spans="11:11" x14ac:dyDescent="0.2">
      <c r="K136" s="6" t="s">
        <v>0</v>
      </c>
    </row>
    <row r="144" spans="11:11" x14ac:dyDescent="0.2">
      <c r="K144" s="6" t="s">
        <v>0</v>
      </c>
    </row>
    <row r="153" spans="16:48" x14ac:dyDescent="0.2">
      <c r="T153" s="6" t="s">
        <v>76</v>
      </c>
      <c r="U153" s="6" t="s">
        <v>11</v>
      </c>
      <c r="Y153" s="6" t="s">
        <v>76</v>
      </c>
      <c r="AA153" s="6" t="s">
        <v>4</v>
      </c>
      <c r="AV153" s="6">
        <v>1</v>
      </c>
    </row>
    <row r="154" spans="16:48" x14ac:dyDescent="0.2">
      <c r="T154" s="6" t="s">
        <v>76</v>
      </c>
      <c r="U154" s="6" t="s">
        <v>1</v>
      </c>
      <c r="Y154" s="6" t="s">
        <v>76</v>
      </c>
    </row>
    <row r="155" spans="16:48" x14ac:dyDescent="0.2">
      <c r="T155" s="6" t="s">
        <v>76</v>
      </c>
      <c r="U155" s="6">
        <f>+F20</f>
        <v>100</v>
      </c>
      <c r="V155" s="6" t="s">
        <v>127</v>
      </c>
      <c r="Y155" s="6" t="s">
        <v>76</v>
      </c>
    </row>
    <row r="156" spans="16:48" x14ac:dyDescent="0.2">
      <c r="T156" s="6" t="s">
        <v>76</v>
      </c>
      <c r="U156" s="6">
        <f>+F29</f>
        <v>7</v>
      </c>
      <c r="V156" s="6" t="s">
        <v>18</v>
      </c>
      <c r="W156" s="6">
        <f>+F30</f>
        <v>155</v>
      </c>
      <c r="X156" s="6" t="s">
        <v>17</v>
      </c>
      <c r="Y156" s="6" t="s">
        <v>76</v>
      </c>
    </row>
    <row r="157" spans="16:48" x14ac:dyDescent="0.2">
      <c r="P157" s="6" t="s">
        <v>70</v>
      </c>
      <c r="T157" s="6" t="s">
        <v>76</v>
      </c>
      <c r="U157" s="6">
        <f>+G29</f>
        <v>6.7</v>
      </c>
      <c r="V157" s="6" t="s">
        <v>35</v>
      </c>
      <c r="W157" s="6">
        <f>+G30</f>
        <v>150</v>
      </c>
      <c r="X157" s="6" t="s">
        <v>34</v>
      </c>
      <c r="Y157" s="6" t="s">
        <v>76</v>
      </c>
    </row>
    <row r="158" spans="16:48" x14ac:dyDescent="0.2">
      <c r="T158" s="6" t="s">
        <v>76</v>
      </c>
      <c r="U158" s="6">
        <f>+H29</f>
        <v>6.4</v>
      </c>
      <c r="V158" s="6" t="s">
        <v>28</v>
      </c>
      <c r="W158" s="6">
        <f>H30</f>
        <v>145</v>
      </c>
      <c r="X158" s="6" t="s">
        <v>27</v>
      </c>
      <c r="Y158" s="6" t="s">
        <v>76</v>
      </c>
    </row>
    <row r="159" spans="16:48" x14ac:dyDescent="0.2">
      <c r="T159" s="6" t="s">
        <v>76</v>
      </c>
      <c r="U159" s="6">
        <f>+I29</f>
        <v>6.1</v>
      </c>
      <c r="V159" s="6" t="s">
        <v>37</v>
      </c>
      <c r="W159" s="6">
        <f>I30</f>
        <v>140</v>
      </c>
      <c r="X159" s="6" t="s">
        <v>36</v>
      </c>
      <c r="Y159" s="6" t="s">
        <v>76</v>
      </c>
    </row>
    <row r="160" spans="16:48" x14ac:dyDescent="0.2">
      <c r="T160" s="6" t="s">
        <v>76</v>
      </c>
      <c r="U160" s="6">
        <f>+J29</f>
        <v>5.8</v>
      </c>
      <c r="V160" s="6" t="s">
        <v>59</v>
      </c>
      <c r="W160" s="6">
        <f>J30</f>
        <v>135</v>
      </c>
      <c r="X160" s="6" t="s">
        <v>58</v>
      </c>
      <c r="Y160" s="6" t="s">
        <v>76</v>
      </c>
    </row>
    <row r="161" spans="20:25" x14ac:dyDescent="0.2">
      <c r="T161" s="6" t="s">
        <v>76</v>
      </c>
      <c r="U161" s="6">
        <v>0</v>
      </c>
      <c r="V161" s="6" t="s">
        <v>25</v>
      </c>
      <c r="Y161" s="6" t="s">
        <v>76</v>
      </c>
    </row>
    <row r="162" spans="20:25" x14ac:dyDescent="0.2">
      <c r="T162" s="6" t="s">
        <v>76</v>
      </c>
      <c r="U162" s="6">
        <f>+F80</f>
        <v>93127.169507616127</v>
      </c>
      <c r="V162" s="6" t="s">
        <v>49</v>
      </c>
      <c r="Y162" s="6" t="s">
        <v>76</v>
      </c>
    </row>
    <row r="163" spans="20:25" x14ac:dyDescent="0.2">
      <c r="T163" s="6" t="s">
        <v>76</v>
      </c>
      <c r="U163" s="6" t="s">
        <v>76</v>
      </c>
      <c r="Y163" s="6" t="s">
        <v>76</v>
      </c>
    </row>
    <row r="164" spans="20:25" x14ac:dyDescent="0.2">
      <c r="T164" s="6" t="s">
        <v>77</v>
      </c>
      <c r="U164" s="6" t="s">
        <v>1</v>
      </c>
      <c r="Y164" s="6" t="s">
        <v>77</v>
      </c>
    </row>
    <row r="166" spans="20:25" x14ac:dyDescent="0.2">
      <c r="T166" s="6" t="s">
        <v>77</v>
      </c>
      <c r="V166" s="6" t="s">
        <v>87</v>
      </c>
      <c r="Y166" s="6" t="s">
        <v>77</v>
      </c>
    </row>
    <row r="167" spans="20:25" x14ac:dyDescent="0.2">
      <c r="T167" s="6" t="s">
        <v>77</v>
      </c>
      <c r="U167" s="6" t="s">
        <v>1</v>
      </c>
      <c r="Y167" s="6" t="s">
        <v>77</v>
      </c>
    </row>
    <row r="168" spans="20:25" x14ac:dyDescent="0.2">
      <c r="T168" s="6" t="s">
        <v>77</v>
      </c>
      <c r="U168" s="6">
        <f>0.04*U156+0.25*U157+0.42*U158+0.25*U159+0.04*U160</f>
        <v>6.4000000000000012</v>
      </c>
      <c r="V168" s="6" t="s">
        <v>23</v>
      </c>
      <c r="W168" s="6">
        <f>0.04*W156+0.25*W157+0.42*W158+0.25*W159+0.04*W160</f>
        <v>145</v>
      </c>
      <c r="X168" s="6" t="s">
        <v>22</v>
      </c>
      <c r="Y168" s="6" t="s">
        <v>77</v>
      </c>
    </row>
    <row r="169" spans="20:25" x14ac:dyDescent="0.2">
      <c r="T169" s="6" t="s">
        <v>77</v>
      </c>
      <c r="U169" s="6">
        <f>0.25*(U156-U168)+0.5*(U157-U168)</f>
        <v>0.29999999999999916</v>
      </c>
      <c r="V169" s="6" t="s">
        <v>47</v>
      </c>
      <c r="W169" s="6">
        <f>0.25*(W156-W168)+0.5*(W157-W168)</f>
        <v>5</v>
      </c>
      <c r="X169" s="6" t="s">
        <v>39</v>
      </c>
      <c r="Y169" s="6" t="s">
        <v>77</v>
      </c>
    </row>
    <row r="170" spans="20:25" x14ac:dyDescent="0.2">
      <c r="T170" s="6" t="s">
        <v>77</v>
      </c>
      <c r="U170" s="6">
        <f>0.25*(U168-U160)+0.5*(U168-U159)</f>
        <v>0.30000000000000115</v>
      </c>
      <c r="V170" s="6" t="s">
        <v>48</v>
      </c>
      <c r="W170" s="6">
        <f>0.25*(W168-W160)+0.5*(W168-W159)</f>
        <v>5</v>
      </c>
      <c r="X170" s="6" t="s">
        <v>40</v>
      </c>
      <c r="Y170" s="6" t="s">
        <v>77</v>
      </c>
    </row>
    <row r="180" spans="19:25" x14ac:dyDescent="0.2">
      <c r="T180" s="6" t="s">
        <v>77</v>
      </c>
      <c r="U180" s="6">
        <f>U169^2</f>
        <v>8.9999999999999497E-2</v>
      </c>
      <c r="V180" s="6" t="s">
        <v>56</v>
      </c>
      <c r="W180" s="6">
        <f>W169^2</f>
        <v>25</v>
      </c>
      <c r="X180" s="6" t="s">
        <v>50</v>
      </c>
      <c r="Y180" s="6" t="s">
        <v>77</v>
      </c>
    </row>
    <row r="181" spans="19:25" x14ac:dyDescent="0.2">
      <c r="T181" s="6" t="s">
        <v>77</v>
      </c>
      <c r="U181" s="6">
        <f>U170^2</f>
        <v>9.0000000000000691E-2</v>
      </c>
      <c r="V181" s="6" t="s">
        <v>57</v>
      </c>
      <c r="W181" s="6">
        <f>W170^2</f>
        <v>25</v>
      </c>
      <c r="X181" s="6" t="s">
        <v>51</v>
      </c>
      <c r="Y181" s="6" t="s">
        <v>77</v>
      </c>
    </row>
    <row r="182" spans="19:25" x14ac:dyDescent="0.2">
      <c r="T182" s="6" t="s">
        <v>77</v>
      </c>
      <c r="U182" s="6" t="s">
        <v>1</v>
      </c>
      <c r="Y182" s="6" t="s">
        <v>77</v>
      </c>
    </row>
    <row r="183" spans="19:25" x14ac:dyDescent="0.2">
      <c r="S183" s="6" t="s">
        <v>0</v>
      </c>
      <c r="T183" s="6" t="s">
        <v>77</v>
      </c>
      <c r="U183" s="6">
        <f>(U168^2*W180)+(W168-U161)^2*U180</f>
        <v>2916.24999999999</v>
      </c>
      <c r="V183" s="6" t="s">
        <v>52</v>
      </c>
      <c r="W183" s="6">
        <f>(U168^2*W181)+(W168-U161)^2*U181</f>
        <v>2916.250000000015</v>
      </c>
      <c r="X183" s="6" t="s">
        <v>55</v>
      </c>
      <c r="Y183" s="6" t="s">
        <v>77</v>
      </c>
    </row>
    <row r="184" spans="19:25" x14ac:dyDescent="0.2">
      <c r="T184" s="6" t="s">
        <v>77</v>
      </c>
      <c r="U184" s="6">
        <f>(U168^2*W180)+(W168-U161)^2*U181</f>
        <v>2916.250000000015</v>
      </c>
      <c r="V184" s="6" t="s">
        <v>53</v>
      </c>
      <c r="W184" s="6">
        <f>U168^2*W181+(W168-U161)^2*U180</f>
        <v>2916.24999999999</v>
      </c>
      <c r="X184" s="6" t="s">
        <v>54</v>
      </c>
      <c r="Y184" s="6" t="s">
        <v>77</v>
      </c>
    </row>
    <row r="185" spans="19:25" x14ac:dyDescent="0.2">
      <c r="T185" s="6" t="s">
        <v>77</v>
      </c>
      <c r="U185" s="18">
        <f>SQRT(U183)</f>
        <v>54.002314765202335</v>
      </c>
      <c r="V185" s="18" t="s">
        <v>41</v>
      </c>
      <c r="W185" s="18">
        <f>SQRT(W183)</f>
        <v>54.002314765202563</v>
      </c>
      <c r="X185" s="6" t="s">
        <v>44</v>
      </c>
      <c r="Y185" s="6" t="s">
        <v>77</v>
      </c>
    </row>
    <row r="187" spans="19:25" x14ac:dyDescent="0.2">
      <c r="T187" s="6" t="s">
        <v>77</v>
      </c>
      <c r="U187" s="18">
        <f>SQRT(U184)</f>
        <v>54.002314765202563</v>
      </c>
      <c r="V187" s="18" t="s">
        <v>42</v>
      </c>
      <c r="W187" s="18">
        <f>SQRT(W184)</f>
        <v>54.002314765202335</v>
      </c>
      <c r="X187" s="6" t="s">
        <v>43</v>
      </c>
      <c r="Y187" s="6" t="s">
        <v>77</v>
      </c>
    </row>
    <row r="188" spans="19:25" x14ac:dyDescent="0.2">
      <c r="T188" s="6" t="s">
        <v>77</v>
      </c>
      <c r="U188" s="18">
        <f>0.66*U185+0.17*U187+0.17*W187</f>
        <v>54.002314765202378</v>
      </c>
      <c r="V188" s="18" t="s">
        <v>45</v>
      </c>
      <c r="W188" s="18">
        <f>0.66*W185+0.17*U187+0.17*W187</f>
        <v>54.002314765202527</v>
      </c>
      <c r="X188" s="6" t="s">
        <v>46</v>
      </c>
      <c r="Y188" s="6" t="s">
        <v>77</v>
      </c>
    </row>
    <row r="189" spans="19:25" x14ac:dyDescent="0.2">
      <c r="T189" s="6" t="s">
        <v>77</v>
      </c>
      <c r="U189" s="6" t="s">
        <v>1</v>
      </c>
      <c r="Y189" s="6" t="s">
        <v>77</v>
      </c>
    </row>
    <row r="190" spans="19:25" x14ac:dyDescent="0.2">
      <c r="T190" s="6" t="s">
        <v>77</v>
      </c>
      <c r="U190" s="6" t="s">
        <v>86</v>
      </c>
      <c r="Y190" s="6" t="s">
        <v>77</v>
      </c>
    </row>
    <row r="191" spans="19:25" x14ac:dyDescent="0.2">
      <c r="S191" s="6" t="s">
        <v>0</v>
      </c>
    </row>
    <row r="200" spans="11:41" x14ac:dyDescent="0.2">
      <c r="S200" s="6" t="s">
        <v>0</v>
      </c>
      <c r="T200" s="6" t="s">
        <v>77</v>
      </c>
      <c r="U200" s="6" t="s">
        <v>1</v>
      </c>
      <c r="Y200" s="6" t="s">
        <v>77</v>
      </c>
    </row>
    <row r="201" spans="11:41" x14ac:dyDescent="0.2">
      <c r="T201" s="6" t="s">
        <v>77</v>
      </c>
      <c r="U201" s="6">
        <f>W158</f>
        <v>145</v>
      </c>
      <c r="V201" s="6" t="s">
        <v>30</v>
      </c>
      <c r="W201" s="6">
        <f>+U207-U205</f>
        <v>0</v>
      </c>
      <c r="X201" s="6" t="s">
        <v>106</v>
      </c>
      <c r="Y201" s="6" t="s">
        <v>77</v>
      </c>
      <c r="AO201" s="6">
        <v>1</v>
      </c>
    </row>
    <row r="202" spans="11:41" x14ac:dyDescent="0.2">
      <c r="S202" s="6" t="s">
        <v>2</v>
      </c>
      <c r="T202" s="6" t="s">
        <v>77</v>
      </c>
      <c r="U202" s="6">
        <f>U158</f>
        <v>6.4</v>
      </c>
      <c r="V202" s="6" t="s">
        <v>33</v>
      </c>
      <c r="W202" s="6">
        <f>U155*U185</f>
        <v>5400.2314765202336</v>
      </c>
      <c r="X202" s="6" t="s">
        <v>187</v>
      </c>
      <c r="Y202" s="6" t="s">
        <v>77</v>
      </c>
    </row>
    <row r="203" spans="11:41" x14ac:dyDescent="0.2">
      <c r="T203" s="6" t="s">
        <v>77</v>
      </c>
      <c r="U203" s="18">
        <f>+U206+0.33*(W207-W206)</f>
        <v>92800.000000000015</v>
      </c>
      <c r="V203" s="6" t="s">
        <v>32</v>
      </c>
      <c r="W203" s="6">
        <f>U155*W185</f>
        <v>5400.2314765202564</v>
      </c>
      <c r="X203" s="6" t="s">
        <v>190</v>
      </c>
      <c r="Y203" s="6" t="s">
        <v>77</v>
      </c>
    </row>
    <row r="204" spans="11:41" x14ac:dyDescent="0.2">
      <c r="T204" s="6" t="s">
        <v>77</v>
      </c>
      <c r="U204" s="18">
        <f>+F80</f>
        <v>93127.169507616127</v>
      </c>
      <c r="V204" s="6" t="s">
        <v>31</v>
      </c>
      <c r="W204" s="6">
        <f>U155*U187</f>
        <v>5400.2314765202564</v>
      </c>
      <c r="X204" s="6" t="s">
        <v>188</v>
      </c>
      <c r="Y204" s="6" t="s">
        <v>77</v>
      </c>
    </row>
    <row r="205" spans="11:41" x14ac:dyDescent="0.2">
      <c r="K205" s="6" t="s">
        <v>0</v>
      </c>
      <c r="T205" s="6" t="s">
        <v>77</v>
      </c>
      <c r="U205" s="18">
        <f>U203-U204</f>
        <v>-327.16950761611224</v>
      </c>
      <c r="V205" s="6" t="s">
        <v>29</v>
      </c>
      <c r="W205" s="6">
        <f>U155*W187</f>
        <v>5400.2314765202336</v>
      </c>
      <c r="X205" s="6" t="s">
        <v>189</v>
      </c>
      <c r="Y205" s="6" t="s">
        <v>77</v>
      </c>
    </row>
    <row r="206" spans="11:41" x14ac:dyDescent="0.2">
      <c r="S206" s="6" t="s">
        <v>0</v>
      </c>
      <c r="T206" s="6" t="s">
        <v>77</v>
      </c>
      <c r="U206" s="18">
        <f>U155*U168*W168</f>
        <v>92800.000000000015</v>
      </c>
      <c r="V206" s="6" t="s">
        <v>21</v>
      </c>
      <c r="W206" s="18">
        <f>U155*U188</f>
        <v>5400.2314765202382</v>
      </c>
      <c r="X206" s="6" t="s">
        <v>45</v>
      </c>
      <c r="Y206" s="6" t="s">
        <v>77</v>
      </c>
    </row>
    <row r="207" spans="11:41" x14ac:dyDescent="0.2">
      <c r="T207" s="6" t="s">
        <v>77</v>
      </c>
      <c r="U207" s="18">
        <f>U206-U204</f>
        <v>-327.16950761611224</v>
      </c>
      <c r="V207" s="6" t="s">
        <v>20</v>
      </c>
      <c r="W207" s="18">
        <f>U155*W188</f>
        <v>5400.2314765202527</v>
      </c>
      <c r="X207" s="6" t="s">
        <v>46</v>
      </c>
      <c r="Y207" s="6" t="s">
        <v>77</v>
      </c>
    </row>
    <row r="208" spans="11:41" x14ac:dyDescent="0.2">
      <c r="T208" s="6" t="s">
        <v>77</v>
      </c>
      <c r="U208" s="6" t="s">
        <v>1</v>
      </c>
      <c r="Y208" s="6" t="s">
        <v>77</v>
      </c>
    </row>
    <row r="210" spans="11:38" x14ac:dyDescent="0.2">
      <c r="U210" s="6" t="b">
        <f>+D98&gt;=U205</f>
        <v>1</v>
      </c>
      <c r="V210" s="6">
        <f>ABS((D98-U207)/IF(U210,W206,W207))</f>
        <v>1.5</v>
      </c>
      <c r="W210" s="6">
        <f>MIN(2.5,ABS((D98-(U205+W201*ABS(D98-U205)/ABS(IF(U210,W206+W201,W207-W201))*MIN(1,V210)))/(MIN(1.52,V210)/1.52*IF(U210,W202,W203)+(1.52-MIN(1.52,V210))/3.04*W204+(1.52-MIN(1.52,V210))/3.04*W205)))</f>
        <v>1.5000000000000011</v>
      </c>
      <c r="X210" s="6">
        <f t="shared" ref="X210:X215" si="3">1/(1+(0.2316419*W210))</f>
        <v>0.74213548818804154</v>
      </c>
      <c r="Y210" s="6">
        <f t="shared" ref="Y210:Y215" si="4">0.398942281*((2.71828)^((-(W210^2)/2)))</f>
        <v>0.1295176938706632</v>
      </c>
      <c r="Z210" s="6">
        <f t="shared" ref="Z210:Z215" si="5">Y210*(0.31938153*X210-0.356563782*X210^2+1.781477937*X210^3-1.821255978*X210^4+1.330274429*X210^5)</f>
        <v>6.6807279375848461E-2</v>
      </c>
      <c r="AA210" s="6" t="b">
        <f>+E98&gt;=U205</f>
        <v>1</v>
      </c>
      <c r="AB210" s="6">
        <f>ABS((E98-U207)/IF(AA210,W206,W207))</f>
        <v>1</v>
      </c>
      <c r="AC210" s="6">
        <f>MIN(2.5,ABS((E98-(U205+W201*ABS(E98-U205)/ABS(IF(AA210,W206+W201,W207-W201))*MIN(1,AB210)))/(MIN(1.52,AB210)/1.52*IF(AA210,W202,W203)+(1.52-MIN(1.52,AB210))/3.04*W204+(1.52-MIN(1.52,AB210))/3.04*W205)))</f>
        <v>1.0000000000000002</v>
      </c>
      <c r="AD210" s="6">
        <f t="shared" ref="AD210:AD215" si="6">1/(1+(0.2316419*AC210))</f>
        <v>0.81192431014242039</v>
      </c>
      <c r="AE210" s="6">
        <f t="shared" ref="AE210:AE215" si="7">0.398942281*((2.71828)^((-(AC210^2)/2)))</f>
        <v>0.24197080626333928</v>
      </c>
      <c r="AF210" s="6">
        <f t="shared" ref="AF210:AF215" si="8">AE210*(0.31938153*AD210-0.356563782*AD210^2+1.781477937*AD210^3-1.821255978*AD210^4+1.330274429*AD210^5)</f>
        <v>0.15865531316113046</v>
      </c>
      <c r="AG210" s="6" t="b">
        <f>+F98&gt;=U205</f>
        <v>1</v>
      </c>
      <c r="AH210" s="6">
        <f>ABS((F98-U207)/IF(AG210,W206,W207))</f>
        <v>0.5</v>
      </c>
      <c r="AI210" s="6">
        <f>MIN(2.5,ABS((F98-(U205+W201*ABS(F98-U205)/ABS(IF(AG210,W206+W201,W207-W201))*MIN(1,AH210)))/(MIN(1.52,AH210)/1.52*IF(AG210,W202,W203)+(1.52-MIN(1.52,AH210))/3.04*W204+(1.52-MIN(1.52,AH210))/3.04*W205)))</f>
        <v>0.49999999999999972</v>
      </c>
      <c r="AJ210" s="6">
        <f>1/(1+(0.2316419*AI210))</f>
        <v>0.89620113334491525</v>
      </c>
      <c r="AK210" s="6">
        <f>0.398942281*((2.71828)^((-(AI210^2)/2)))</f>
        <v>0.35206535689474699</v>
      </c>
      <c r="AL210" s="6">
        <f>AK210*(0.31938153*AJ210-0.356563782*AJ210^2+1.781477937*AJ210^3-1.821255978*AJ210^4+1.330274429*AJ210^5)</f>
        <v>0.30853755861792781</v>
      </c>
    </row>
    <row r="211" spans="11:38" x14ac:dyDescent="0.2">
      <c r="W211" s="6">
        <f>MIN(2.5,ABS((D98-U207)/(MIN(1.52,V210)/1.52*IF(U210,W202,W203)+(1.52-MIN(1.52,V210))/3.04*W204+(1.52-MIN(1.52,V210))/3.04*W205)))</f>
        <v>1.5000000000000011</v>
      </c>
      <c r="X211" s="6">
        <f t="shared" si="3"/>
        <v>0.74213548818804154</v>
      </c>
      <c r="Y211" s="6">
        <f t="shared" si="4"/>
        <v>0.1295176938706632</v>
      </c>
      <c r="Z211" s="6">
        <f t="shared" si="5"/>
        <v>6.6807279375848461E-2</v>
      </c>
      <c r="AC211" s="6">
        <f>MIN(2.5,ABS((E98-U207)/(MIN(1.52,AB210)/1.52*IF(AA210,W202,W203)+(1.52-MIN(1.52,AB210))/3.04*W204+(1.52-MIN(1.52,AB210))/3.04*W205)))</f>
        <v>1.0000000000000002</v>
      </c>
      <c r="AD211" s="6">
        <f t="shared" si="6"/>
        <v>0.81192431014242039</v>
      </c>
      <c r="AE211" s="6">
        <f t="shared" si="7"/>
        <v>0.24197080626333928</v>
      </c>
      <c r="AF211" s="6">
        <f t="shared" si="8"/>
        <v>0.15865531316113046</v>
      </c>
      <c r="AI211" s="6">
        <f>MIN(2.5,ABS((F98-U207)/(MIN(1.52,AH210)/1.52*IF(AG210,W202,W203)+(1.52-MIN(1.52,AH210))/3.04*W204+(1.52-MIN(1.52,AH210))/3.04*W205)))</f>
        <v>0.49999999999999972</v>
      </c>
      <c r="AJ211" s="6">
        <f>1/(1+(0.2316419*AI211))</f>
        <v>0.89620113334491525</v>
      </c>
      <c r="AK211" s="6">
        <f>0.398942281*((2.71828)^((-(AI211^2)/2)))</f>
        <v>0.35206535689474699</v>
      </c>
      <c r="AL211" s="6">
        <f>AK211*(0.31938153*AJ211-0.356563782*AJ211^2+1.781477937*AJ211^3-1.821255978*AJ211^4+1.330274429*AJ211^5)</f>
        <v>0.30853755861792781</v>
      </c>
    </row>
    <row r="212" spans="11:38" x14ac:dyDescent="0.2">
      <c r="S212" s="6" t="s">
        <v>2</v>
      </c>
      <c r="U212" s="6" t="b">
        <f>+G98&gt;=U205</f>
        <v>1</v>
      </c>
      <c r="V212" s="6">
        <f>ABS((G98-U207)/IF(U212,W206,W207))</f>
        <v>0</v>
      </c>
      <c r="W212" s="6">
        <f>MIN(2.5,ABS((G98-(U205+W201*ABS(G98-U205)/ABS(IF(U212,W206+W201,W207-W201))*MIN(1,V212)))/(MIN(1.52,V212)/1.52*IF(U212,W202,W203)+(1.52-MIN(1.52,V212))/3.04*W204+(1.52-MIN(1.52,V212))/3.04*W205)))</f>
        <v>0</v>
      </c>
      <c r="X212" s="6">
        <f t="shared" si="3"/>
        <v>1</v>
      </c>
      <c r="Y212" s="6">
        <f t="shared" si="4"/>
        <v>0.39894228100000001</v>
      </c>
      <c r="Z212" s="6">
        <f t="shared" si="5"/>
        <v>0.50000000022538427</v>
      </c>
      <c r="AA212" s="6" t="b">
        <f>+H98&gt;=U205</f>
        <v>0</v>
      </c>
      <c r="AB212" s="6">
        <f>ABS((H98-U207)/IF(AA212,W206,W207))</f>
        <v>0.5</v>
      </c>
      <c r="AC212" s="6">
        <f>MIN(2.5,ABS((H98-(U205+W201*ABS(H98-U205)/ABS(IF(AA212,W206+W201,W207-W201))*MIN(1,AB212)))/(MIN(1.52,AB212)/1.52*IF(AA212,W202,W203)+(1.52-MIN(1.52,AB212))/3.04*W204+(1.52-MIN(1.52,AB212))/3.04*W205)))</f>
        <v>0.50000000000000044</v>
      </c>
      <c r="AD212" s="6">
        <f t="shared" si="6"/>
        <v>0.89620113334491525</v>
      </c>
      <c r="AE212" s="6">
        <f t="shared" si="7"/>
        <v>0.35206535689474683</v>
      </c>
      <c r="AF212" s="6">
        <f t="shared" si="8"/>
        <v>0.30853755861792764</v>
      </c>
      <c r="AG212" s="6" t="b">
        <f>+I98&gt;=U205</f>
        <v>0</v>
      </c>
      <c r="AH212" s="6">
        <f>ABS((I98-U207)/IF(AG212,W206,W207))</f>
        <v>1</v>
      </c>
      <c r="AI212" s="6">
        <f>MIN(2.5,ABS((I98-(U205+W201*ABS(I98-U205)/ABS(IF(AG212,W206+W201,W207-W201))*MIN(1,AH212)))/(MIN(1.52,AH212)/1.52*IF(AG212,W202,W203)+(1.52-MIN(1.52,AH212))/3.04*W204+(1.52-MIN(1.52,AH212))/3.04*W205)))</f>
        <v>1</v>
      </c>
      <c r="AJ212" s="6">
        <f>1/(1+(0.2316419*AI212))</f>
        <v>0.81192431014242039</v>
      </c>
      <c r="AK212" s="6">
        <f>0.398942281*((2.71828)^((-(AI212^2)/2)))</f>
        <v>0.24197080626333936</v>
      </c>
      <c r="AL212" s="6">
        <f>AK212*(0.31938153*AJ212-0.356563782*AJ212^2+1.781477937*AJ212^3-1.821255978*AJ212^4+1.330274429*AJ212^5)</f>
        <v>0.15865531316113052</v>
      </c>
    </row>
    <row r="213" spans="11:38" x14ac:dyDescent="0.2">
      <c r="W213" s="6">
        <f>MIN(2.5,ABS((G98-U207)/(MIN(1.52,V212)/1.52*IF(U212,W202,W203)+(1.52-MIN(1.52,V212))/3.04*W204+(1.52-MIN(1.52,V212))/3.04*W205)))</f>
        <v>0</v>
      </c>
      <c r="X213" s="6">
        <f t="shared" si="3"/>
        <v>1</v>
      </c>
      <c r="Y213" s="6">
        <f t="shared" si="4"/>
        <v>0.39894228100000001</v>
      </c>
      <c r="Z213" s="6">
        <f t="shared" si="5"/>
        <v>0.50000000022538427</v>
      </c>
      <c r="AC213" s="6">
        <f>MIN(2.5,ABS((H98-U207)/(MIN(1.52,AB212)/1.52*IF(AA212,W202,W203)+(1.52-MIN(1.52,AB212))/3.04*W204+(1.52-MIN(1.52,AB212))/3.04*W205)))</f>
        <v>0.50000000000000044</v>
      </c>
      <c r="AD213" s="6">
        <f t="shared" si="6"/>
        <v>0.89620113334491525</v>
      </c>
      <c r="AE213" s="6">
        <f t="shared" si="7"/>
        <v>0.35206535689474683</v>
      </c>
      <c r="AF213" s="6">
        <f t="shared" si="8"/>
        <v>0.30853755861792764</v>
      </c>
      <c r="AI213" s="6">
        <f>MIN(2.5,ABS((I98-U207)/(MIN(1.52,AH212)/1.52*IF(AG212,W202,W203)+(1.52-MIN(1.52,AH212))/3.04*W204+(1.52-MIN(1.52,AH212))/3.04*W205)))</f>
        <v>1</v>
      </c>
      <c r="AJ213" s="6">
        <f>1/(1+(0.2316419*AI213))</f>
        <v>0.81192431014242039</v>
      </c>
      <c r="AK213" s="6">
        <f>0.398942281*((2.71828)^((-(AI213^2)/2)))</f>
        <v>0.24197080626333936</v>
      </c>
      <c r="AL213" s="6">
        <f>AK213*(0.31938153*AJ213-0.356563782*AJ213^2+1.781477937*AJ213^3-1.821255978*AJ213^4+1.330274429*AJ213^5)</f>
        <v>0.15865531316113052</v>
      </c>
    </row>
    <row r="214" spans="11:38" x14ac:dyDescent="0.2">
      <c r="K214" s="6" t="s">
        <v>0</v>
      </c>
      <c r="U214" s="6" t="b">
        <f>+J98&gt;=U205</f>
        <v>0</v>
      </c>
      <c r="V214" s="6">
        <f>ABS((J98-U207)/IF(U214,W206,W207))</f>
        <v>1.5</v>
      </c>
      <c r="W214" s="6">
        <f>MIN(2.5,ABS((J98-(U205+W201*ABS(J98-U205)/ABS(IF(U214,W206+W201,W207-W201))*MIN(1,V214)))/(MIN(1.52,V214)/1.52*IF(U214,W202,W203)+(1.52-MIN(1.52,V214))/3.04*W204+(1.52-MIN(1.52,V214))/3.04*W205)))</f>
        <v>1.4999999999999991</v>
      </c>
      <c r="X214" s="6">
        <f t="shared" si="3"/>
        <v>0.74213548818804176</v>
      </c>
      <c r="Y214" s="6">
        <f t="shared" si="4"/>
        <v>0.12951769387066356</v>
      </c>
      <c r="Z214" s="6">
        <f t="shared" si="5"/>
        <v>6.6807279375848669E-2</v>
      </c>
      <c r="AA214" s="6" t="b">
        <f>0&gt;=U205</f>
        <v>1</v>
      </c>
      <c r="AB214" s="6">
        <f>ABS((0-U207)/IF(AA214,W206,W207))</f>
        <v>6.0584348844789027E-2</v>
      </c>
      <c r="AC214" s="6">
        <f>MIN(2.5,ABS((0-(U205+W201*ABS(0-U205)/ABS(IF(AA214,W206+W201,W207-W201))*MIN(1,AB214)))/(MIN(1.52,AB214)/1.52*IF(AA214,W202,W203)+(1.52-MIN(1.52,AB214))/3.04*W204+(1.52-MIN(1.52,AB214))/3.04*W205)))</f>
        <v>6.0584348844788957E-2</v>
      </c>
      <c r="AD214" s="6">
        <f t="shared" si="6"/>
        <v>0.9861603502200712</v>
      </c>
      <c r="AE214" s="6">
        <f t="shared" si="7"/>
        <v>0.39821080140900084</v>
      </c>
      <c r="AF214" s="6">
        <f t="shared" si="8"/>
        <v>0.47584504979702297</v>
      </c>
    </row>
    <row r="215" spans="11:38" x14ac:dyDescent="0.2">
      <c r="S215" s="6" t="s">
        <v>2</v>
      </c>
      <c r="W215" s="6">
        <f>MIN(2.5,ABS((J98-U207)/(MIN(1.52,V214)/1.52*IF(U214,W202,W203)+(1.52-MIN(1.52,V214))/3.04*W204+(1.52-MIN(1.52,V214))/3.04*W205)))</f>
        <v>1.4999999999999991</v>
      </c>
      <c r="X215" s="6">
        <f t="shared" si="3"/>
        <v>0.74213548818804176</v>
      </c>
      <c r="Y215" s="6">
        <f t="shared" si="4"/>
        <v>0.12951769387066356</v>
      </c>
      <c r="Z215" s="6">
        <f t="shared" si="5"/>
        <v>6.6807279375848669E-2</v>
      </c>
      <c r="AC215" s="6">
        <f>MIN(2.5,ABS((0-U207)/(MIN(1.52,AB214)/1.52*IF(AA214,W202,W203)+(1.52-MIN(1.52,AB214))/3.04*W204+(1.52-MIN(1.52,AB214))/3.04*W205)))</f>
        <v>6.0584348844788957E-2</v>
      </c>
      <c r="AD215" s="6">
        <f t="shared" si="6"/>
        <v>0.9861603502200712</v>
      </c>
      <c r="AE215" s="6">
        <f t="shared" si="7"/>
        <v>0.39821080140900084</v>
      </c>
      <c r="AF215" s="6">
        <f t="shared" si="8"/>
        <v>0.47584504979702297</v>
      </c>
    </row>
    <row r="217" spans="11:38" x14ac:dyDescent="0.2">
      <c r="K217" s="6" t="s">
        <v>0</v>
      </c>
    </row>
    <row r="219" spans="11:38" x14ac:dyDescent="0.2">
      <c r="U219" s="6" t="s">
        <v>109</v>
      </c>
    </row>
    <row r="220" spans="11:38" x14ac:dyDescent="0.2">
      <c r="U220" s="6">
        <f>U155</f>
        <v>100</v>
      </c>
      <c r="V220" s="6">
        <f>U168</f>
        <v>6.4000000000000012</v>
      </c>
      <c r="W220" s="6">
        <f>W168</f>
        <v>145</v>
      </c>
      <c r="X220" s="6">
        <f>I80</f>
        <v>940.67847987491041</v>
      </c>
      <c r="Y220" s="6">
        <f>W206</f>
        <v>5400.2314765202382</v>
      </c>
      <c r="Z220" s="6">
        <f>W207</f>
        <v>5400.2314765202527</v>
      </c>
      <c r="AA220" s="6">
        <f>W202</f>
        <v>5400.2314765202336</v>
      </c>
      <c r="AB220" s="6">
        <f>W204</f>
        <v>5400.2314765202564</v>
      </c>
      <c r="AC220" s="6">
        <f>W203</f>
        <v>5400.2314765202564</v>
      </c>
      <c r="AD220" s="6">
        <f>W205</f>
        <v>5400.2314765202336</v>
      </c>
    </row>
    <row r="230" spans="11:11" x14ac:dyDescent="0.2">
      <c r="K230" s="6" t="s">
        <v>0</v>
      </c>
    </row>
    <row r="251" spans="11:11" x14ac:dyDescent="0.2">
      <c r="K251" s="6" t="s">
        <v>0</v>
      </c>
    </row>
    <row r="253" spans="11:11" x14ac:dyDescent="0.2">
      <c r="K253" s="6" t="s">
        <v>0</v>
      </c>
    </row>
  </sheetData>
  <mergeCells count="51">
    <mergeCell ref="B16:J16"/>
    <mergeCell ref="B15:J15"/>
    <mergeCell ref="B1:J1"/>
    <mergeCell ref="B2:J2"/>
    <mergeCell ref="B3:J3"/>
    <mergeCell ref="B5:J5"/>
    <mergeCell ref="B6:J6"/>
    <mergeCell ref="B7:J7"/>
    <mergeCell ref="B4:J4"/>
    <mergeCell ref="F103:H103"/>
    <mergeCell ref="B77:E77"/>
    <mergeCell ref="B78:E78"/>
    <mergeCell ref="B79:E79"/>
    <mergeCell ref="F102:I102"/>
    <mergeCell ref="B94:J94"/>
    <mergeCell ref="B95:J95"/>
    <mergeCell ref="H18:I18"/>
    <mergeCell ref="H19:I19"/>
    <mergeCell ref="H20:I20"/>
    <mergeCell ref="B54:I54"/>
    <mergeCell ref="B43:D43"/>
    <mergeCell ref="B35:D35"/>
    <mergeCell ref="B40:D40"/>
    <mergeCell ref="B36:D36"/>
    <mergeCell ref="B37:D37"/>
    <mergeCell ref="B38:D38"/>
    <mergeCell ref="B41:D41"/>
    <mergeCell ref="B60:D60"/>
    <mergeCell ref="B76:E76"/>
    <mergeCell ref="B59:D59"/>
    <mergeCell ref="B75:E75"/>
    <mergeCell ref="B42:D42"/>
    <mergeCell ref="B44:D44"/>
    <mergeCell ref="B45:D45"/>
    <mergeCell ref="B50:D50"/>
    <mergeCell ref="B39:D39"/>
    <mergeCell ref="B91:J91"/>
    <mergeCell ref="B93:J93"/>
    <mergeCell ref="B83:J83"/>
    <mergeCell ref="B71:I71"/>
    <mergeCell ref="B55:D55"/>
    <mergeCell ref="B46:D46"/>
    <mergeCell ref="B47:D47"/>
    <mergeCell ref="B48:D48"/>
    <mergeCell ref="B49:D49"/>
    <mergeCell ref="B32:D34"/>
    <mergeCell ref="E32:E34"/>
    <mergeCell ref="F32:F34"/>
    <mergeCell ref="I32:I34"/>
    <mergeCell ref="G32:G34"/>
    <mergeCell ref="H32:H34"/>
  </mergeCells>
  <phoneticPr fontId="0" type="noConversion"/>
  <conditionalFormatting sqref="J102:J103">
    <cfRule type="cellIs" dxfId="0" priority="1" stopIfTrue="1" operator="lessThan">
      <formula>0</formula>
    </cfRule>
  </conditionalFormatting>
  <hyperlinks>
    <hyperlink ref="A56" location="Fixed_Payment!G10" display="Cash Flow"/>
    <hyperlink ref="A55" location="Fixed_Cost!A1" display="Total Cost"/>
    <hyperlink ref="A38" location="'Winter Grazing'!G26" display="Winter Grazing Detail"/>
    <hyperlink ref="A37" location="Procurement!E7" display="Procurement Detail"/>
    <hyperlink ref="A50" location="Procurement!E17" display="Auction &amp; Hauling Detail"/>
  </hyperlinks>
  <printOptions horizontalCentered="1"/>
  <pageMargins left="0.75" right="0.75" top="1" bottom="1" header="0.5" footer="0.5"/>
  <pageSetup scale="73" fitToHeight="2" orientation="portrait" r:id="rId1"/>
  <headerFooter alignWithMargins="0">
    <oddHeader>&amp;F</oddHeader>
    <oddFooter>&amp;CUGA Extension Agricultural and Applied Economics</oddFooter>
  </headerFooter>
  <rowBreaks count="1" manualBreakCount="1">
    <brk id="70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H302"/>
  <sheetViews>
    <sheetView topLeftCell="A7" zoomScaleNormal="100" workbookViewId="0">
      <selection activeCell="J15" sqref="J15"/>
    </sheetView>
  </sheetViews>
  <sheetFormatPr defaultColWidth="8.42578125" defaultRowHeight="12.75" x14ac:dyDescent="0.2"/>
  <cols>
    <col min="1" max="1" width="13.85546875" customWidth="1"/>
    <col min="2" max="3" width="8.42578125" customWidth="1"/>
    <col min="4" max="4" width="11.28515625" customWidth="1"/>
    <col min="5" max="5" width="10.140625" customWidth="1"/>
    <col min="6" max="6" width="9.7109375" customWidth="1"/>
    <col min="7" max="7" width="10.7109375" customWidth="1"/>
    <col min="8" max="8" width="9.42578125" customWidth="1"/>
    <col min="9" max="9" width="10.85546875" customWidth="1"/>
    <col min="10" max="10" width="13.140625" customWidth="1"/>
    <col min="11" max="11" width="11.85546875" customWidth="1"/>
  </cols>
  <sheetData>
    <row r="1" spans="1:60" x14ac:dyDescent="0.2">
      <c r="A1" s="15"/>
      <c r="B1" s="15" t="s">
        <v>267</v>
      </c>
      <c r="C1" s="15"/>
      <c r="D1" s="15"/>
      <c r="E1" s="15"/>
      <c r="F1" s="15"/>
      <c r="G1" s="15"/>
      <c r="H1" s="15"/>
      <c r="I1" s="15"/>
      <c r="J1" s="6"/>
      <c r="K1" s="6"/>
      <c r="L1" s="6"/>
      <c r="M1" s="6"/>
      <c r="N1" s="41"/>
      <c r="O1" s="42"/>
      <c r="P1" s="43"/>
      <c r="Q1" s="42"/>
      <c r="R1" s="43">
        <v>3</v>
      </c>
      <c r="S1" s="42"/>
      <c r="T1" s="42"/>
      <c r="U1" s="42"/>
      <c r="V1" s="42"/>
      <c r="W1" s="42"/>
      <c r="X1" s="43">
        <v>3</v>
      </c>
      <c r="Y1" s="43">
        <v>2</v>
      </c>
      <c r="Z1" s="43">
        <v>1</v>
      </c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</row>
    <row r="2" spans="1:60" x14ac:dyDescent="0.2">
      <c r="A2" s="15"/>
      <c r="B2" s="15"/>
      <c r="C2" s="15"/>
      <c r="D2" s="15"/>
      <c r="E2" s="15"/>
      <c r="F2" s="15"/>
      <c r="G2" s="15"/>
      <c r="H2" s="15"/>
      <c r="I2" s="15"/>
      <c r="J2" s="6"/>
      <c r="K2" s="6"/>
      <c r="L2" s="6"/>
      <c r="M2" s="6"/>
      <c r="N2" s="41"/>
      <c r="O2" s="42"/>
      <c r="P2" s="42"/>
      <c r="Q2" s="42"/>
      <c r="R2" s="42"/>
      <c r="S2" s="42"/>
      <c r="T2" s="42"/>
      <c r="U2" s="42"/>
      <c r="V2" s="42"/>
      <c r="W2" s="42"/>
      <c r="X2" s="43"/>
      <c r="Y2" s="43"/>
      <c r="Z2" s="43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</row>
    <row r="3" spans="1:60" x14ac:dyDescent="0.2">
      <c r="A3" s="15"/>
      <c r="B3" s="15" t="s">
        <v>113</v>
      </c>
      <c r="C3" s="15"/>
      <c r="D3" s="15"/>
      <c r="E3" s="15"/>
      <c r="F3" s="15"/>
      <c r="G3" s="15"/>
      <c r="H3" s="15"/>
      <c r="I3" s="15"/>
      <c r="J3" s="6"/>
      <c r="K3" s="6"/>
      <c r="L3" s="6"/>
      <c r="M3" s="6"/>
      <c r="N3" s="41"/>
      <c r="O3" s="42"/>
      <c r="P3" s="42"/>
      <c r="Q3" s="42"/>
      <c r="R3" s="42"/>
      <c r="S3" s="42"/>
      <c r="T3" s="42"/>
      <c r="U3" s="42"/>
      <c r="V3" s="42"/>
      <c r="W3" s="42"/>
      <c r="X3" s="43"/>
      <c r="Y3" s="43"/>
      <c r="Z3" s="44" t="s">
        <v>229</v>
      </c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</row>
    <row r="4" spans="1:60" x14ac:dyDescent="0.2">
      <c r="A4" s="15"/>
      <c r="B4" s="45" t="s">
        <v>268</v>
      </c>
      <c r="C4" s="15"/>
      <c r="D4" s="15"/>
      <c r="E4" s="15"/>
      <c r="F4" s="15"/>
      <c r="G4" s="15"/>
      <c r="H4" s="15"/>
      <c r="I4" s="15"/>
      <c r="J4" s="6"/>
      <c r="K4" s="6"/>
      <c r="L4" s="6"/>
      <c r="M4" s="6"/>
      <c r="N4" s="41"/>
      <c r="O4" s="42"/>
      <c r="P4" s="42"/>
      <c r="Q4" s="42"/>
      <c r="R4" s="42"/>
      <c r="S4" s="42"/>
      <c r="T4" s="42"/>
      <c r="U4" s="42"/>
      <c r="V4" s="42"/>
      <c r="W4" s="42"/>
      <c r="X4" s="43"/>
      <c r="Y4" s="43"/>
      <c r="Z4" s="44" t="s">
        <v>230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</row>
    <row r="5" spans="1:60" x14ac:dyDescent="0.2">
      <c r="A5" s="15"/>
      <c r="B5" s="15"/>
      <c r="C5" s="15"/>
      <c r="D5" s="15"/>
      <c r="E5" s="15"/>
      <c r="F5" s="15"/>
      <c r="G5" s="15"/>
      <c r="H5" s="15"/>
      <c r="I5" s="15"/>
      <c r="J5" s="6"/>
      <c r="K5" s="6" t="s">
        <v>0</v>
      </c>
      <c r="L5" s="6"/>
      <c r="M5" s="6"/>
      <c r="N5" s="41"/>
      <c r="O5" s="42"/>
      <c r="P5" s="42"/>
      <c r="Q5" s="42"/>
      <c r="R5" s="42"/>
      <c r="S5" s="42"/>
      <c r="T5" s="42"/>
      <c r="U5" s="42"/>
      <c r="V5" s="42"/>
      <c r="W5" s="42"/>
      <c r="X5" s="43"/>
      <c r="Y5" s="43"/>
      <c r="Z5" s="44" t="s">
        <v>231</v>
      </c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</row>
    <row r="6" spans="1:60" x14ac:dyDescent="0.2">
      <c r="A6" s="6"/>
      <c r="B6" s="15"/>
      <c r="C6" s="15"/>
      <c r="D6" s="46"/>
      <c r="E6" s="46"/>
      <c r="F6" s="46"/>
      <c r="G6" s="46"/>
      <c r="H6" s="46"/>
      <c r="I6" s="15"/>
      <c r="J6" s="6"/>
      <c r="K6" s="6"/>
      <c r="L6" s="6"/>
      <c r="M6" s="6"/>
      <c r="N6" s="41"/>
      <c r="O6" s="42"/>
      <c r="P6" s="42"/>
      <c r="Q6" s="42"/>
      <c r="R6" s="42"/>
      <c r="S6" s="42"/>
      <c r="T6" s="42"/>
      <c r="U6" s="42"/>
      <c r="V6" s="42"/>
      <c r="W6" s="42"/>
      <c r="X6" s="43"/>
      <c r="Y6" s="43"/>
      <c r="Z6" s="43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</row>
    <row r="7" spans="1:60" x14ac:dyDescent="0.2">
      <c r="A7" s="6"/>
      <c r="B7" s="46" t="s">
        <v>130</v>
      </c>
      <c r="C7" s="15"/>
      <c r="D7" s="15"/>
      <c r="E7" s="15"/>
      <c r="F7" s="15"/>
      <c r="G7" s="15"/>
      <c r="H7" s="46"/>
      <c r="I7" s="15"/>
      <c r="J7" s="6"/>
      <c r="K7" s="6"/>
      <c r="L7" s="6"/>
      <c r="M7" s="6"/>
      <c r="N7" s="41"/>
      <c r="O7" s="42"/>
      <c r="P7" s="42"/>
      <c r="Q7" s="42"/>
      <c r="R7" s="42"/>
      <c r="S7" s="42"/>
      <c r="T7" s="42"/>
      <c r="U7" s="42"/>
      <c r="V7" s="42"/>
      <c r="W7" s="42"/>
      <c r="X7" s="43"/>
      <c r="Y7" s="43"/>
      <c r="Z7" s="44" t="s">
        <v>104</v>
      </c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</row>
    <row r="8" spans="1:60" x14ac:dyDescent="0.2">
      <c r="A8" s="6"/>
      <c r="B8" s="15"/>
      <c r="C8" s="46"/>
      <c r="D8" s="46"/>
      <c r="E8" s="46"/>
      <c r="F8" s="46"/>
      <c r="G8" s="46"/>
      <c r="H8" s="46"/>
      <c r="I8" s="15"/>
      <c r="J8" s="6"/>
      <c r="K8" s="6"/>
      <c r="L8" s="6"/>
      <c r="M8" s="6"/>
      <c r="N8" s="41"/>
      <c r="O8" s="42"/>
      <c r="P8" s="42"/>
      <c r="Q8" s="42"/>
      <c r="R8" s="42"/>
      <c r="S8" s="42"/>
      <c r="T8" s="42"/>
      <c r="U8" s="42"/>
      <c r="V8" s="42"/>
      <c r="W8" s="42"/>
      <c r="X8" s="43"/>
      <c r="Y8" s="43"/>
      <c r="Z8" s="44" t="s">
        <v>232</v>
      </c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</row>
    <row r="9" spans="1:60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41"/>
      <c r="O9" s="42"/>
      <c r="P9" s="42"/>
      <c r="Q9" s="42"/>
      <c r="R9" s="42"/>
      <c r="S9" s="42"/>
      <c r="T9" s="42"/>
      <c r="U9" s="42"/>
      <c r="V9" s="42"/>
      <c r="W9" s="42"/>
      <c r="X9" s="43"/>
      <c r="Y9" s="43"/>
      <c r="Z9" s="44" t="s">
        <v>104</v>
      </c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</row>
    <row r="10" spans="1:60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 t="s">
        <v>0</v>
      </c>
      <c r="L10" s="6"/>
      <c r="M10" s="6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</row>
    <row r="11" spans="1:6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3"/>
      <c r="Z11" s="47" t="s">
        <v>183</v>
      </c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</row>
    <row r="12" spans="1:60" x14ac:dyDescent="0.2">
      <c r="A12" s="15"/>
      <c r="B12" s="225" t="s">
        <v>333</v>
      </c>
      <c r="C12" s="225"/>
      <c r="D12" s="225"/>
      <c r="E12" s="225"/>
      <c r="F12" s="225"/>
      <c r="G12" s="225"/>
      <c r="H12" s="225"/>
      <c r="I12" s="225"/>
      <c r="J12" s="225"/>
      <c r="K12" s="225"/>
      <c r="L12" s="6"/>
      <c r="M12" s="6"/>
      <c r="N12" s="41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3"/>
      <c r="Z12" s="47" t="s">
        <v>233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</row>
    <row r="13" spans="1:60" x14ac:dyDescent="0.2">
      <c r="A13" s="6"/>
      <c r="B13" s="15"/>
      <c r="C13" s="15"/>
      <c r="D13" s="15"/>
      <c r="E13" s="15"/>
      <c r="F13" s="15"/>
      <c r="G13" s="15"/>
      <c r="H13" s="15"/>
      <c r="I13" s="15"/>
      <c r="J13" s="15"/>
      <c r="K13" s="6"/>
      <c r="L13" s="6"/>
      <c r="M13" s="6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3"/>
      <c r="Z13" s="47" t="s">
        <v>234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</row>
    <row r="14" spans="1:60" x14ac:dyDescent="0.2">
      <c r="A14" s="6"/>
      <c r="B14" s="6"/>
      <c r="C14" s="6"/>
      <c r="D14" s="6"/>
      <c r="E14" s="6"/>
      <c r="F14" s="48"/>
      <c r="G14" s="6"/>
      <c r="H14" s="6"/>
      <c r="I14" s="6"/>
      <c r="J14" s="6"/>
      <c r="K14" s="17" t="s">
        <v>0</v>
      </c>
      <c r="L14" s="6"/>
      <c r="M14" s="6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</row>
    <row r="15" spans="1:60" x14ac:dyDescent="0.2">
      <c r="A15" s="6"/>
      <c r="B15" s="6"/>
      <c r="C15" s="6"/>
      <c r="D15" s="6"/>
      <c r="E15" s="6"/>
      <c r="F15" s="44" t="s">
        <v>231</v>
      </c>
      <c r="G15" s="6"/>
      <c r="H15" s="6"/>
      <c r="I15" s="6"/>
      <c r="J15" s="27" t="s">
        <v>334</v>
      </c>
      <c r="K15" s="17" t="s">
        <v>0</v>
      </c>
      <c r="L15" s="6"/>
      <c r="M15" s="6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</row>
    <row r="16" spans="1:60" x14ac:dyDescent="0.2">
      <c r="A16" s="6"/>
      <c r="B16" s="49" t="s">
        <v>269</v>
      </c>
      <c r="C16" s="6"/>
      <c r="D16" s="6"/>
      <c r="E16" s="6"/>
      <c r="F16" s="50">
        <f>+ACRES</f>
        <v>50</v>
      </c>
      <c r="G16" s="6"/>
      <c r="H16" s="6"/>
      <c r="I16" s="6"/>
      <c r="J16" s="6"/>
      <c r="K16" s="6"/>
      <c r="L16" s="6"/>
      <c r="M16" s="6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</row>
    <row r="17" spans="1:60" x14ac:dyDescent="0.2">
      <c r="A17" s="6"/>
      <c r="B17" s="6" t="s">
        <v>270</v>
      </c>
      <c r="C17" s="6"/>
      <c r="D17" s="6"/>
      <c r="E17" s="6"/>
      <c r="F17" s="50">
        <v>1</v>
      </c>
      <c r="G17" s="51"/>
      <c r="H17" s="6"/>
      <c r="I17" s="6"/>
      <c r="J17" s="6"/>
      <c r="K17" s="6"/>
      <c r="L17" s="6"/>
      <c r="M17" s="6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</row>
    <row r="18" spans="1:60" x14ac:dyDescent="0.2">
      <c r="A18" s="6"/>
      <c r="B18" s="228" t="s">
        <v>271</v>
      </c>
      <c r="C18" s="228"/>
      <c r="D18" s="228"/>
      <c r="E18" s="228"/>
      <c r="F18" s="50">
        <v>150</v>
      </c>
      <c r="G18" s="51"/>
      <c r="H18" s="6"/>
      <c r="I18" s="6"/>
      <c r="J18" s="6"/>
      <c r="K18" s="6"/>
      <c r="L18" s="6"/>
      <c r="M18" s="6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</row>
    <row r="19" spans="1:60" x14ac:dyDescent="0.2">
      <c r="A19" s="6"/>
      <c r="B19" s="6"/>
      <c r="C19" s="6"/>
      <c r="D19" s="6"/>
      <c r="E19" s="6"/>
      <c r="F19" s="6"/>
      <c r="G19" s="51"/>
      <c r="H19" s="6"/>
      <c r="I19" s="6"/>
      <c r="J19" s="6"/>
      <c r="K19" s="6"/>
      <c r="L19" s="6"/>
      <c r="M19" s="6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</row>
    <row r="20" spans="1:60" x14ac:dyDescent="0.2">
      <c r="A20" s="6"/>
      <c r="B20" s="6"/>
      <c r="C20" s="6"/>
      <c r="D20" s="6"/>
      <c r="E20" s="6"/>
      <c r="F20" s="6"/>
      <c r="G20" s="6"/>
      <c r="H20" s="6"/>
      <c r="I20" s="6"/>
      <c r="J20" s="19"/>
      <c r="K20" s="17" t="s">
        <v>0</v>
      </c>
      <c r="L20" s="6"/>
      <c r="M20" s="6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</row>
    <row r="21" spans="1:6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17" t="s">
        <v>0</v>
      </c>
      <c r="L21" s="6"/>
      <c r="M21" s="5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</row>
    <row r="22" spans="1:60" x14ac:dyDescent="0.2">
      <c r="A22" s="6"/>
      <c r="B22" s="15"/>
      <c r="C22" s="15"/>
      <c r="D22" s="15"/>
      <c r="E22" s="15"/>
      <c r="F22" s="15"/>
      <c r="G22" s="15" t="s">
        <v>67</v>
      </c>
      <c r="H22" s="15" t="s">
        <v>197</v>
      </c>
      <c r="I22" s="15" t="s">
        <v>215</v>
      </c>
      <c r="J22" s="15" t="s">
        <v>197</v>
      </c>
      <c r="K22" s="53" t="s">
        <v>272</v>
      </c>
      <c r="L22" s="6"/>
      <c r="M22" s="41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</row>
    <row r="23" spans="1:60" x14ac:dyDescent="0.2">
      <c r="A23" s="6"/>
      <c r="B23" s="15" t="s">
        <v>273</v>
      </c>
      <c r="C23" s="15"/>
      <c r="D23" s="15"/>
      <c r="E23" s="15"/>
      <c r="F23" s="15" t="s">
        <v>215</v>
      </c>
      <c r="G23" s="15" t="s">
        <v>274</v>
      </c>
      <c r="H23" s="15" t="s">
        <v>180</v>
      </c>
      <c r="I23" s="15" t="s">
        <v>177</v>
      </c>
      <c r="J23" s="15" t="s">
        <v>79</v>
      </c>
      <c r="K23" s="53" t="s">
        <v>275</v>
      </c>
      <c r="L23" s="6"/>
      <c r="M23" s="41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</row>
    <row r="24" spans="1:60" x14ac:dyDescent="0.2">
      <c r="A24" s="6"/>
      <c r="B24" s="6" t="s">
        <v>218</v>
      </c>
      <c r="C24" s="6"/>
      <c r="D24" s="6"/>
      <c r="E24" s="6"/>
      <c r="F24" s="6"/>
      <c r="G24" s="6"/>
      <c r="H24" s="54" t="s">
        <v>16</v>
      </c>
      <c r="I24" s="54" t="s">
        <v>61</v>
      </c>
      <c r="J24" s="54"/>
      <c r="K24" s="6"/>
      <c r="L24" s="6"/>
      <c r="M24" s="41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</row>
    <row r="25" spans="1:60" x14ac:dyDescent="0.2">
      <c r="A25" s="6"/>
      <c r="B25" s="6" t="s">
        <v>276</v>
      </c>
      <c r="C25" s="6"/>
      <c r="D25" s="6"/>
      <c r="E25" s="6"/>
      <c r="F25" s="6"/>
      <c r="G25" s="6"/>
      <c r="H25" s="6"/>
      <c r="I25" s="19"/>
      <c r="J25" s="19"/>
      <c r="K25" s="6"/>
      <c r="L25" s="5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</row>
    <row r="26" spans="1:60" ht="13.5" thickBot="1" x14ac:dyDescent="0.25">
      <c r="A26" s="6"/>
      <c r="B26" s="228" t="s">
        <v>277</v>
      </c>
      <c r="C26" s="228"/>
      <c r="D26" s="228"/>
      <c r="E26" s="6"/>
      <c r="F26" s="6" t="s">
        <v>278</v>
      </c>
      <c r="G26" s="6">
        <v>0</v>
      </c>
      <c r="H26" s="6">
        <f>G26*ACRES</f>
        <v>0</v>
      </c>
      <c r="I26" s="19">
        <v>11.5</v>
      </c>
      <c r="J26" s="19">
        <f>H26*I26</f>
        <v>0</v>
      </c>
      <c r="K26" s="55"/>
      <c r="L26" s="41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</row>
    <row r="27" spans="1:60" ht="14.25" thickTop="1" thickBot="1" x14ac:dyDescent="0.25">
      <c r="A27" s="6"/>
      <c r="B27" s="228" t="s">
        <v>279</v>
      </c>
      <c r="C27" s="228"/>
      <c r="D27" s="228"/>
      <c r="E27" s="6"/>
      <c r="F27" s="6" t="s">
        <v>278</v>
      </c>
      <c r="G27" s="6">
        <v>1</v>
      </c>
      <c r="H27" s="6">
        <v>60</v>
      </c>
      <c r="I27" s="19">
        <v>11.5</v>
      </c>
      <c r="J27" s="19">
        <f>H27*I27</f>
        <v>690</v>
      </c>
      <c r="K27" s="56"/>
      <c r="L27" s="4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</row>
    <row r="28" spans="1:60" ht="14.25" thickTop="1" thickBot="1" x14ac:dyDescent="0.25">
      <c r="A28" s="6"/>
      <c r="B28" s="228" t="s">
        <v>331</v>
      </c>
      <c r="C28" s="228"/>
      <c r="D28" s="228"/>
      <c r="E28" s="6"/>
      <c r="F28" s="6" t="s">
        <v>278</v>
      </c>
      <c r="G28" s="6">
        <v>1</v>
      </c>
      <c r="H28" s="6">
        <v>60</v>
      </c>
      <c r="I28" s="19">
        <v>8</v>
      </c>
      <c r="J28" s="19">
        <f>H28*I28</f>
        <v>480</v>
      </c>
      <c r="K28" s="56"/>
      <c r="L28" s="41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</row>
    <row r="29" spans="1:60" ht="14.25" thickTop="1" thickBot="1" x14ac:dyDescent="0.25">
      <c r="A29" s="6"/>
      <c r="B29" s="6" t="s">
        <v>143</v>
      </c>
      <c r="C29" s="6"/>
      <c r="D29" s="6"/>
      <c r="E29" s="6"/>
      <c r="F29" s="6" t="s">
        <v>195</v>
      </c>
      <c r="G29" s="6">
        <v>0</v>
      </c>
      <c r="H29" s="6">
        <f>G29*F16</f>
        <v>0</v>
      </c>
      <c r="I29" s="19">
        <v>24</v>
      </c>
      <c r="J29" s="19">
        <f>H29*I29</f>
        <v>0</v>
      </c>
      <c r="K29" s="56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</row>
    <row r="30" spans="1:60" ht="14.25" thickTop="1" thickBot="1" x14ac:dyDescent="0.25">
      <c r="A30" s="6"/>
      <c r="B30" s="6" t="s">
        <v>281</v>
      </c>
      <c r="C30" s="6"/>
      <c r="D30" s="6"/>
      <c r="E30" s="6"/>
      <c r="F30" s="6"/>
      <c r="G30" s="6"/>
      <c r="H30" s="6" t="s">
        <v>0</v>
      </c>
      <c r="I30" s="19"/>
      <c r="J30" s="19"/>
      <c r="K30" s="56"/>
      <c r="L30" s="41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</row>
    <row r="31" spans="1:60" ht="14.25" thickTop="1" thickBot="1" x14ac:dyDescent="0.25">
      <c r="A31" s="6"/>
      <c r="B31" s="6" t="s">
        <v>282</v>
      </c>
      <c r="C31" s="6"/>
      <c r="D31" s="6"/>
      <c r="E31" s="6"/>
      <c r="F31" s="6" t="s">
        <v>280</v>
      </c>
      <c r="G31" s="6">
        <v>135</v>
      </c>
      <c r="H31" s="6">
        <f>G31*F16</f>
        <v>6750</v>
      </c>
      <c r="I31" s="19">
        <v>0.75</v>
      </c>
      <c r="J31" s="19">
        <f>H31*I31</f>
        <v>5062.5</v>
      </c>
      <c r="K31" s="56"/>
      <c r="L31" s="41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</row>
    <row r="32" spans="1:60" ht="14.25" thickTop="1" thickBot="1" x14ac:dyDescent="0.25">
      <c r="A32" s="6"/>
      <c r="B32" s="6" t="s">
        <v>283</v>
      </c>
      <c r="C32" s="6"/>
      <c r="D32" s="6"/>
      <c r="E32" s="6"/>
      <c r="F32" s="6" t="s">
        <v>280</v>
      </c>
      <c r="G32" s="6">
        <v>0</v>
      </c>
      <c r="H32" s="6">
        <f>G32*F16</f>
        <v>0</v>
      </c>
      <c r="I32" s="19">
        <v>0.2</v>
      </c>
      <c r="J32" s="19">
        <f>H32*I32</f>
        <v>0</v>
      </c>
      <c r="K32" s="56"/>
      <c r="L32" s="41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</row>
    <row r="33" spans="1:60" ht="14.25" thickTop="1" thickBot="1" x14ac:dyDescent="0.25">
      <c r="A33" s="6"/>
      <c r="B33" s="6" t="s">
        <v>284</v>
      </c>
      <c r="C33" s="6"/>
      <c r="D33" s="6"/>
      <c r="E33" s="6"/>
      <c r="F33" s="6" t="s">
        <v>280</v>
      </c>
      <c r="G33" s="6">
        <v>0</v>
      </c>
      <c r="H33" s="6">
        <f>G33*F16</f>
        <v>0</v>
      </c>
      <c r="I33" s="19">
        <v>0.17</v>
      </c>
      <c r="J33" s="19">
        <f>H33*I33</f>
        <v>0</v>
      </c>
      <c r="K33" s="56"/>
      <c r="L33" s="41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</row>
    <row r="34" spans="1:60" ht="14.25" thickTop="1" thickBot="1" x14ac:dyDescent="0.25">
      <c r="A34" s="6"/>
      <c r="B34" s="6" t="s">
        <v>285</v>
      </c>
      <c r="C34" s="6"/>
      <c r="D34" s="6"/>
      <c r="E34" s="6"/>
      <c r="F34" s="6"/>
      <c r="G34" s="6"/>
      <c r="H34" s="6" t="s">
        <v>0</v>
      </c>
      <c r="I34" s="19"/>
      <c r="J34" s="19"/>
      <c r="K34" s="56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</row>
    <row r="35" spans="1:60" ht="14.25" thickTop="1" thickBot="1" x14ac:dyDescent="0.25">
      <c r="A35" s="6"/>
      <c r="B35" s="6" t="s">
        <v>286</v>
      </c>
      <c r="C35" s="6"/>
      <c r="D35" s="6"/>
      <c r="E35" s="6"/>
      <c r="F35" s="6" t="s">
        <v>287</v>
      </c>
      <c r="G35" s="6">
        <v>0</v>
      </c>
      <c r="H35" s="6">
        <f>G35*F16</f>
        <v>0</v>
      </c>
      <c r="I35" s="19">
        <v>1</v>
      </c>
      <c r="J35" s="19">
        <f>H35*I35</f>
        <v>0</v>
      </c>
      <c r="K35" s="56"/>
      <c r="L35" s="41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</row>
    <row r="36" spans="1:60" ht="14.25" thickTop="1" thickBot="1" x14ac:dyDescent="0.25">
      <c r="A36" s="6"/>
      <c r="B36" s="6" t="s">
        <v>288</v>
      </c>
      <c r="C36" s="6"/>
      <c r="D36" s="6"/>
      <c r="E36" s="6"/>
      <c r="F36" s="6" t="s">
        <v>78</v>
      </c>
      <c r="G36" s="6">
        <v>0</v>
      </c>
      <c r="H36" s="6">
        <f>G36*F16</f>
        <v>0</v>
      </c>
      <c r="I36" s="19">
        <v>12.08</v>
      </c>
      <c r="J36" s="19">
        <f>H36*I36</f>
        <v>0</v>
      </c>
      <c r="K36" s="56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60" ht="14.25" thickTop="1" thickBot="1" x14ac:dyDescent="0.25">
      <c r="A37" s="6"/>
      <c r="B37" s="6" t="s">
        <v>140</v>
      </c>
      <c r="C37" s="6"/>
      <c r="D37" s="6"/>
      <c r="E37" s="6"/>
      <c r="F37" s="6" t="s">
        <v>78</v>
      </c>
      <c r="G37" s="6">
        <v>0</v>
      </c>
      <c r="H37" s="6">
        <f>G37*F16</f>
        <v>0</v>
      </c>
      <c r="I37" s="19">
        <v>0</v>
      </c>
      <c r="J37" s="19">
        <f>H37*I37</f>
        <v>0</v>
      </c>
      <c r="K37" s="56"/>
      <c r="L37" s="41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</row>
    <row r="38" spans="1:60" ht="14.25" thickTop="1" thickBot="1" x14ac:dyDescent="0.25">
      <c r="A38" s="6"/>
      <c r="B38" s="6" t="s">
        <v>138</v>
      </c>
      <c r="C38" s="6"/>
      <c r="D38" s="6"/>
      <c r="E38" s="6"/>
      <c r="F38" s="6" t="s">
        <v>128</v>
      </c>
      <c r="G38" s="6">
        <v>0</v>
      </c>
      <c r="H38" s="6">
        <f>G38*F16</f>
        <v>0</v>
      </c>
      <c r="I38" s="19">
        <v>9.02</v>
      </c>
      <c r="J38" s="19">
        <f>H38*I38</f>
        <v>0</v>
      </c>
      <c r="K38" s="56"/>
      <c r="L38" s="41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</row>
    <row r="39" spans="1:60" ht="14.25" thickTop="1" thickBot="1" x14ac:dyDescent="0.25">
      <c r="A39" s="6"/>
      <c r="B39" s="6" t="s">
        <v>289</v>
      </c>
      <c r="C39" s="6"/>
      <c r="D39" s="6"/>
      <c r="E39" s="6"/>
      <c r="F39" s="6" t="s">
        <v>257</v>
      </c>
      <c r="G39" s="6">
        <v>0</v>
      </c>
      <c r="H39" s="6">
        <f>G39*F16</f>
        <v>0</v>
      </c>
      <c r="I39" s="19">
        <v>14</v>
      </c>
      <c r="J39" s="19">
        <f>H39*I39</f>
        <v>0</v>
      </c>
      <c r="K39" s="56"/>
      <c r="L39" s="41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</row>
    <row r="40" spans="1:60" ht="14.25" thickTop="1" thickBot="1" x14ac:dyDescent="0.25">
      <c r="A40" s="6"/>
      <c r="B40" s="6" t="s">
        <v>134</v>
      </c>
      <c r="C40" s="6"/>
      <c r="D40" s="6"/>
      <c r="E40" s="6"/>
      <c r="F40" s="6" t="s">
        <v>70</v>
      </c>
      <c r="G40" s="6">
        <v>1</v>
      </c>
      <c r="H40" s="6">
        <f>SUM(J25:J39)*0.5</f>
        <v>3116.25</v>
      </c>
      <c r="I40" s="57">
        <v>0.08</v>
      </c>
      <c r="J40" s="58">
        <f>+(I40*H40)*days/365</f>
        <v>102.45205479452055</v>
      </c>
      <c r="K40" s="59"/>
      <c r="L40" s="41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</row>
    <row r="41" spans="1:60" ht="13.5" thickBot="1" x14ac:dyDescent="0.25">
      <c r="A41" s="6"/>
      <c r="B41" s="23" t="s">
        <v>212</v>
      </c>
      <c r="C41" s="23"/>
      <c r="D41" s="23"/>
      <c r="E41" s="23"/>
      <c r="F41" s="23"/>
      <c r="G41" s="23" t="s">
        <v>0</v>
      </c>
      <c r="H41" s="23"/>
      <c r="I41" s="23"/>
      <c r="J41" s="24">
        <f>SUM(J25:J40)</f>
        <v>6334.9520547945203</v>
      </c>
      <c r="K41" s="60"/>
      <c r="L41" s="41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</row>
    <row r="42" spans="1:60" ht="15" x14ac:dyDescent="0.2">
      <c r="A42" s="6"/>
      <c r="B42" s="61"/>
      <c r="C42" s="61"/>
      <c r="D42" s="61"/>
      <c r="E42" s="61"/>
      <c r="F42" s="61"/>
      <c r="G42" s="61"/>
      <c r="H42" s="61"/>
      <c r="I42" s="61"/>
      <c r="J42" s="61"/>
      <c r="K42" s="62"/>
      <c r="L42" s="63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</row>
    <row r="43" spans="1:60" ht="26.25" thickBot="1" x14ac:dyDescent="0.25">
      <c r="A43" s="64" t="s">
        <v>290</v>
      </c>
      <c r="B43" s="230" t="str">
        <f>IF($R$1=3,"FIXED COST:(No Fixed Cost for Variable Cost Budget","FIXED COST:(Click Appropriate Link for Calculation of Fixed Costs or Payments)")</f>
        <v>FIXED COST:(No Fixed Cost for Variable Cost Budget</v>
      </c>
      <c r="C43" s="230"/>
      <c r="D43" s="230"/>
      <c r="E43" s="230"/>
      <c r="F43" s="230"/>
      <c r="G43" s="230"/>
      <c r="H43" s="65" t="str">
        <f>IF($R$1&lt;&gt;3,ACRES,"")</f>
        <v/>
      </c>
      <c r="I43" s="66" t="str">
        <f>IF($R$1=1,TFC,IF($R$1=2,payment,""))</f>
        <v/>
      </c>
      <c r="J43" s="66" t="str">
        <f>IF($R$1&lt;&gt;3,I43*H43,"")</f>
        <v/>
      </c>
      <c r="K43" s="67"/>
      <c r="L43" s="67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</row>
    <row r="44" spans="1:60" ht="27" thickTop="1" thickBot="1" x14ac:dyDescent="0.25">
      <c r="A44" s="64" t="s">
        <v>291</v>
      </c>
      <c r="B44" s="68" t="str">
        <f>IF($R$1=1,"OVERHEAD"," ")</f>
        <v xml:space="preserve"> </v>
      </c>
      <c r="C44" s="69"/>
      <c r="D44" s="69"/>
      <c r="E44" s="69"/>
      <c r="F44" s="69" t="str">
        <f>IF($R$1=1,"ACRE"," ")</f>
        <v xml:space="preserve"> </v>
      </c>
      <c r="G44" s="69"/>
      <c r="H44" s="65" t="str">
        <f>IF($R$1=1,ACRES,"")</f>
        <v/>
      </c>
      <c r="I44" s="66" t="str">
        <f>IF($R$1=1,3,"")</f>
        <v/>
      </c>
      <c r="J44" s="66" t="str">
        <f>IF($R$1=1,I44*H44,"")</f>
        <v/>
      </c>
      <c r="K44" s="56"/>
      <c r="L44" s="67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</row>
    <row r="45" spans="1:60" ht="14.25" thickTop="1" thickBot="1" x14ac:dyDescent="0.25">
      <c r="A45" s="6"/>
      <c r="B45" s="68" t="str">
        <f>IF($R$1=1,"MANAGEMENT"," ")</f>
        <v xml:space="preserve"> </v>
      </c>
      <c r="C45" s="69"/>
      <c r="D45" s="69"/>
      <c r="E45" s="69"/>
      <c r="F45" s="69" t="str">
        <f>IF($R$1=1,"% EXPENSES"," ")</f>
        <v xml:space="preserve"> </v>
      </c>
      <c r="G45" s="69"/>
      <c r="H45" s="65" t="str">
        <f>IF($R$1=1,tVC,"")</f>
        <v/>
      </c>
      <c r="I45" s="70" t="str">
        <f>IF($R$1=1,0.05,"")</f>
        <v/>
      </c>
      <c r="J45" s="66" t="str">
        <f>IF($R$1=1,I45*H45,"")</f>
        <v/>
      </c>
      <c r="K45" s="56"/>
      <c r="L45" s="67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</row>
    <row r="46" spans="1:60" ht="14.25" thickTop="1" thickBot="1" x14ac:dyDescent="0.25">
      <c r="A46" s="6"/>
      <c r="B46" s="68" t="str">
        <f>IF($R$1=1,"LAND"," ")</f>
        <v xml:space="preserve"> </v>
      </c>
      <c r="C46" s="69"/>
      <c r="D46" s="69"/>
      <c r="E46" s="69"/>
      <c r="F46" s="69" t="str">
        <f>IF($R$1=1,"ACRE"," ")</f>
        <v xml:space="preserve"> </v>
      </c>
      <c r="G46" s="69"/>
      <c r="H46" s="65" t="str">
        <f>IF($R$1=1,ACRES,"")</f>
        <v/>
      </c>
      <c r="I46" s="66" t="str">
        <f>IF($R$1=1,0," ")</f>
        <v xml:space="preserve"> </v>
      </c>
      <c r="J46" s="66" t="str">
        <f>IF($R$1=1,I46*H46,"")</f>
        <v/>
      </c>
      <c r="K46" s="56"/>
      <c r="L46" s="67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</row>
    <row r="47" spans="1:60" ht="13.5" thickTop="1" x14ac:dyDescent="0.2">
      <c r="A47" s="6"/>
      <c r="B47" s="71" t="s">
        <v>292</v>
      </c>
      <c r="C47" s="71"/>
      <c r="D47" s="71"/>
      <c r="E47" s="71"/>
      <c r="F47" s="71" t="s">
        <v>0</v>
      </c>
      <c r="G47" s="71" t="s">
        <v>0</v>
      </c>
      <c r="H47" s="71" t="s">
        <v>0</v>
      </c>
      <c r="I47" s="72" t="s">
        <v>0</v>
      </c>
      <c r="J47" s="72">
        <f>+SUM(J43:J46)</f>
        <v>0</v>
      </c>
      <c r="K47" s="59"/>
      <c r="L47" s="67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</row>
    <row r="48" spans="1:6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73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</row>
    <row r="49" spans="1:60" ht="15" x14ac:dyDescent="0.2">
      <c r="A49" s="6"/>
      <c r="B49" s="229" t="s">
        <v>293</v>
      </c>
      <c r="C49" s="229"/>
      <c r="D49" s="229"/>
      <c r="E49" s="229"/>
      <c r="F49" s="74"/>
      <c r="G49" s="74"/>
      <c r="H49" s="74"/>
      <c r="I49" s="74"/>
      <c r="J49" s="109">
        <f>+J47+tvc_grazing</f>
        <v>6334.9520547945203</v>
      </c>
      <c r="K49" s="6"/>
      <c r="L49" s="41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</row>
    <row r="50" spans="1:6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41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</row>
    <row r="51" spans="1:6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41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</row>
    <row r="52" spans="1:6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41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</row>
    <row r="53" spans="1:60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41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</row>
    <row r="54" spans="1:60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75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</row>
    <row r="55" spans="1:60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41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</row>
    <row r="56" spans="1:60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41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</row>
    <row r="57" spans="1:60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41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</row>
    <row r="58" spans="1:60" x14ac:dyDescent="0.2">
      <c r="A58" s="6"/>
      <c r="B58" s="15" t="s">
        <v>294</v>
      </c>
      <c r="C58" s="15"/>
      <c r="D58" s="15"/>
      <c r="E58" s="15"/>
      <c r="F58" s="15"/>
      <c r="G58" s="15"/>
      <c r="H58" s="15"/>
      <c r="I58" s="15"/>
      <c r="J58" s="6"/>
      <c r="K58" s="6"/>
      <c r="L58" s="41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</row>
    <row r="59" spans="1:60" ht="6" customHeight="1" x14ac:dyDescent="0.2">
      <c r="A59" s="6"/>
      <c r="B59" s="15"/>
      <c r="C59" s="15"/>
      <c r="D59" s="15"/>
      <c r="E59" s="15"/>
      <c r="F59" s="15"/>
      <c r="G59" s="15"/>
      <c r="H59" s="15"/>
      <c r="I59" s="15"/>
      <c r="J59" s="6"/>
      <c r="K59" s="6"/>
      <c r="L59" s="41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</row>
    <row r="60" spans="1:60" ht="29.25" customHeight="1" x14ac:dyDescent="0.2">
      <c r="A60" s="6"/>
      <c r="C60" s="226" t="s">
        <v>295</v>
      </c>
      <c r="D60" s="227"/>
      <c r="E60" s="227"/>
      <c r="F60" s="227"/>
      <c r="G60" s="227"/>
      <c r="H60" s="227"/>
      <c r="I60" s="76"/>
      <c r="J60" s="6"/>
      <c r="K60" s="6"/>
      <c r="L60" s="41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</row>
    <row r="61" spans="1:60" ht="13.5" thickBot="1" x14ac:dyDescent="0.25">
      <c r="A61" s="6"/>
      <c r="C61" s="77"/>
      <c r="D61" s="78">
        <v>-0.25</v>
      </c>
      <c r="E61" s="78">
        <v>-0.1</v>
      </c>
      <c r="F61" s="79" t="s">
        <v>110</v>
      </c>
      <c r="G61" s="80" t="s">
        <v>296</v>
      </c>
      <c r="H61" s="81" t="s">
        <v>297</v>
      </c>
      <c r="I61" s="82"/>
      <c r="J61" s="6"/>
      <c r="K61" s="6" t="s">
        <v>0</v>
      </c>
      <c r="L61" s="41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</row>
    <row r="62" spans="1:60" ht="26.25" thickBot="1" x14ac:dyDescent="0.25">
      <c r="A62" s="6"/>
      <c r="C62" s="83" t="s">
        <v>298</v>
      </c>
      <c r="D62" s="84">
        <f>+F62*0.75</f>
        <v>4751.21404109589</v>
      </c>
      <c r="E62" s="84">
        <f>+F62*0.9</f>
        <v>5701.4568493150682</v>
      </c>
      <c r="F62" s="84">
        <f>+tvc_grazing</f>
        <v>6334.9520547945203</v>
      </c>
      <c r="G62" s="84">
        <f>+F62*1.1</f>
        <v>6968.4472602739734</v>
      </c>
      <c r="H62" s="85">
        <f>+F62*1.25</f>
        <v>7918.6900684931506</v>
      </c>
      <c r="I62" s="86"/>
      <c r="J62" s="6"/>
      <c r="K62" s="6"/>
      <c r="L62" s="41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</row>
    <row r="63" spans="1:60" x14ac:dyDescent="0.2">
      <c r="A63" s="6"/>
      <c r="C63" s="87">
        <v>30</v>
      </c>
      <c r="D63" s="88">
        <f t="shared" ref="D63:H68" si="0">+D$62/$C63</f>
        <v>158.373801369863</v>
      </c>
      <c r="E63" s="88">
        <f t="shared" si="0"/>
        <v>190.0485616438356</v>
      </c>
      <c r="F63" s="88">
        <f t="shared" si="0"/>
        <v>211.16506849315067</v>
      </c>
      <c r="G63" s="88">
        <f t="shared" si="0"/>
        <v>232.28157534246577</v>
      </c>
      <c r="H63" s="88">
        <f t="shared" si="0"/>
        <v>263.95633561643837</v>
      </c>
      <c r="I63" s="86"/>
      <c r="J63" s="6"/>
      <c r="K63" s="6"/>
      <c r="L63" s="41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</row>
    <row r="64" spans="1:60" x14ac:dyDescent="0.2">
      <c r="A64" s="6"/>
      <c r="C64" s="87">
        <v>60</v>
      </c>
      <c r="D64" s="88">
        <f t="shared" si="0"/>
        <v>79.186900684931501</v>
      </c>
      <c r="E64" s="89">
        <f t="shared" si="0"/>
        <v>95.024280821917799</v>
      </c>
      <c r="F64" s="89">
        <f t="shared" si="0"/>
        <v>105.58253424657534</v>
      </c>
      <c r="G64" s="89">
        <f t="shared" si="0"/>
        <v>116.14078767123289</v>
      </c>
      <c r="H64" s="88">
        <f t="shared" si="0"/>
        <v>131.97816780821918</v>
      </c>
      <c r="I64" s="86"/>
      <c r="J64" s="6"/>
      <c r="K64" s="6"/>
      <c r="L64" s="41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</row>
    <row r="65" spans="1:60" x14ac:dyDescent="0.2">
      <c r="A65" s="6"/>
      <c r="C65" s="87">
        <v>90</v>
      </c>
      <c r="D65" s="88">
        <f t="shared" si="0"/>
        <v>52.791267123287668</v>
      </c>
      <c r="E65" s="89">
        <f t="shared" si="0"/>
        <v>63.349520547945204</v>
      </c>
      <c r="F65" s="89">
        <f t="shared" si="0"/>
        <v>70.388356164383566</v>
      </c>
      <c r="G65" s="89">
        <f t="shared" si="0"/>
        <v>77.427191780821929</v>
      </c>
      <c r="H65" s="88">
        <f t="shared" si="0"/>
        <v>87.985445205479451</v>
      </c>
      <c r="I65" s="86"/>
      <c r="J65" s="6"/>
      <c r="K65" s="6"/>
      <c r="L65" s="41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</row>
    <row r="66" spans="1:60" x14ac:dyDescent="0.2">
      <c r="A66" s="6"/>
      <c r="C66" s="87">
        <v>120</v>
      </c>
      <c r="D66" s="88">
        <f t="shared" si="0"/>
        <v>39.593450342465751</v>
      </c>
      <c r="E66" s="89">
        <f t="shared" si="0"/>
        <v>47.512140410958899</v>
      </c>
      <c r="F66" s="89">
        <f t="shared" si="0"/>
        <v>52.791267123287668</v>
      </c>
      <c r="G66" s="89">
        <f t="shared" si="0"/>
        <v>58.070393835616443</v>
      </c>
      <c r="H66" s="88">
        <f t="shared" si="0"/>
        <v>65.989083904109592</v>
      </c>
      <c r="I66" s="90"/>
      <c r="J66" s="6"/>
      <c r="K66" s="6"/>
      <c r="L66" s="41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</row>
    <row r="67" spans="1:60" x14ac:dyDescent="0.2">
      <c r="A67" s="6"/>
      <c r="C67" s="87">
        <v>150</v>
      </c>
      <c r="D67" s="88">
        <f t="shared" si="0"/>
        <v>31.674760273972598</v>
      </c>
      <c r="E67" s="88">
        <f t="shared" si="0"/>
        <v>38.009712328767122</v>
      </c>
      <c r="F67" s="88">
        <f t="shared" si="0"/>
        <v>42.233013698630138</v>
      </c>
      <c r="G67" s="88">
        <f t="shared" si="0"/>
        <v>46.456315068493154</v>
      </c>
      <c r="H67" s="88">
        <f t="shared" si="0"/>
        <v>52.791267123287668</v>
      </c>
      <c r="I67" s="23"/>
      <c r="J67" s="6"/>
      <c r="K67" s="6"/>
      <c r="L67" s="41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</row>
    <row r="68" spans="1:60" ht="13.5" thickBot="1" x14ac:dyDescent="0.25">
      <c r="A68" s="6"/>
      <c r="C68" s="91">
        <v>180</v>
      </c>
      <c r="D68" s="88">
        <f t="shared" si="0"/>
        <v>26.395633561643834</v>
      </c>
      <c r="E68" s="88">
        <f t="shared" si="0"/>
        <v>31.674760273972602</v>
      </c>
      <c r="F68" s="88">
        <f t="shared" si="0"/>
        <v>35.194178082191783</v>
      </c>
      <c r="G68" s="88">
        <f t="shared" si="0"/>
        <v>38.713595890410964</v>
      </c>
      <c r="H68" s="88">
        <f t="shared" si="0"/>
        <v>43.992722602739725</v>
      </c>
      <c r="I68" s="6"/>
      <c r="J68" s="6"/>
      <c r="K68" s="6" t="s">
        <v>0</v>
      </c>
      <c r="L68" s="41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</row>
    <row r="69" spans="1:60" x14ac:dyDescent="0.2">
      <c r="A69" s="6"/>
      <c r="C69" s="92"/>
      <c r="D69" s="88"/>
      <c r="E69" s="88"/>
      <c r="F69" s="88"/>
      <c r="G69" s="88"/>
      <c r="H69" s="88"/>
      <c r="I69" s="6"/>
      <c r="J69" s="6"/>
      <c r="K69" s="6"/>
      <c r="L69" s="41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</row>
    <row r="70" spans="1:60" x14ac:dyDescent="0.2">
      <c r="A70" s="6"/>
      <c r="B70" s="6"/>
      <c r="C70" s="92"/>
      <c r="D70" s="88"/>
      <c r="E70" s="88"/>
      <c r="F70" s="88"/>
      <c r="G70" s="88"/>
      <c r="H70" s="88"/>
      <c r="I70" s="6"/>
      <c r="J70" s="6"/>
      <c r="K70" s="6"/>
      <c r="L70" s="41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</row>
    <row r="71" spans="1:60" ht="29.25" customHeight="1" x14ac:dyDescent="0.2">
      <c r="A71" s="6"/>
      <c r="C71" s="226" t="s">
        <v>299</v>
      </c>
      <c r="D71" s="227"/>
      <c r="E71" s="227"/>
      <c r="F71" s="227"/>
      <c r="G71" s="227"/>
      <c r="H71" s="227"/>
      <c r="I71" s="76"/>
      <c r="J71" s="6"/>
      <c r="K71" s="6"/>
      <c r="L71" s="41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</row>
    <row r="72" spans="1:60" ht="13.5" thickBot="1" x14ac:dyDescent="0.25">
      <c r="A72" s="6"/>
      <c r="C72" s="77"/>
      <c r="D72" s="78">
        <v>-0.25</v>
      </c>
      <c r="E72" s="78">
        <v>-0.1</v>
      </c>
      <c r="F72" s="79" t="s">
        <v>110</v>
      </c>
      <c r="G72" s="80" t="s">
        <v>296</v>
      </c>
      <c r="H72" s="81" t="s">
        <v>297</v>
      </c>
      <c r="I72" s="6"/>
      <c r="J72" s="6"/>
      <c r="K72" s="6"/>
      <c r="L72" s="41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</row>
    <row r="73" spans="1:60" ht="42" customHeight="1" thickBot="1" x14ac:dyDescent="0.25">
      <c r="A73" s="6"/>
      <c r="C73" s="83" t="s">
        <v>300</v>
      </c>
      <c r="D73" s="84">
        <f>+D62</f>
        <v>4751.21404109589</v>
      </c>
      <c r="E73" s="84">
        <f>+E62</f>
        <v>5701.4568493150682</v>
      </c>
      <c r="F73" s="84">
        <f>+F62</f>
        <v>6334.9520547945203</v>
      </c>
      <c r="G73" s="84">
        <f>+G62</f>
        <v>6968.4472602739734</v>
      </c>
      <c r="H73" s="85">
        <f>+H62</f>
        <v>7918.6900684931506</v>
      </c>
      <c r="I73" s="6"/>
      <c r="J73" s="6"/>
      <c r="K73" s="6"/>
      <c r="L73" s="41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</row>
    <row r="74" spans="1:60" x14ac:dyDescent="0.2">
      <c r="A74" s="6"/>
      <c r="C74" s="93">
        <v>0.25</v>
      </c>
      <c r="D74" s="94">
        <f t="shared" ref="D74:H78" si="1">+D$73/$C74</f>
        <v>19004.85616438356</v>
      </c>
      <c r="E74" s="94">
        <f t="shared" si="1"/>
        <v>22805.827397260273</v>
      </c>
      <c r="F74" s="94">
        <f t="shared" si="1"/>
        <v>25339.808219178081</v>
      </c>
      <c r="G74" s="94">
        <f t="shared" si="1"/>
        <v>27873.789041095893</v>
      </c>
      <c r="H74" s="94">
        <f t="shared" si="1"/>
        <v>31674.760273972603</v>
      </c>
      <c r="I74" s="15"/>
      <c r="J74" s="6"/>
      <c r="K74" s="6"/>
      <c r="L74" s="41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</row>
    <row r="75" spans="1:60" x14ac:dyDescent="0.2">
      <c r="A75" s="6"/>
      <c r="C75" s="93">
        <f>+C74+0.25</f>
        <v>0.5</v>
      </c>
      <c r="D75" s="94">
        <f t="shared" si="1"/>
        <v>9502.42808219178</v>
      </c>
      <c r="E75" s="95">
        <f t="shared" si="1"/>
        <v>11402.913698630136</v>
      </c>
      <c r="F75" s="95">
        <f t="shared" si="1"/>
        <v>12669.904109589041</v>
      </c>
      <c r="G75" s="95">
        <f t="shared" si="1"/>
        <v>13936.894520547947</v>
      </c>
      <c r="H75" s="94">
        <f t="shared" si="1"/>
        <v>15837.380136986301</v>
      </c>
      <c r="I75" s="6"/>
      <c r="J75" s="6"/>
      <c r="K75" s="6"/>
      <c r="L75" s="41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</row>
    <row r="76" spans="1:60" x14ac:dyDescent="0.2">
      <c r="A76" s="6"/>
      <c r="C76" s="93">
        <f>+C75+0.25</f>
        <v>0.75</v>
      </c>
      <c r="D76" s="94">
        <f t="shared" si="1"/>
        <v>6334.9520547945203</v>
      </c>
      <c r="E76" s="95">
        <f t="shared" si="1"/>
        <v>7601.9424657534246</v>
      </c>
      <c r="F76" s="95">
        <f t="shared" si="1"/>
        <v>8446.6027397260277</v>
      </c>
      <c r="G76" s="95">
        <f t="shared" si="1"/>
        <v>9291.2630136986318</v>
      </c>
      <c r="H76" s="94">
        <f t="shared" si="1"/>
        <v>10558.253424657534</v>
      </c>
      <c r="I76" s="86"/>
      <c r="J76" s="6"/>
      <c r="K76" s="6"/>
      <c r="L76" s="41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</row>
    <row r="77" spans="1:60" x14ac:dyDescent="0.2">
      <c r="A77" s="6"/>
      <c r="C77" s="93">
        <f>+C76+0.25</f>
        <v>1</v>
      </c>
      <c r="D77" s="94">
        <f t="shared" si="1"/>
        <v>4751.21404109589</v>
      </c>
      <c r="E77" s="95">
        <f t="shared" si="1"/>
        <v>5701.4568493150682</v>
      </c>
      <c r="F77" s="95">
        <f t="shared" si="1"/>
        <v>6334.9520547945203</v>
      </c>
      <c r="G77" s="95">
        <f t="shared" si="1"/>
        <v>6968.4472602739734</v>
      </c>
      <c r="H77" s="94">
        <f t="shared" si="1"/>
        <v>7918.6900684931506</v>
      </c>
      <c r="I77" s="6"/>
      <c r="J77" s="6"/>
      <c r="K77" s="6"/>
      <c r="L77" s="41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</row>
    <row r="78" spans="1:60" ht="13.5" thickBot="1" x14ac:dyDescent="0.25">
      <c r="A78" s="6"/>
      <c r="C78" s="96">
        <f>+C77+0.25</f>
        <v>1.25</v>
      </c>
      <c r="D78" s="94">
        <f t="shared" si="1"/>
        <v>3800.9712328767118</v>
      </c>
      <c r="E78" s="94">
        <f t="shared" si="1"/>
        <v>4561.1654794520546</v>
      </c>
      <c r="F78" s="94">
        <f t="shared" si="1"/>
        <v>5067.9616438356161</v>
      </c>
      <c r="G78" s="94">
        <f t="shared" si="1"/>
        <v>5574.7578082191785</v>
      </c>
      <c r="H78" s="94">
        <f t="shared" si="1"/>
        <v>6334.9520547945203</v>
      </c>
      <c r="I78" s="97"/>
      <c r="J78" s="97"/>
      <c r="K78" s="6" t="s">
        <v>0</v>
      </c>
      <c r="L78" s="98"/>
      <c r="M78" s="99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</row>
    <row r="79" spans="1:60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</row>
    <row r="80" spans="1:60" x14ac:dyDescent="0.2">
      <c r="A80" s="6"/>
      <c r="B80" s="100"/>
      <c r="C80" s="100"/>
      <c r="D80" s="101"/>
      <c r="E80" s="100"/>
      <c r="F80" s="100"/>
      <c r="G80" s="100"/>
      <c r="H80" s="100"/>
      <c r="I80" s="100"/>
      <c r="J80" s="100"/>
      <c r="K80" s="6" t="s">
        <v>2</v>
      </c>
      <c r="L80" s="6"/>
      <c r="M80" s="6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</row>
    <row r="81" spans="1:60" x14ac:dyDescent="0.2">
      <c r="A81" s="6"/>
      <c r="B81" s="6"/>
      <c r="C81" s="6"/>
      <c r="D81" s="101"/>
      <c r="E81" s="6"/>
      <c r="F81" s="6"/>
      <c r="G81" s="6"/>
      <c r="H81" s="6"/>
      <c r="I81" s="6"/>
      <c r="J81" s="97"/>
      <c r="K81" s="6"/>
      <c r="L81" s="6"/>
      <c r="M81" s="6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</row>
    <row r="82" spans="1:60" x14ac:dyDescent="0.2">
      <c r="A82" s="6"/>
      <c r="B82" s="102"/>
      <c r="C82" s="102"/>
      <c r="D82" s="102"/>
      <c r="E82" s="102"/>
      <c r="F82" s="102"/>
      <c r="G82" s="102"/>
      <c r="H82" s="102"/>
      <c r="I82" s="102"/>
      <c r="J82" s="102"/>
      <c r="K82" s="6"/>
      <c r="L82" s="6"/>
      <c r="M82" s="6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</row>
    <row r="83" spans="1:60" x14ac:dyDescent="0.2">
      <c r="A83" s="6"/>
      <c r="B83" s="102"/>
      <c r="C83" s="102"/>
      <c r="D83" s="102"/>
      <c r="E83" s="102"/>
      <c r="F83" s="102"/>
      <c r="G83" s="102"/>
      <c r="H83" s="102"/>
      <c r="I83" s="102"/>
      <c r="J83" s="102"/>
      <c r="K83" s="6"/>
      <c r="L83" s="6"/>
      <c r="M83" s="6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</row>
    <row r="84" spans="1:60" x14ac:dyDescent="0.2">
      <c r="A84" s="6"/>
      <c r="B84" s="102"/>
      <c r="C84" s="102"/>
      <c r="D84" s="102"/>
      <c r="E84" s="102"/>
      <c r="F84" s="102"/>
      <c r="G84" s="102"/>
      <c r="H84" s="102"/>
      <c r="I84" s="102"/>
      <c r="J84" s="102"/>
      <c r="K84" s="6" t="s">
        <v>0</v>
      </c>
      <c r="L84" s="6"/>
      <c r="M84" s="6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</row>
    <row r="85" spans="1:60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</row>
    <row r="86" spans="1:60" x14ac:dyDescent="0.2">
      <c r="A86" s="6"/>
      <c r="B86" s="6"/>
      <c r="C86" s="6"/>
      <c r="D86" s="6"/>
      <c r="E86" s="103"/>
      <c r="F86" s="6"/>
      <c r="G86" s="103"/>
      <c r="H86" s="6"/>
      <c r="I86" s="103"/>
      <c r="J86" s="6"/>
      <c r="K86" s="6"/>
      <c r="L86" s="6"/>
      <c r="M86" s="6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</row>
    <row r="87" spans="1:60" x14ac:dyDescent="0.2">
      <c r="A87" s="6"/>
      <c r="B87" s="6"/>
      <c r="C87" s="6"/>
      <c r="D87" s="22"/>
      <c r="E87" s="22"/>
      <c r="F87" s="22"/>
      <c r="G87" s="22"/>
      <c r="H87" s="22"/>
      <c r="I87" s="22"/>
      <c r="J87" s="22"/>
      <c r="K87" s="6"/>
      <c r="L87" s="6"/>
      <c r="M87" s="6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</row>
    <row r="88" spans="1:60" x14ac:dyDescent="0.2">
      <c r="A88" s="6"/>
      <c r="B88" s="6"/>
      <c r="C88" s="6"/>
      <c r="D88" s="17"/>
      <c r="E88" s="17"/>
      <c r="F88" s="17"/>
      <c r="G88" s="17"/>
      <c r="H88" s="17"/>
      <c r="I88" s="17"/>
      <c r="J88" s="17"/>
      <c r="K88" s="6"/>
      <c r="L88" s="6"/>
      <c r="M88" s="6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</row>
    <row r="89" spans="1:60" x14ac:dyDescent="0.2">
      <c r="A89" s="6"/>
      <c r="B89" s="6"/>
      <c r="C89" s="6"/>
      <c r="D89" s="17"/>
      <c r="E89" s="17"/>
      <c r="F89" s="17"/>
      <c r="G89" s="17"/>
      <c r="H89" s="17"/>
      <c r="I89" s="17"/>
      <c r="J89" s="17"/>
      <c r="K89" s="6"/>
      <c r="L89" s="6"/>
      <c r="M89" s="6"/>
      <c r="N89" s="41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</row>
    <row r="90" spans="1:60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 t="s">
        <v>2</v>
      </c>
      <c r="L90" s="6"/>
      <c r="M90" s="6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</row>
    <row r="91" spans="1:60" x14ac:dyDescent="0.2">
      <c r="A91" s="6"/>
      <c r="B91" s="23"/>
      <c r="C91" s="6"/>
      <c r="D91" s="6"/>
      <c r="E91" s="101"/>
      <c r="F91" s="23"/>
      <c r="G91" s="6"/>
      <c r="H91" s="6"/>
      <c r="I91" s="6"/>
      <c r="J91" s="104"/>
      <c r="K91" s="6"/>
      <c r="L91" s="6"/>
      <c r="M91" s="6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  <row r="92" spans="1:6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41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</row>
    <row r="93" spans="1:6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 t="s">
        <v>2</v>
      </c>
      <c r="L93" s="6"/>
      <c r="M93" s="6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</row>
    <row r="94" spans="1:60" x14ac:dyDescent="0.2">
      <c r="A94" s="6"/>
      <c r="B94" s="10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</row>
    <row r="95" spans="1:60" x14ac:dyDescent="0.2">
      <c r="A95" s="6"/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</row>
    <row r="96" spans="1:60" x14ac:dyDescent="0.2">
      <c r="A96" s="6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 t="s">
        <v>76</v>
      </c>
      <c r="P96" s="42" t="s">
        <v>11</v>
      </c>
      <c r="Q96" s="42"/>
      <c r="R96" s="42"/>
      <c r="S96" s="42"/>
      <c r="T96" s="42" t="s">
        <v>76</v>
      </c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</row>
    <row r="97" spans="1:60" x14ac:dyDescent="0.2">
      <c r="A97" s="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 t="s">
        <v>76</v>
      </c>
      <c r="P97" s="42" t="s">
        <v>1</v>
      </c>
      <c r="Q97" s="42"/>
      <c r="R97" s="42"/>
      <c r="S97" s="42"/>
      <c r="T97" s="42" t="s">
        <v>76</v>
      </c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</row>
    <row r="98" spans="1:60" x14ac:dyDescent="0.2">
      <c r="A98" s="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</row>
    <row r="99" spans="1:60" x14ac:dyDescent="0.2">
      <c r="A99" s="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</row>
    <row r="100" spans="1:60" x14ac:dyDescent="0.2">
      <c r="A100" s="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 t="s">
        <v>76</v>
      </c>
      <c r="P100" s="42">
        <f>+F16</f>
        <v>50</v>
      </c>
      <c r="Q100" s="42" t="s">
        <v>78</v>
      </c>
      <c r="R100" s="42"/>
      <c r="S100" s="42"/>
      <c r="T100" s="42" t="s">
        <v>76</v>
      </c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</row>
    <row r="101" spans="1:60" x14ac:dyDescent="0.2">
      <c r="A101" s="6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 t="s">
        <v>76</v>
      </c>
      <c r="P101" s="42" t="e">
        <f>+#REF!</f>
        <v>#REF!</v>
      </c>
      <c r="Q101" s="42" t="s">
        <v>18</v>
      </c>
      <c r="R101" s="42" t="e">
        <f>+#REF!</f>
        <v>#REF!</v>
      </c>
      <c r="S101" s="42" t="s">
        <v>17</v>
      </c>
      <c r="T101" s="42" t="s">
        <v>76</v>
      </c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</row>
    <row r="102" spans="1:60" x14ac:dyDescent="0.2">
      <c r="A102" s="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 t="s">
        <v>76</v>
      </c>
      <c r="P102" s="42" t="e">
        <f>+#REF!</f>
        <v>#REF!</v>
      </c>
      <c r="Q102" s="42" t="s">
        <v>35</v>
      </c>
      <c r="R102" s="42" t="e">
        <f>+#REF!</f>
        <v>#REF!</v>
      </c>
      <c r="S102" s="42" t="s">
        <v>34</v>
      </c>
      <c r="T102" s="42" t="s">
        <v>76</v>
      </c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</row>
    <row r="103" spans="1:60" x14ac:dyDescent="0.2">
      <c r="A103" s="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 t="s">
        <v>76</v>
      </c>
      <c r="P103" s="42" t="e">
        <f>+#REF!</f>
        <v>#REF!</v>
      </c>
      <c r="Q103" s="42" t="s">
        <v>28</v>
      </c>
      <c r="R103" s="42" t="e">
        <f>#REF!</f>
        <v>#REF!</v>
      </c>
      <c r="S103" s="42" t="s">
        <v>27</v>
      </c>
      <c r="T103" s="42" t="s">
        <v>76</v>
      </c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</row>
    <row r="104" spans="1:60" x14ac:dyDescent="0.2">
      <c r="A104" s="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 t="s">
        <v>76</v>
      </c>
      <c r="P104" s="42" t="e">
        <f>+#REF!</f>
        <v>#REF!</v>
      </c>
      <c r="Q104" s="42" t="s">
        <v>37</v>
      </c>
      <c r="R104" s="42" t="e">
        <f>#REF!</f>
        <v>#REF!</v>
      </c>
      <c r="S104" s="42" t="s">
        <v>36</v>
      </c>
      <c r="T104" s="42" t="s">
        <v>76</v>
      </c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</row>
    <row r="105" spans="1:60" x14ac:dyDescent="0.2">
      <c r="A105" s="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</row>
    <row r="106" spans="1:60" x14ac:dyDescent="0.2">
      <c r="A106" s="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 t="s">
        <v>76</v>
      </c>
      <c r="P106" s="42" t="e">
        <f>+#REF!</f>
        <v>#REF!</v>
      </c>
      <c r="Q106" s="42" t="s">
        <v>59</v>
      </c>
      <c r="R106" s="42">
        <f>J20</f>
        <v>0</v>
      </c>
      <c r="S106" s="42" t="s">
        <v>58</v>
      </c>
      <c r="T106" s="42" t="s">
        <v>76</v>
      </c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</row>
    <row r="107" spans="1:60" x14ac:dyDescent="0.2">
      <c r="A107" s="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 t="s">
        <v>76</v>
      </c>
      <c r="P107" s="42">
        <v>0</v>
      </c>
      <c r="Q107" s="42" t="s">
        <v>25</v>
      </c>
      <c r="R107" s="42"/>
      <c r="S107" s="42"/>
      <c r="T107" s="42" t="s">
        <v>76</v>
      </c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</row>
    <row r="108" spans="1:60" x14ac:dyDescent="0.2">
      <c r="A108" s="107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 t="s">
        <v>76</v>
      </c>
      <c r="P108" s="42">
        <f>+G67</f>
        <v>46.456315068493154</v>
      </c>
      <c r="Q108" s="42" t="s">
        <v>49</v>
      </c>
      <c r="R108" s="42"/>
      <c r="S108" s="42"/>
      <c r="T108" s="42" t="s">
        <v>76</v>
      </c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</row>
    <row r="109" spans="1:60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 t="s">
        <v>76</v>
      </c>
      <c r="P109" s="42" t="s">
        <v>76</v>
      </c>
      <c r="Q109" s="42"/>
      <c r="R109" s="42"/>
      <c r="S109" s="42"/>
      <c r="T109" s="42" t="s">
        <v>76</v>
      </c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</row>
    <row r="110" spans="1:60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 t="s">
        <v>77</v>
      </c>
      <c r="P110" s="42" t="s">
        <v>1</v>
      </c>
      <c r="Q110" s="42"/>
      <c r="R110" s="42"/>
      <c r="S110" s="42"/>
      <c r="T110" s="42" t="s">
        <v>77</v>
      </c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</row>
    <row r="111" spans="1:60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</row>
    <row r="112" spans="1:60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 t="s">
        <v>77</v>
      </c>
      <c r="P112" s="42"/>
      <c r="Q112" s="42" t="s">
        <v>87</v>
      </c>
      <c r="R112" s="42"/>
      <c r="S112" s="42"/>
      <c r="T112" s="42" t="s">
        <v>77</v>
      </c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</row>
    <row r="113" spans="1:60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</row>
    <row r="114" spans="1:60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 t="s">
        <v>77</v>
      </c>
      <c r="P114" s="42" t="s">
        <v>1</v>
      </c>
      <c r="Q114" s="42"/>
      <c r="R114" s="42"/>
      <c r="S114" s="42"/>
      <c r="T114" s="42" t="s">
        <v>77</v>
      </c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</row>
    <row r="115" spans="1:60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 t="s">
        <v>77</v>
      </c>
      <c r="P115" s="42" t="e">
        <f>0.04*P101+0.25*P102+0.42*P103+0.25*P104+0.04*P106</f>
        <v>#REF!</v>
      </c>
      <c r="Q115" s="42" t="s">
        <v>23</v>
      </c>
      <c r="R115" s="42" t="e">
        <f>0.04*R101+0.25*R102+0.42*R103+0.25*R104+0.04*R106</f>
        <v>#REF!</v>
      </c>
      <c r="S115" s="42" t="s">
        <v>22</v>
      </c>
      <c r="T115" s="42" t="s">
        <v>77</v>
      </c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</row>
    <row r="116" spans="1:60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</row>
    <row r="117" spans="1:60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 t="s">
        <v>77</v>
      </c>
      <c r="P117" s="42" t="e">
        <f>0.25*(P101-P115)+0.5*(P102-P115)</f>
        <v>#REF!</v>
      </c>
      <c r="Q117" s="42" t="s">
        <v>47</v>
      </c>
      <c r="R117" s="42" t="e">
        <f>0.25*(R101-R115)+0.5*(R102-R115)</f>
        <v>#REF!</v>
      </c>
      <c r="S117" s="42" t="s">
        <v>39</v>
      </c>
      <c r="T117" s="42" t="s">
        <v>77</v>
      </c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</row>
    <row r="118" spans="1:60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 t="s">
        <v>77</v>
      </c>
      <c r="P118" s="42" t="e">
        <f>0.25*(P115-P106)+0.5*(P115-P104)</f>
        <v>#REF!</v>
      </c>
      <c r="Q118" s="42" t="s">
        <v>48</v>
      </c>
      <c r="R118" s="42" t="e">
        <f>0.25*(R115-R106)+0.5*(R115-R104)</f>
        <v>#REF!</v>
      </c>
      <c r="S118" s="42" t="s">
        <v>40</v>
      </c>
      <c r="T118" s="42" t="s">
        <v>77</v>
      </c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</row>
    <row r="119" spans="1:60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 t="s">
        <v>77</v>
      </c>
      <c r="P119" s="42" t="e">
        <f>P117^2</f>
        <v>#REF!</v>
      </c>
      <c r="Q119" s="42" t="s">
        <v>56</v>
      </c>
      <c r="R119" s="42" t="e">
        <f>R117^2</f>
        <v>#REF!</v>
      </c>
      <c r="S119" s="42" t="s">
        <v>50</v>
      </c>
      <c r="T119" s="42" t="s">
        <v>77</v>
      </c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</row>
    <row r="120" spans="1:60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 t="s">
        <v>77</v>
      </c>
      <c r="P120" s="42" t="e">
        <f>P118^2</f>
        <v>#REF!</v>
      </c>
      <c r="Q120" s="42" t="s">
        <v>57</v>
      </c>
      <c r="R120" s="42" t="e">
        <f>R118^2</f>
        <v>#REF!</v>
      </c>
      <c r="S120" s="42" t="s">
        <v>51</v>
      </c>
      <c r="T120" s="42" t="s">
        <v>77</v>
      </c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</row>
    <row r="121" spans="1:60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 t="s">
        <v>77</v>
      </c>
      <c r="P121" s="42" t="s">
        <v>1</v>
      </c>
      <c r="Q121" s="42"/>
      <c r="R121" s="42"/>
      <c r="S121" s="42"/>
      <c r="T121" s="42" t="s">
        <v>77</v>
      </c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</row>
    <row r="122" spans="1:60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 t="s">
        <v>77</v>
      </c>
      <c r="P122" s="42" t="e">
        <f>(P115^2*R119)+(R115-P107)^2*P119</f>
        <v>#REF!</v>
      </c>
      <c r="Q122" s="42" t="s">
        <v>52</v>
      </c>
      <c r="R122" s="42" t="e">
        <f>(P115^2*R120)+(R115-P107)^2*P120</f>
        <v>#REF!</v>
      </c>
      <c r="S122" s="42" t="s">
        <v>55</v>
      </c>
      <c r="T122" s="42" t="s">
        <v>77</v>
      </c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</row>
    <row r="123" spans="1:60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 t="s">
        <v>77</v>
      </c>
      <c r="P123" s="42" t="e">
        <f>(P115^2*R119)+(R115-P107)^2*P120</f>
        <v>#REF!</v>
      </c>
      <c r="Q123" s="42" t="s">
        <v>53</v>
      </c>
      <c r="R123" s="42" t="e">
        <f>P115^2*R120+(R115-P107)^2*P119</f>
        <v>#REF!</v>
      </c>
      <c r="S123" s="42" t="s">
        <v>54</v>
      </c>
      <c r="T123" s="42" t="s">
        <v>77</v>
      </c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</row>
    <row r="124" spans="1:60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 t="s">
        <v>77</v>
      </c>
      <c r="P124" s="108" t="e">
        <f>SQRT(P122)</f>
        <v>#REF!</v>
      </c>
      <c r="Q124" s="108" t="s">
        <v>41</v>
      </c>
      <c r="R124" s="108" t="e">
        <f>SQRT(R122)</f>
        <v>#REF!</v>
      </c>
      <c r="S124" s="42" t="s">
        <v>44</v>
      </c>
      <c r="T124" s="42" t="s">
        <v>77</v>
      </c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</row>
    <row r="125" spans="1:60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</row>
    <row r="126" spans="1:60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 t="s">
        <v>77</v>
      </c>
      <c r="P126" s="108" t="e">
        <f>SQRT(P123)</f>
        <v>#REF!</v>
      </c>
      <c r="Q126" s="108" t="s">
        <v>42</v>
      </c>
      <c r="R126" s="108" t="e">
        <f>SQRT(R123)</f>
        <v>#REF!</v>
      </c>
      <c r="S126" s="42" t="s">
        <v>43</v>
      </c>
      <c r="T126" s="42" t="s">
        <v>77</v>
      </c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</row>
    <row r="127" spans="1:60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 t="s">
        <v>77</v>
      </c>
      <c r="P127" s="108" t="e">
        <f>0.66*P124+0.17*P126+0.17*R126</f>
        <v>#REF!</v>
      </c>
      <c r="Q127" s="108" t="s">
        <v>45</v>
      </c>
      <c r="R127" s="108" t="e">
        <f>0.66*R124+0.17*P126+0.17*R126</f>
        <v>#REF!</v>
      </c>
      <c r="S127" s="42" t="s">
        <v>46</v>
      </c>
      <c r="T127" s="42" t="s">
        <v>77</v>
      </c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</row>
    <row r="128" spans="1:60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 t="s">
        <v>77</v>
      </c>
      <c r="P128" s="42" t="s">
        <v>1</v>
      </c>
      <c r="Q128" s="42"/>
      <c r="R128" s="42"/>
      <c r="S128" s="42"/>
      <c r="T128" s="42" t="s">
        <v>77</v>
      </c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</row>
    <row r="129" spans="1:60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 t="s">
        <v>77</v>
      </c>
      <c r="P129" s="42" t="s">
        <v>86</v>
      </c>
      <c r="Q129" s="42"/>
      <c r="R129" s="42"/>
      <c r="S129" s="42"/>
      <c r="T129" s="42" t="s">
        <v>77</v>
      </c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</row>
    <row r="130" spans="1:60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</row>
    <row r="131" spans="1:60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</row>
    <row r="132" spans="1:60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</row>
    <row r="133" spans="1:60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</row>
    <row r="134" spans="1:60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</row>
    <row r="135" spans="1:60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</row>
    <row r="136" spans="1:60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</row>
    <row r="137" spans="1:60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</row>
    <row r="138" spans="1:60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</row>
    <row r="139" spans="1:60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 t="s">
        <v>77</v>
      </c>
      <c r="P139" s="42" t="s">
        <v>1</v>
      </c>
      <c r="Q139" s="42"/>
      <c r="R139" s="42"/>
      <c r="S139" s="42"/>
      <c r="T139" s="42" t="s">
        <v>77</v>
      </c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</row>
    <row r="140" spans="1:60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 t="s">
        <v>77</v>
      </c>
      <c r="P140" s="42" t="e">
        <f>R103</f>
        <v>#REF!</v>
      </c>
      <c r="Q140" s="42" t="s">
        <v>30</v>
      </c>
      <c r="R140" s="42" t="e">
        <f>+P146-P144</f>
        <v>#REF!</v>
      </c>
      <c r="S140" s="42" t="s">
        <v>106</v>
      </c>
      <c r="T140" s="42" t="s">
        <v>77</v>
      </c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</row>
    <row r="141" spans="1:60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 t="s">
        <v>77</v>
      </c>
      <c r="P141" s="42" t="e">
        <f>P103</f>
        <v>#REF!</v>
      </c>
      <c r="Q141" s="42" t="s">
        <v>33</v>
      </c>
      <c r="R141" s="42" t="e">
        <f>P100*P124</f>
        <v>#REF!</v>
      </c>
      <c r="S141" s="42" t="s">
        <v>187</v>
      </c>
      <c r="T141" s="42" t="s">
        <v>77</v>
      </c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</row>
    <row r="142" spans="1:60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 t="s">
        <v>77</v>
      </c>
      <c r="P142" s="108" t="e">
        <f>+P145+0.33*(R146-R145)</f>
        <v>#REF!</v>
      </c>
      <c r="Q142" s="42" t="s">
        <v>32</v>
      </c>
      <c r="R142" s="42" t="e">
        <f>P100*R124</f>
        <v>#REF!</v>
      </c>
      <c r="S142" s="42" t="s">
        <v>190</v>
      </c>
      <c r="T142" s="42" t="s">
        <v>77</v>
      </c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</row>
    <row r="143" spans="1:60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 t="s">
        <v>77</v>
      </c>
      <c r="P143" s="108">
        <f>+G67</f>
        <v>46.456315068493154</v>
      </c>
      <c r="Q143" s="42" t="s">
        <v>31</v>
      </c>
      <c r="R143" s="42" t="e">
        <f>P100*P126</f>
        <v>#REF!</v>
      </c>
      <c r="S143" s="42" t="s">
        <v>188</v>
      </c>
      <c r="T143" s="42" t="s">
        <v>77</v>
      </c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</row>
    <row r="144" spans="1:60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 t="s">
        <v>77</v>
      </c>
      <c r="P144" s="108" t="e">
        <f>P142-P143</f>
        <v>#REF!</v>
      </c>
      <c r="Q144" s="42" t="s">
        <v>29</v>
      </c>
      <c r="R144" s="42" t="e">
        <f>P100*R126</f>
        <v>#REF!</v>
      </c>
      <c r="S144" s="42" t="s">
        <v>189</v>
      </c>
      <c r="T144" s="42" t="s">
        <v>77</v>
      </c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</row>
    <row r="145" spans="1:60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 t="s">
        <v>77</v>
      </c>
      <c r="P145" s="108" t="e">
        <f>P100*P115*R115</f>
        <v>#REF!</v>
      </c>
      <c r="Q145" s="42" t="s">
        <v>21</v>
      </c>
      <c r="R145" s="108" t="e">
        <f>P100*P127</f>
        <v>#REF!</v>
      </c>
      <c r="S145" s="42" t="s">
        <v>45</v>
      </c>
      <c r="T145" s="42" t="s">
        <v>77</v>
      </c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</row>
    <row r="146" spans="1:60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 t="s">
        <v>77</v>
      </c>
      <c r="P146" s="108" t="e">
        <f>P145-P143</f>
        <v>#REF!</v>
      </c>
      <c r="Q146" s="42" t="s">
        <v>20</v>
      </c>
      <c r="R146" s="108" t="e">
        <f>P100*R127</f>
        <v>#REF!</v>
      </c>
      <c r="S146" s="42" t="s">
        <v>46</v>
      </c>
      <c r="T146" s="42" t="s">
        <v>77</v>
      </c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>
        <v>1</v>
      </c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</row>
    <row r="147" spans="1:60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 t="s">
        <v>77</v>
      </c>
      <c r="P147" s="42" t="s">
        <v>1</v>
      </c>
      <c r="Q147" s="42"/>
      <c r="R147" s="42"/>
      <c r="S147" s="42"/>
      <c r="T147" s="42" t="s">
        <v>77</v>
      </c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</row>
    <row r="148" spans="1:60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</row>
    <row r="149" spans="1:60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 t="e">
        <f>+D87&gt;=P144</f>
        <v>#REF!</v>
      </c>
      <c r="Q149" s="42" t="e">
        <f>ABS((D87-P146)/IF(P149,R145,R146))</f>
        <v>#REF!</v>
      </c>
      <c r="R149" s="42" t="e">
        <f>MIN(2.5,ABS((D87-(P144+R140*ABS(D87-P144)/ABS(IF(P149,R145+R140,R146-R140))*MIN(1,Q149)))/(MIN(1.52,Q149)/1.52*IF(P149,R141,R142)+(1.52-MIN(1.52,Q149))/3.04*R143+(1.52-MIN(1.52,Q149))/3.04*R144)))</f>
        <v>#REF!</v>
      </c>
      <c r="S149" s="42" t="e">
        <f t="shared" ref="S149:S154" si="2">1/(1+(0.2316419*R149))</f>
        <v>#REF!</v>
      </c>
      <c r="T149" s="42" t="e">
        <f t="shared" ref="T149:T154" si="3">0.398942281*((2.71828)^((-(R149^2)/2)))</f>
        <v>#REF!</v>
      </c>
      <c r="U149" s="42" t="e">
        <f t="shared" ref="U149:U154" si="4">T149*(0.31938153*S149-0.356563782*S149^2+1.781477937*S149^3-1.821255978*S149^4+1.330274429*S149^5)</f>
        <v>#REF!</v>
      </c>
      <c r="V149" s="42" t="e">
        <f>+E87&gt;=P144</f>
        <v>#REF!</v>
      </c>
      <c r="W149" s="42" t="e">
        <f>ABS((E87-P146)/IF(V149,R145,R146))</f>
        <v>#REF!</v>
      </c>
      <c r="X149" s="42" t="e">
        <f>MIN(2.5,ABS((E87-(P144+R140*ABS(E87-P144)/ABS(IF(V149,R145+R140,R146-R140))*MIN(1,W149)))/(MIN(1.52,W149)/1.52*IF(V149,R141,R142)+(1.52-MIN(1.52,W149))/3.04*R143+(1.52-MIN(1.52,W149))/3.04*R144)))</f>
        <v>#REF!</v>
      </c>
      <c r="Y149" s="42" t="e">
        <f t="shared" ref="Y149:Y154" si="5">1/(1+(0.2316419*X149))</f>
        <v>#REF!</v>
      </c>
      <c r="Z149" s="42" t="e">
        <f t="shared" ref="Z149:Z154" si="6">0.398942281*((2.71828)^((-(X149^2)/2)))</f>
        <v>#REF!</v>
      </c>
      <c r="AA149" s="42" t="e">
        <f t="shared" ref="AA149:AA154" si="7">Z149*(0.31938153*Y149-0.356563782*Y149^2+1.781477937*Y149^3-1.821255978*Y149^4+1.330274429*Y149^5)</f>
        <v>#REF!</v>
      </c>
      <c r="AB149" s="42" t="e">
        <f>+F87&gt;=P144</f>
        <v>#REF!</v>
      </c>
      <c r="AC149" s="42" t="e">
        <f>ABS((F87-P146)/IF(AB149,R145,R146))</f>
        <v>#REF!</v>
      </c>
      <c r="AD149" s="42" t="e">
        <f>MIN(2.5,ABS((F87-(P144+R140*ABS(F87-P144)/ABS(IF(AB149,R145+R140,R146-R140))*MIN(1,AC149)))/(MIN(1.52,AC149)/1.52*IF(AB149,R141,R142)+(1.52-MIN(1.52,AC149))/3.04*R143+(1.52-MIN(1.52,AC149))/3.04*R144)))</f>
        <v>#REF!</v>
      </c>
      <c r="AE149" s="42" t="e">
        <f>1/(1+(0.2316419*AD149))</f>
        <v>#REF!</v>
      </c>
      <c r="AF149" s="42" t="e">
        <f>0.398942281*((2.71828)^((-(AD149^2)/2)))</f>
        <v>#REF!</v>
      </c>
      <c r="AG149" s="42" t="e">
        <f>AF149*(0.31938153*AE149-0.356563782*AE149^2+1.781477937*AE149^3-1.821255978*AE149^4+1.330274429*AE149^5)</f>
        <v>#REF!</v>
      </c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</row>
    <row r="150" spans="1:60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 t="e">
        <f>MIN(2.5,ABS((D87-P146)/(MIN(1.52,Q149)/1.52*IF(P149,R141,R142)+(1.52-MIN(1.52,Q149))/3.04*R143+(1.52-MIN(1.52,Q149))/3.04*R144)))</f>
        <v>#REF!</v>
      </c>
      <c r="S150" s="42" t="e">
        <f t="shared" si="2"/>
        <v>#REF!</v>
      </c>
      <c r="T150" s="42" t="e">
        <f t="shared" si="3"/>
        <v>#REF!</v>
      </c>
      <c r="U150" s="42" t="e">
        <f t="shared" si="4"/>
        <v>#REF!</v>
      </c>
      <c r="V150" s="42"/>
      <c r="W150" s="42"/>
      <c r="X150" s="42" t="e">
        <f>MIN(2.5,ABS((E87-P146)/(MIN(1.52,W149)/1.52*IF(V149,R141,R142)+(1.52-MIN(1.52,W149))/3.04*R143+(1.52-MIN(1.52,W149))/3.04*R144)))</f>
        <v>#REF!</v>
      </c>
      <c r="Y150" s="42" t="e">
        <f t="shared" si="5"/>
        <v>#REF!</v>
      </c>
      <c r="Z150" s="42" t="e">
        <f t="shared" si="6"/>
        <v>#REF!</v>
      </c>
      <c r="AA150" s="42" t="e">
        <f t="shared" si="7"/>
        <v>#REF!</v>
      </c>
      <c r="AB150" s="42"/>
      <c r="AC150" s="42"/>
      <c r="AD150" s="42" t="e">
        <f>MIN(2.5,ABS((F87-P146)/(MIN(1.52,AC149)/1.52*IF(AB149,R141,R142)+(1.52-MIN(1.52,AC149))/3.04*R143+(1.52-MIN(1.52,AC149))/3.04*R144)))</f>
        <v>#REF!</v>
      </c>
      <c r="AE150" s="42" t="e">
        <f>1/(1+(0.2316419*AD150))</f>
        <v>#REF!</v>
      </c>
      <c r="AF150" s="42" t="e">
        <f>0.398942281*((2.71828)^((-(AD150^2)/2)))</f>
        <v>#REF!</v>
      </c>
      <c r="AG150" s="42" t="e">
        <f>AF150*(0.31938153*AE150-0.356563782*AE150^2+1.781477937*AE150^3-1.821255978*AE150^4+1.330274429*AE150^5)</f>
        <v>#REF!</v>
      </c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</row>
    <row r="151" spans="1:60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 t="e">
        <f>+G87&gt;=P144</f>
        <v>#REF!</v>
      </c>
      <c r="Q151" s="42" t="e">
        <f>ABS((G87-P146)/IF(P151,R145,R146))</f>
        <v>#REF!</v>
      </c>
      <c r="R151" s="42" t="e">
        <f>MIN(2.5,ABS((G87-(P144+R140*ABS(G87-P144)/ABS(IF(P151,R145+R140,R146-R140))*MIN(1,Q151)))/(MIN(1.52,Q151)/1.52*IF(P151,R141,R142)+(1.52-MIN(1.52,Q151))/3.04*R143+(1.52-MIN(1.52,Q151))/3.04*R144)))</f>
        <v>#REF!</v>
      </c>
      <c r="S151" s="42" t="e">
        <f t="shared" si="2"/>
        <v>#REF!</v>
      </c>
      <c r="T151" s="42" t="e">
        <f t="shared" si="3"/>
        <v>#REF!</v>
      </c>
      <c r="U151" s="42" t="e">
        <f t="shared" si="4"/>
        <v>#REF!</v>
      </c>
      <c r="V151" s="42" t="e">
        <f>+H87&gt;=P144</f>
        <v>#REF!</v>
      </c>
      <c r="W151" s="42" t="e">
        <f>ABS((H87-P146)/IF(V151,R145,R146))</f>
        <v>#REF!</v>
      </c>
      <c r="X151" s="42" t="e">
        <f>MIN(2.5,ABS((H87-(P144+R140*ABS(H87-P144)/ABS(IF(V151,R145+R140,R146-R140))*MIN(1,W151)))/(MIN(1.52,W151)/1.52*IF(V151,R141,R142)+(1.52-MIN(1.52,W151))/3.04*R143+(1.52-MIN(1.52,W151))/3.04*R144)))</f>
        <v>#REF!</v>
      </c>
      <c r="Y151" s="42" t="e">
        <f t="shared" si="5"/>
        <v>#REF!</v>
      </c>
      <c r="Z151" s="42" t="e">
        <f t="shared" si="6"/>
        <v>#REF!</v>
      </c>
      <c r="AA151" s="42" t="e">
        <f t="shared" si="7"/>
        <v>#REF!</v>
      </c>
      <c r="AB151" s="42" t="e">
        <f>+I87&gt;=P144</f>
        <v>#REF!</v>
      </c>
      <c r="AC151" s="42" t="e">
        <f>ABS((I87-P146)/IF(AB151,R145,R146))</f>
        <v>#REF!</v>
      </c>
      <c r="AD151" s="42" t="e">
        <f>MIN(2.5,ABS((I87-(P144+R140*ABS(I87-P144)/ABS(IF(AB151,R145+R140,R146-R140))*MIN(1,AC151)))/(MIN(1.52,AC151)/1.52*IF(AB151,R141,R142)+(1.52-MIN(1.52,AC151))/3.04*R143+(1.52-MIN(1.52,AC151))/3.04*R144)))</f>
        <v>#REF!</v>
      </c>
      <c r="AE151" s="42" t="e">
        <f>1/(1+(0.2316419*AD151))</f>
        <v>#REF!</v>
      </c>
      <c r="AF151" s="42" t="e">
        <f>0.398942281*((2.71828)^((-(AD151^2)/2)))</f>
        <v>#REF!</v>
      </c>
      <c r="AG151" s="42" t="e">
        <f>AF151*(0.31938153*AE151-0.356563782*AE151^2+1.781477937*AE151^3-1.821255978*AE151^4+1.330274429*AE151^5)</f>
        <v>#REF!</v>
      </c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</row>
    <row r="152" spans="1:60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 t="e">
        <f>MIN(2.5,ABS((G87-P146)/(MIN(1.52,Q151)/1.52*IF(P151,R141,R142)+(1.52-MIN(1.52,Q151))/3.04*R143+(1.52-MIN(1.52,Q151))/3.04*R144)))</f>
        <v>#REF!</v>
      </c>
      <c r="S152" s="42" t="e">
        <f t="shared" si="2"/>
        <v>#REF!</v>
      </c>
      <c r="T152" s="42" t="e">
        <f t="shared" si="3"/>
        <v>#REF!</v>
      </c>
      <c r="U152" s="42" t="e">
        <f t="shared" si="4"/>
        <v>#REF!</v>
      </c>
      <c r="V152" s="42"/>
      <c r="W152" s="42"/>
      <c r="X152" s="42" t="e">
        <f>MIN(2.5,ABS((H87-P146)/(MIN(1.52,W151)/1.52*IF(V151,R141,R142)+(1.52-MIN(1.52,W151))/3.04*R143+(1.52-MIN(1.52,W151))/3.04*R144)))</f>
        <v>#REF!</v>
      </c>
      <c r="Y152" s="42" t="e">
        <f t="shared" si="5"/>
        <v>#REF!</v>
      </c>
      <c r="Z152" s="42" t="e">
        <f t="shared" si="6"/>
        <v>#REF!</v>
      </c>
      <c r="AA152" s="42" t="e">
        <f t="shared" si="7"/>
        <v>#REF!</v>
      </c>
      <c r="AB152" s="42"/>
      <c r="AC152" s="42"/>
      <c r="AD152" s="42" t="e">
        <f>MIN(2.5,ABS((I87-P146)/(MIN(1.52,AC151)/1.52*IF(AB151,R141,R142)+(1.52-MIN(1.52,AC151))/3.04*R143+(1.52-MIN(1.52,AC151))/3.04*R144)))</f>
        <v>#REF!</v>
      </c>
      <c r="AE152" s="42" t="e">
        <f>1/(1+(0.2316419*AD152))</f>
        <v>#REF!</v>
      </c>
      <c r="AF152" s="42" t="e">
        <f>0.398942281*((2.71828)^((-(AD152^2)/2)))</f>
        <v>#REF!</v>
      </c>
      <c r="AG152" s="42" t="e">
        <f>AF152*(0.31938153*AE152-0.356563782*AE152^2+1.781477937*AE152^3-1.821255978*AE152^4+1.330274429*AE152^5)</f>
        <v>#REF!</v>
      </c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</row>
    <row r="153" spans="1:60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 t="e">
        <f>+J87&gt;=P144</f>
        <v>#REF!</v>
      </c>
      <c r="Q153" s="42" t="e">
        <f>ABS((J87-P146)/IF(P153,R145,R146))</f>
        <v>#REF!</v>
      </c>
      <c r="R153" s="42" t="e">
        <f>MIN(2.5,ABS((J87-(P144+R140*ABS(J87-P144)/ABS(IF(P153,R145+R140,R146-R140))*MIN(1,Q153)))/(MIN(1.52,Q153)/1.52*IF(P153,R141,R142)+(1.52-MIN(1.52,Q153))/3.04*R143+(1.52-MIN(1.52,Q153))/3.04*R144)))</f>
        <v>#REF!</v>
      </c>
      <c r="S153" s="42" t="e">
        <f t="shared" si="2"/>
        <v>#REF!</v>
      </c>
      <c r="T153" s="42" t="e">
        <f t="shared" si="3"/>
        <v>#REF!</v>
      </c>
      <c r="U153" s="42" t="e">
        <f t="shared" si="4"/>
        <v>#REF!</v>
      </c>
      <c r="V153" s="42" t="e">
        <f>0&gt;=P144</f>
        <v>#REF!</v>
      </c>
      <c r="W153" s="42" t="e">
        <f>ABS((0-P146)/IF(V153,R145,R146))</f>
        <v>#REF!</v>
      </c>
      <c r="X153" s="42" t="e">
        <f>MIN(2.5,ABS((0-(P144+R140*ABS(0-P144)/ABS(IF(V153,R145+R140,R146-R140))*MIN(1,W153)))/(MIN(1.52,W153)/1.52*IF(V153,R141,R142)+(1.52-MIN(1.52,W153))/3.04*R143+(1.52-MIN(1.52,W153))/3.04*R144)))</f>
        <v>#REF!</v>
      </c>
      <c r="Y153" s="42" t="e">
        <f t="shared" si="5"/>
        <v>#REF!</v>
      </c>
      <c r="Z153" s="42" t="e">
        <f t="shared" si="6"/>
        <v>#REF!</v>
      </c>
      <c r="AA153" s="42" t="e">
        <f t="shared" si="7"/>
        <v>#REF!</v>
      </c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</row>
    <row r="154" spans="1:60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 t="e">
        <f>MIN(2.5,ABS((J87-P146)/(MIN(1.52,Q153)/1.52*IF(P153,R141,R142)+(1.52-MIN(1.52,Q153))/3.04*R143+(1.52-MIN(1.52,Q153))/3.04*R144)))</f>
        <v>#REF!</v>
      </c>
      <c r="S154" s="42" t="e">
        <f t="shared" si="2"/>
        <v>#REF!</v>
      </c>
      <c r="T154" s="42" t="e">
        <f t="shared" si="3"/>
        <v>#REF!</v>
      </c>
      <c r="U154" s="42" t="e">
        <f t="shared" si="4"/>
        <v>#REF!</v>
      </c>
      <c r="V154" s="42"/>
      <c r="W154" s="42"/>
      <c r="X154" s="42" t="e">
        <f>MIN(2.5,ABS((0-P146)/(MIN(1.52,W153)/1.52*IF(V153,R141,R142)+(1.52-MIN(1.52,W153))/3.04*R143+(1.52-MIN(1.52,W153))/3.04*R144)))</f>
        <v>#REF!</v>
      </c>
      <c r="Y154" s="42" t="e">
        <f t="shared" si="5"/>
        <v>#REF!</v>
      </c>
      <c r="Z154" s="42" t="e">
        <f t="shared" si="6"/>
        <v>#REF!</v>
      </c>
      <c r="AA154" s="42" t="e">
        <f t="shared" si="7"/>
        <v>#REF!</v>
      </c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</row>
    <row r="155" spans="1:60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</row>
    <row r="156" spans="1:60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</row>
    <row r="157" spans="1:60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</row>
    <row r="158" spans="1:60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</row>
    <row r="159" spans="1:60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 t="s">
        <v>301</v>
      </c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</row>
    <row r="160" spans="1:60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>
        <f>P100</f>
        <v>50</v>
      </c>
      <c r="Q160" s="42" t="e">
        <f>P115</f>
        <v>#REF!</v>
      </c>
      <c r="R160" s="42" t="e">
        <f>R115</f>
        <v>#REF!</v>
      </c>
      <c r="S160" s="42">
        <f>I67</f>
        <v>0</v>
      </c>
      <c r="T160" s="42" t="e">
        <f>R145</f>
        <v>#REF!</v>
      </c>
      <c r="U160" s="42" t="e">
        <f>R146</f>
        <v>#REF!</v>
      </c>
      <c r="V160" s="42" t="e">
        <f>R141</f>
        <v>#REF!</v>
      </c>
      <c r="W160" s="42" t="e">
        <f>R143</f>
        <v>#REF!</v>
      </c>
      <c r="X160" s="42" t="e">
        <f>R142</f>
        <v>#REF!</v>
      </c>
      <c r="Y160" s="42" t="e">
        <f>R144</f>
        <v>#REF!</v>
      </c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</row>
    <row r="161" spans="1:60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</row>
    <row r="162" spans="1:60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</row>
    <row r="163" spans="1:60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</row>
    <row r="164" spans="1:60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</row>
    <row r="165" spans="1:60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</row>
    <row r="166" spans="1:60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</row>
    <row r="167" spans="1:60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</row>
    <row r="168" spans="1:60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</row>
    <row r="169" spans="1:60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</row>
    <row r="170" spans="1:60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</row>
    <row r="171" spans="1:60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</row>
    <row r="172" spans="1:60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</row>
    <row r="173" spans="1:60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</row>
    <row r="174" spans="1:60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</row>
    <row r="175" spans="1:60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</row>
    <row r="176" spans="1:60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</row>
    <row r="177" spans="1:60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</row>
    <row r="178" spans="1:60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</row>
    <row r="179" spans="1:60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</row>
    <row r="180" spans="1:60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</row>
    <row r="181" spans="1:60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</row>
    <row r="182" spans="1:60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</row>
    <row r="183" spans="1:60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</row>
    <row r="184" spans="1:60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</row>
    <row r="185" spans="1:60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</row>
    <row r="186" spans="1:60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</row>
    <row r="187" spans="1:60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</row>
    <row r="188" spans="1:60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</row>
    <row r="189" spans="1:60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</row>
    <row r="190" spans="1:60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</row>
    <row r="191" spans="1:60" x14ac:dyDescent="0.2">
      <c r="A191" s="42"/>
      <c r="B191" s="42" t="s">
        <v>302</v>
      </c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</row>
    <row r="192" spans="1:60" x14ac:dyDescent="0.2">
      <c r="A192" s="42"/>
      <c r="B192" s="42" t="s">
        <v>303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</row>
    <row r="193" spans="1:60" x14ac:dyDescent="0.2">
      <c r="A193" s="42"/>
      <c r="B193" s="42" t="s">
        <v>304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</row>
    <row r="194" spans="1:60" x14ac:dyDescent="0.2">
      <c r="A194" s="42"/>
      <c r="B194" s="42" t="s">
        <v>305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</row>
    <row r="195" spans="1:60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</row>
    <row r="196" spans="1:60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</row>
    <row r="197" spans="1:60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</row>
    <row r="198" spans="1:60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 t="s">
        <v>0</v>
      </c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</row>
    <row r="199" spans="1:60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</row>
    <row r="200" spans="1:60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</row>
    <row r="201" spans="1:60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</row>
    <row r="202" spans="1:60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</row>
    <row r="203" spans="1:60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</row>
    <row r="204" spans="1:60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</row>
    <row r="205" spans="1:60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</row>
    <row r="206" spans="1:60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</row>
    <row r="207" spans="1:60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 t="s">
        <v>0</v>
      </c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</row>
    <row r="208" spans="1:60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</row>
    <row r="209" spans="1:60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</row>
    <row r="210" spans="1:60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 t="s">
        <v>0</v>
      </c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</row>
    <row r="211" spans="1:60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</row>
    <row r="212" spans="1:60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</row>
    <row r="213" spans="1:60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</row>
    <row r="214" spans="1:60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</row>
    <row r="215" spans="1:60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</row>
    <row r="216" spans="1:60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</row>
    <row r="217" spans="1:60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</row>
    <row r="218" spans="1:60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</row>
    <row r="219" spans="1:60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</row>
    <row r="220" spans="1:60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</row>
    <row r="221" spans="1:60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</row>
    <row r="222" spans="1:60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</row>
    <row r="223" spans="1:60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</row>
    <row r="224" spans="1:60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</row>
    <row r="225" spans="1:60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 t="s">
        <v>0</v>
      </c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</row>
    <row r="226" spans="1:60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</row>
    <row r="227" spans="1:60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</row>
    <row r="228" spans="1:60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</row>
    <row r="229" spans="1:60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</row>
    <row r="230" spans="1:60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</row>
    <row r="231" spans="1:60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</row>
    <row r="232" spans="1:60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</row>
    <row r="233" spans="1:60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</row>
    <row r="234" spans="1:60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</row>
    <row r="235" spans="1:60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</row>
    <row r="236" spans="1:60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</row>
    <row r="237" spans="1:60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</row>
    <row r="238" spans="1:60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</row>
    <row r="239" spans="1:60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</row>
    <row r="240" spans="1:60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</row>
    <row r="241" spans="1:60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</row>
    <row r="242" spans="1:60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</row>
    <row r="243" spans="1:60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</row>
    <row r="244" spans="1:60" x14ac:dyDescent="0.2">
      <c r="A244" s="42"/>
      <c r="B244" s="42" t="s">
        <v>302</v>
      </c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</row>
    <row r="245" spans="1:60" x14ac:dyDescent="0.2">
      <c r="A245" s="42"/>
      <c r="B245" s="42" t="s">
        <v>303</v>
      </c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</row>
    <row r="246" spans="1:60" x14ac:dyDescent="0.2">
      <c r="A246" s="42"/>
      <c r="B246" s="42" t="s">
        <v>0</v>
      </c>
      <c r="C246" s="42"/>
      <c r="D246" s="42"/>
      <c r="E246" s="42"/>
      <c r="F246" s="42"/>
      <c r="G246" s="42"/>
      <c r="H246" s="42"/>
      <c r="I246" s="42"/>
      <c r="J246" s="42"/>
      <c r="K246" s="42" t="s">
        <v>0</v>
      </c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</row>
    <row r="247" spans="1:60" x14ac:dyDescent="0.2">
      <c r="A247" s="42"/>
      <c r="B247" s="42" t="s">
        <v>305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</row>
    <row r="248" spans="1:60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 t="s">
        <v>0</v>
      </c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</row>
    <row r="249" spans="1:60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</row>
    <row r="250" spans="1:60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</row>
    <row r="251" spans="1:60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</row>
    <row r="252" spans="1:60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</row>
    <row r="253" spans="1:60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</row>
    <row r="254" spans="1:60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</row>
    <row r="255" spans="1:60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</row>
    <row r="256" spans="1:60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</row>
    <row r="257" spans="1:60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</row>
    <row r="258" spans="1:60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</row>
    <row r="259" spans="1:60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</row>
    <row r="260" spans="1:60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</row>
    <row r="261" spans="1:60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</row>
    <row r="262" spans="1:60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</row>
    <row r="263" spans="1:60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</row>
    <row r="264" spans="1:60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</row>
    <row r="265" spans="1:60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</row>
    <row r="266" spans="1:60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 t="s">
        <v>0</v>
      </c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</row>
    <row r="267" spans="1:60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</row>
    <row r="268" spans="1:60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</row>
    <row r="269" spans="1:60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</row>
    <row r="270" spans="1:60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</row>
    <row r="271" spans="1:60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</row>
    <row r="272" spans="1:60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</row>
    <row r="273" spans="1:60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</row>
    <row r="274" spans="1:60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</row>
    <row r="275" spans="1:60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</row>
    <row r="276" spans="1:60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</row>
    <row r="277" spans="1:60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</row>
    <row r="278" spans="1:60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</row>
    <row r="279" spans="1:60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</row>
    <row r="280" spans="1:60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</row>
    <row r="281" spans="1:60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</row>
    <row r="282" spans="1:60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</row>
    <row r="283" spans="1:60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</row>
    <row r="284" spans="1:60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</row>
    <row r="285" spans="1:60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</row>
    <row r="286" spans="1:60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</row>
    <row r="287" spans="1:60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</row>
    <row r="288" spans="1:60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</row>
    <row r="289" spans="1:60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</row>
    <row r="290" spans="1:60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</row>
    <row r="291" spans="1:60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</row>
    <row r="292" spans="1:60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</row>
    <row r="293" spans="1:60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</row>
    <row r="294" spans="1:60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</row>
    <row r="295" spans="1:60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</row>
    <row r="296" spans="1:60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</row>
    <row r="297" spans="1:60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</row>
    <row r="298" spans="1:60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</row>
    <row r="299" spans="1:60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</row>
    <row r="300" spans="1:60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</row>
    <row r="301" spans="1:60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</row>
    <row r="302" spans="1:60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</row>
  </sheetData>
  <mergeCells count="9">
    <mergeCell ref="B12:K12"/>
    <mergeCell ref="C71:H71"/>
    <mergeCell ref="C60:H60"/>
    <mergeCell ref="B18:E18"/>
    <mergeCell ref="B26:D26"/>
    <mergeCell ref="B27:D27"/>
    <mergeCell ref="B28:D28"/>
    <mergeCell ref="B49:E49"/>
    <mergeCell ref="B43:G43"/>
  </mergeCells>
  <phoneticPr fontId="0" type="noConversion"/>
  <hyperlinks>
    <hyperlink ref="A43" location="Fixed_Cost!A1" display="Calculate Fixed Cost"/>
    <hyperlink ref="A44" location="Fixed_Payment!A1" display="Calculate Fixed Payment"/>
    <hyperlink ref="J15" location="Main!B38" display="Return to Main budget"/>
  </hyperlinks>
  <printOptions horizontalCentered="1"/>
  <pageMargins left="0.75" right="0.75" top="1" bottom="1" header="0.5" footer="0.5"/>
  <pageSetup scale="17" fitToHeight="2" orientation="portrait" r:id="rId1"/>
  <headerFooter alignWithMargins="0">
    <oddHeader>&amp;F</oddHeader>
    <oddFooter>&amp;CExtension Agricultural and Applied Economics</oddFoot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0"/>
  <sheetViews>
    <sheetView workbookViewId="0">
      <selection activeCell="F10" sqref="F10"/>
    </sheetView>
  </sheetViews>
  <sheetFormatPr defaultColWidth="10.28515625" defaultRowHeight="15" x14ac:dyDescent="0.3"/>
  <cols>
    <col min="1" max="1" width="17.140625" style="7" customWidth="1"/>
    <col min="2" max="4" width="10.28515625" style="7" customWidth="1"/>
    <col min="5" max="5" width="12.140625" style="7" customWidth="1"/>
    <col min="6" max="16384" width="10.28515625" style="7"/>
  </cols>
  <sheetData>
    <row r="1" spans="1:6" x14ac:dyDescent="0.3">
      <c r="A1" s="14" t="s">
        <v>254</v>
      </c>
      <c r="B1" s="14" t="s">
        <v>256</v>
      </c>
    </row>
    <row r="2" spans="1:6" x14ac:dyDescent="0.3">
      <c r="A2" s="13" t="s">
        <v>255</v>
      </c>
      <c r="B2" s="7">
        <v>1.5</v>
      </c>
    </row>
    <row r="3" spans="1:6" x14ac:dyDescent="0.3">
      <c r="A3" s="7" t="s">
        <v>237</v>
      </c>
      <c r="B3" s="7">
        <v>650</v>
      </c>
    </row>
    <row r="4" spans="1:6" x14ac:dyDescent="0.3">
      <c r="A4" s="7" t="s">
        <v>238</v>
      </c>
      <c r="B4" s="7">
        <v>30</v>
      </c>
    </row>
    <row r="5" spans="1:6" x14ac:dyDescent="0.3">
      <c r="B5" s="7" t="s">
        <v>239</v>
      </c>
      <c r="C5" s="8" t="s">
        <v>240</v>
      </c>
      <c r="D5" s="7" t="s">
        <v>241</v>
      </c>
      <c r="E5" s="7" t="s">
        <v>242</v>
      </c>
      <c r="F5" s="8" t="s">
        <v>243</v>
      </c>
    </row>
    <row r="6" spans="1:6" x14ac:dyDescent="0.3">
      <c r="A6" s="7" t="s">
        <v>244</v>
      </c>
      <c r="B6" s="7">
        <v>100</v>
      </c>
      <c r="C6" s="8">
        <f>+B6/2000</f>
        <v>0.05</v>
      </c>
      <c r="D6" s="9">
        <v>0.65</v>
      </c>
      <c r="E6" s="7">
        <f>+D6*2000</f>
        <v>1300</v>
      </c>
      <c r="F6" s="8">
        <f>+E6*C6</f>
        <v>65</v>
      </c>
    </row>
    <row r="7" spans="1:6" x14ac:dyDescent="0.3">
      <c r="A7" s="7" t="s">
        <v>245</v>
      </c>
      <c r="B7" s="7">
        <v>125</v>
      </c>
      <c r="C7" s="8">
        <f>+B7/2000</f>
        <v>6.25E-2</v>
      </c>
      <c r="D7" s="9">
        <v>0.1</v>
      </c>
      <c r="E7" s="7">
        <f>+D7*2000</f>
        <v>200</v>
      </c>
      <c r="F7" s="8">
        <f>+E7*C7</f>
        <v>12.5</v>
      </c>
    </row>
    <row r="8" spans="1:6" x14ac:dyDescent="0.3">
      <c r="A8" s="7" t="s">
        <v>246</v>
      </c>
      <c r="B8" s="7">
        <v>15</v>
      </c>
      <c r="C8" s="8">
        <f>+B8/2000</f>
        <v>7.4999999999999997E-3</v>
      </c>
      <c r="D8" s="9">
        <v>0.15</v>
      </c>
      <c r="E8" s="7">
        <f>+D8*2000</f>
        <v>300</v>
      </c>
      <c r="F8" s="8">
        <f>+E8*C8</f>
        <v>2.25</v>
      </c>
    </row>
    <row r="9" spans="1:6" x14ac:dyDescent="0.3">
      <c r="A9" s="13" t="s">
        <v>323</v>
      </c>
      <c r="B9" s="7">
        <v>250</v>
      </c>
      <c r="C9" s="8">
        <f>+B9/2000</f>
        <v>0.125</v>
      </c>
      <c r="D9" s="9">
        <v>0.1</v>
      </c>
      <c r="E9" s="7">
        <f>+D9*2000</f>
        <v>200</v>
      </c>
      <c r="F9" s="8">
        <f>+E9*C9</f>
        <v>25</v>
      </c>
    </row>
    <row r="10" spans="1:6" x14ac:dyDescent="0.3">
      <c r="D10" s="110">
        <f>+SUM(D6:D9)</f>
        <v>1</v>
      </c>
      <c r="E10" s="7" t="s">
        <v>247</v>
      </c>
      <c r="F10" s="8">
        <f>SUM(F6:F9)</f>
        <v>104.75</v>
      </c>
    </row>
    <row r="11" spans="1:6" x14ac:dyDescent="0.3">
      <c r="E11" s="7" t="s">
        <v>248</v>
      </c>
      <c r="F11" s="8">
        <f>+F10/2000</f>
        <v>5.2374999999999998E-2</v>
      </c>
    </row>
    <row r="13" spans="1:6" x14ac:dyDescent="0.3">
      <c r="A13" s="7" t="s">
        <v>249</v>
      </c>
      <c r="B13" s="7" t="s">
        <v>250</v>
      </c>
      <c r="C13" s="7" t="s">
        <v>251</v>
      </c>
      <c r="D13" s="7" t="s">
        <v>252</v>
      </c>
      <c r="E13" s="7" t="s">
        <v>253</v>
      </c>
      <c r="F13" s="13" t="s">
        <v>306</v>
      </c>
    </row>
    <row r="14" spans="1:6" x14ac:dyDescent="0.3">
      <c r="A14" s="10">
        <v>5.0000000000000001E-3</v>
      </c>
      <c r="B14" s="7">
        <f t="shared" ref="B14:B20" si="0">+A14*$B$3</f>
        <v>3.25</v>
      </c>
      <c r="C14" s="11">
        <f t="shared" ref="C14:C20" si="1">+B14*$F$11</f>
        <v>0.17021875</v>
      </c>
      <c r="D14" s="8">
        <f t="shared" ref="D14:D20" si="2">+C14*$B$4</f>
        <v>5.1065624999999999</v>
      </c>
      <c r="E14" s="12">
        <f>+B14*$B$4</f>
        <v>97.5</v>
      </c>
    </row>
    <row r="15" spans="1:6" x14ac:dyDescent="0.3">
      <c r="A15" s="10">
        <v>0.01</v>
      </c>
      <c r="B15" s="7">
        <f t="shared" si="0"/>
        <v>6.5</v>
      </c>
      <c r="C15" s="11">
        <f t="shared" si="1"/>
        <v>0.3404375</v>
      </c>
      <c r="D15" s="8">
        <f t="shared" si="2"/>
        <v>10.213125</v>
      </c>
      <c r="E15" s="12">
        <f t="shared" ref="E15:E20" si="3">+B15*$B$4</f>
        <v>195</v>
      </c>
    </row>
    <row r="16" spans="1:6" x14ac:dyDescent="0.3">
      <c r="A16" s="10">
        <v>1.4999999999999999E-2</v>
      </c>
      <c r="B16" s="7">
        <f t="shared" si="0"/>
        <v>9.75</v>
      </c>
      <c r="C16" s="11">
        <f t="shared" si="1"/>
        <v>0.51065625000000003</v>
      </c>
      <c r="D16" s="8">
        <f t="shared" si="2"/>
        <v>15.319687500000001</v>
      </c>
      <c r="E16" s="12">
        <f t="shared" si="3"/>
        <v>292.5</v>
      </c>
    </row>
    <row r="17" spans="1:6" x14ac:dyDescent="0.3">
      <c r="A17" s="10">
        <v>1.7500000000000002E-2</v>
      </c>
      <c r="B17" s="7">
        <f t="shared" si="0"/>
        <v>11.375000000000002</v>
      </c>
      <c r="C17" s="11">
        <f t="shared" si="1"/>
        <v>0.59576562500000008</v>
      </c>
      <c r="D17" s="8">
        <f t="shared" si="2"/>
        <v>17.872968750000002</v>
      </c>
      <c r="E17" s="12">
        <f t="shared" si="3"/>
        <v>341.25000000000006</v>
      </c>
      <c r="F17" s="11"/>
    </row>
    <row r="18" spans="1:6" x14ac:dyDescent="0.3">
      <c r="A18" s="10">
        <v>0.02</v>
      </c>
      <c r="B18" s="7">
        <f t="shared" si="0"/>
        <v>13</v>
      </c>
      <c r="C18" s="11">
        <f t="shared" si="1"/>
        <v>0.68087500000000001</v>
      </c>
      <c r="D18" s="8">
        <f t="shared" si="2"/>
        <v>20.42625</v>
      </c>
      <c r="E18" s="12">
        <f t="shared" si="3"/>
        <v>390</v>
      </c>
    </row>
    <row r="19" spans="1:6" x14ac:dyDescent="0.3">
      <c r="A19" s="10">
        <v>2.1999999999999999E-2</v>
      </c>
      <c r="B19" s="7">
        <f t="shared" si="0"/>
        <v>14.299999999999999</v>
      </c>
      <c r="C19" s="11">
        <f t="shared" si="1"/>
        <v>0.74896249999999986</v>
      </c>
      <c r="D19" s="8">
        <f t="shared" si="2"/>
        <v>22.468874999999997</v>
      </c>
      <c r="E19" s="12">
        <f t="shared" si="3"/>
        <v>428.99999999999994</v>
      </c>
    </row>
    <row r="20" spans="1:6" x14ac:dyDescent="0.3">
      <c r="A20" s="10">
        <v>2.5000000000000001E-2</v>
      </c>
      <c r="B20" s="7">
        <f t="shared" si="0"/>
        <v>16.25</v>
      </c>
      <c r="C20" s="11">
        <f t="shared" si="1"/>
        <v>0.85109374999999998</v>
      </c>
      <c r="D20" s="8">
        <f t="shared" si="2"/>
        <v>25.532812499999999</v>
      </c>
      <c r="E20" s="12">
        <f t="shared" si="3"/>
        <v>487.5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K20"/>
  <sheetViews>
    <sheetView workbookViewId="0">
      <selection activeCell="I13" sqref="I13:K13"/>
    </sheetView>
  </sheetViews>
  <sheetFormatPr defaultColWidth="8.42578125" defaultRowHeight="15" x14ac:dyDescent="0.3"/>
  <cols>
    <col min="1" max="1" width="1" style="154" customWidth="1"/>
    <col min="2" max="2" width="5" style="154" customWidth="1"/>
    <col min="3" max="3" width="8.42578125" style="154" customWidth="1"/>
    <col min="4" max="4" width="18.7109375" style="154" customWidth="1"/>
    <col min="5" max="5" width="8.5703125" style="154" customWidth="1"/>
    <col min="6" max="6" width="10.85546875" style="154" customWidth="1"/>
    <col min="7" max="8" width="12.7109375" style="154" customWidth="1"/>
    <col min="9" max="16384" width="8.42578125" style="154"/>
  </cols>
  <sheetData>
    <row r="2" spans="2:11" x14ac:dyDescent="0.3">
      <c r="I2" s="232" t="s">
        <v>313</v>
      </c>
      <c r="J2" s="232"/>
      <c r="K2" s="232"/>
    </row>
    <row r="3" spans="2:11" x14ac:dyDescent="0.3">
      <c r="B3" s="193" t="s">
        <v>314</v>
      </c>
      <c r="C3" s="193"/>
      <c r="D3" s="193"/>
      <c r="E3" s="193"/>
      <c r="F3" s="193"/>
      <c r="G3" s="193"/>
      <c r="H3" s="193"/>
    </row>
    <row r="5" spans="2:11" x14ac:dyDescent="0.3">
      <c r="B5" s="155" t="s">
        <v>7</v>
      </c>
      <c r="C5" s="155"/>
      <c r="D5" s="155"/>
      <c r="E5" s="156" t="s">
        <v>215</v>
      </c>
      <c r="F5" s="156" t="s">
        <v>180</v>
      </c>
      <c r="G5" s="156" t="s">
        <v>177</v>
      </c>
      <c r="H5" s="156" t="s">
        <v>79</v>
      </c>
    </row>
    <row r="6" spans="2:11" x14ac:dyDescent="0.3">
      <c r="H6" s="154" t="s">
        <v>60</v>
      </c>
    </row>
    <row r="7" spans="2:11" x14ac:dyDescent="0.3">
      <c r="B7" s="205" t="s">
        <v>337</v>
      </c>
      <c r="C7" s="205"/>
      <c r="D7" s="205"/>
      <c r="E7" s="154" t="s">
        <v>98</v>
      </c>
      <c r="F7" s="154">
        <f>+Main!F36</f>
        <v>4</v>
      </c>
      <c r="G7" s="157">
        <v>0.5</v>
      </c>
      <c r="H7" s="157">
        <f>F7*G7</f>
        <v>2</v>
      </c>
    </row>
    <row r="8" spans="2:11" x14ac:dyDescent="0.3">
      <c r="B8" s="205" t="s">
        <v>319</v>
      </c>
      <c r="C8" s="205"/>
      <c r="D8" s="205"/>
      <c r="E8" s="154" t="s">
        <v>157</v>
      </c>
      <c r="F8" s="154">
        <v>100</v>
      </c>
      <c r="G8" s="157">
        <v>1.85</v>
      </c>
      <c r="H8" s="157">
        <f>+G8*F8/34</f>
        <v>5.4411764705882355</v>
      </c>
    </row>
    <row r="9" spans="2:11" x14ac:dyDescent="0.3">
      <c r="G9" s="157"/>
      <c r="H9" s="157"/>
    </row>
    <row r="10" spans="2:11" x14ac:dyDescent="0.3">
      <c r="B10" s="158" t="s">
        <v>210</v>
      </c>
      <c r="C10" s="158"/>
      <c r="D10" s="158"/>
      <c r="E10" s="158"/>
      <c r="F10" s="158"/>
      <c r="G10" s="159"/>
      <c r="H10" s="159">
        <f>SUM(H7:H8)</f>
        <v>7.4411764705882355</v>
      </c>
    </row>
    <row r="11" spans="2:11" x14ac:dyDescent="0.3">
      <c r="B11" s="158"/>
      <c r="C11" s="158"/>
      <c r="D11" s="158"/>
      <c r="E11" s="158"/>
      <c r="F11" s="158"/>
      <c r="G11" s="159"/>
      <c r="H11" s="159"/>
    </row>
    <row r="12" spans="2:11" x14ac:dyDescent="0.3">
      <c r="B12" s="158"/>
      <c r="C12" s="158"/>
      <c r="D12" s="158"/>
      <c r="E12" s="158"/>
      <c r="F12" s="158"/>
      <c r="G12" s="159"/>
      <c r="H12" s="159"/>
    </row>
    <row r="13" spans="2:11" x14ac:dyDescent="0.3">
      <c r="B13" s="193" t="s">
        <v>315</v>
      </c>
      <c r="C13" s="193"/>
      <c r="D13" s="193"/>
      <c r="E13" s="193"/>
      <c r="F13" s="193"/>
      <c r="G13" s="193"/>
      <c r="H13" s="193"/>
      <c r="I13" s="232" t="s">
        <v>313</v>
      </c>
      <c r="J13" s="232"/>
      <c r="K13" s="232"/>
    </row>
    <row r="15" spans="2:11" x14ac:dyDescent="0.3">
      <c r="B15" s="155" t="s">
        <v>7</v>
      </c>
      <c r="C15" s="155"/>
      <c r="D15" s="155"/>
      <c r="E15" s="156" t="s">
        <v>215</v>
      </c>
      <c r="F15" s="156" t="s">
        <v>180</v>
      </c>
      <c r="G15" s="156" t="s">
        <v>177</v>
      </c>
      <c r="H15" s="156" t="s">
        <v>79</v>
      </c>
    </row>
    <row r="16" spans="2:11" x14ac:dyDescent="0.3">
      <c r="B16" s="205" t="s">
        <v>316</v>
      </c>
      <c r="C16" s="205"/>
      <c r="D16" s="205"/>
      <c r="E16" s="160" t="s">
        <v>70</v>
      </c>
      <c r="F16" s="161">
        <f>+Main!H29*Main!H30</f>
        <v>928</v>
      </c>
      <c r="G16" s="162">
        <v>0.02</v>
      </c>
      <c r="H16" s="161">
        <f>+G16*F16</f>
        <v>18.559999999999999</v>
      </c>
    </row>
    <row r="17" spans="2:8" x14ac:dyDescent="0.3">
      <c r="B17" s="205" t="s">
        <v>317</v>
      </c>
      <c r="C17" s="205"/>
      <c r="D17" s="205"/>
      <c r="E17" s="160" t="s">
        <v>318</v>
      </c>
      <c r="F17" s="154">
        <v>1</v>
      </c>
      <c r="G17" s="163">
        <v>1</v>
      </c>
      <c r="H17" s="161">
        <f>+G17*F17</f>
        <v>1</v>
      </c>
    </row>
    <row r="18" spans="2:8" x14ac:dyDescent="0.3">
      <c r="B18" s="205" t="s">
        <v>319</v>
      </c>
      <c r="C18" s="205"/>
      <c r="D18" s="205"/>
      <c r="E18" s="154" t="s">
        <v>336</v>
      </c>
      <c r="F18" s="154">
        <v>100</v>
      </c>
      <c r="G18" s="163">
        <v>1.85</v>
      </c>
      <c r="H18" s="157">
        <f>+G18*F18/24</f>
        <v>7.708333333333333</v>
      </c>
    </row>
    <row r="19" spans="2:8" x14ac:dyDescent="0.3">
      <c r="B19" s="231"/>
      <c r="C19" s="231"/>
      <c r="D19" s="231"/>
    </row>
    <row r="20" spans="2:8" x14ac:dyDescent="0.3">
      <c r="B20" s="210" t="s">
        <v>320</v>
      </c>
      <c r="C20" s="210"/>
      <c r="D20" s="210"/>
      <c r="E20" s="158"/>
      <c r="F20" s="158"/>
      <c r="G20" s="158"/>
      <c r="H20" s="164">
        <f>+SUM(H16:H18)</f>
        <v>27.268333333333331</v>
      </c>
    </row>
  </sheetData>
  <mergeCells count="11">
    <mergeCell ref="B7:D7"/>
    <mergeCell ref="B17:D17"/>
    <mergeCell ref="B18:D18"/>
    <mergeCell ref="B19:D19"/>
    <mergeCell ref="B20:D20"/>
    <mergeCell ref="I2:K2"/>
    <mergeCell ref="B16:D16"/>
    <mergeCell ref="B3:H3"/>
    <mergeCell ref="B13:H13"/>
    <mergeCell ref="I13:K13"/>
    <mergeCell ref="B8:D8"/>
  </mergeCells>
  <phoneticPr fontId="0" type="noConversion"/>
  <hyperlinks>
    <hyperlink ref="I2:K2" location="Main!A36" display="Return to Main Budget"/>
    <hyperlink ref="I13:K13" location="Main!A49" display="Return to Main Budget"/>
  </hyperlinks>
  <printOptions horizontalCentered="1"/>
  <pageMargins left="0.75" right="0.75" top="1" bottom="1" header="0.5" footer="0.5"/>
  <headerFooter alignWithMargins="0">
    <oddHeader>&amp;L&amp;"Arial"&amp;10@&amp;C&amp;"Arial"&amp;10 Total Cost Budget&amp;R&amp;"Arial"&amp;10 Page &amp;N+1</oddHeader>
    <oddFooter>&amp;C&amp;"Arial"&amp;10Extension Ag Econ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3:J46"/>
  <sheetViews>
    <sheetView workbookViewId="0">
      <selection activeCell="B3" sqref="B3:J47"/>
    </sheetView>
  </sheetViews>
  <sheetFormatPr defaultColWidth="8.42578125" defaultRowHeight="12.75" x14ac:dyDescent="0.2"/>
  <cols>
    <col min="1" max="1" width="1.140625" style="6" customWidth="1"/>
    <col min="2" max="2" width="9.28515625" style="6" customWidth="1"/>
    <col min="3" max="3" width="4.140625" style="6" customWidth="1"/>
    <col min="4" max="4" width="11.42578125" style="6" customWidth="1"/>
    <col min="5" max="5" width="9.28515625" style="6" customWidth="1"/>
    <col min="6" max="10" width="12.7109375" style="6" customWidth="1"/>
    <col min="11" max="16384" width="8.42578125" style="6"/>
  </cols>
  <sheetData>
    <row r="3" spans="2:10" x14ac:dyDescent="0.2">
      <c r="B3" s="15" t="s">
        <v>136</v>
      </c>
      <c r="C3" s="15"/>
      <c r="D3" s="15"/>
      <c r="E3" s="15"/>
      <c r="F3" s="15"/>
      <c r="G3" s="15"/>
      <c r="H3" s="15"/>
      <c r="I3" s="15"/>
      <c r="J3" s="15"/>
    </row>
    <row r="4" spans="2:10" x14ac:dyDescent="0.2">
      <c r="B4" s="25" t="s">
        <v>72</v>
      </c>
      <c r="C4" s="25"/>
      <c r="D4" s="25"/>
      <c r="E4" s="28"/>
      <c r="F4" s="25"/>
      <c r="G4" s="25"/>
      <c r="H4" s="25"/>
      <c r="I4" s="25"/>
      <c r="J4" s="25"/>
    </row>
    <row r="6" spans="2:10" x14ac:dyDescent="0.2">
      <c r="D6" s="228" t="s">
        <v>163</v>
      </c>
      <c r="E6" s="228"/>
      <c r="F6" s="228"/>
      <c r="G6" s="30">
        <v>130</v>
      </c>
    </row>
    <row r="7" spans="2:10" x14ac:dyDescent="0.2">
      <c r="D7" s="228" t="s">
        <v>162</v>
      </c>
      <c r="E7" s="228"/>
      <c r="F7" s="228"/>
      <c r="G7" s="30">
        <v>100</v>
      </c>
      <c r="J7" s="27" t="s">
        <v>263</v>
      </c>
    </row>
    <row r="8" spans="2:10" x14ac:dyDescent="0.2">
      <c r="D8" s="228" t="s">
        <v>135</v>
      </c>
      <c r="E8" s="228"/>
      <c r="F8" s="228"/>
      <c r="G8" s="111">
        <v>0.08</v>
      </c>
    </row>
    <row r="10" spans="2:10" x14ac:dyDescent="0.2">
      <c r="B10" s="15"/>
      <c r="C10" s="15"/>
      <c r="D10" s="15" t="s">
        <v>71</v>
      </c>
      <c r="E10" s="15"/>
      <c r="F10" s="20"/>
      <c r="G10" s="20" t="s">
        <v>184</v>
      </c>
      <c r="H10" s="20" t="s">
        <v>222</v>
      </c>
      <c r="I10" s="20" t="s">
        <v>84</v>
      </c>
      <c r="J10" s="20"/>
    </row>
    <row r="11" spans="2:10" x14ac:dyDescent="0.2">
      <c r="B11" s="15" t="s">
        <v>26</v>
      </c>
      <c r="C11" s="15"/>
      <c r="D11" s="15" t="s">
        <v>194</v>
      </c>
      <c r="E11" s="15"/>
      <c r="F11" s="20" t="s">
        <v>96</v>
      </c>
      <c r="G11" s="20" t="s">
        <v>216</v>
      </c>
      <c r="H11" s="20" t="s">
        <v>142</v>
      </c>
      <c r="I11" s="20" t="s">
        <v>103</v>
      </c>
      <c r="J11" s="20" t="s">
        <v>197</v>
      </c>
    </row>
    <row r="12" spans="2:10" x14ac:dyDescent="0.2">
      <c r="B12" s="6" t="s">
        <v>91</v>
      </c>
      <c r="E12" s="6" t="s">
        <v>9</v>
      </c>
      <c r="H12" s="21" t="s">
        <v>10</v>
      </c>
      <c r="I12" s="21" t="s">
        <v>62</v>
      </c>
    </row>
    <row r="13" spans="2:10" x14ac:dyDescent="0.2">
      <c r="B13" s="6" t="s">
        <v>120</v>
      </c>
      <c r="E13" s="17">
        <v>1</v>
      </c>
      <c r="F13" s="19">
        <f>1.8*1800</f>
        <v>3240</v>
      </c>
      <c r="G13" s="19">
        <v>0</v>
      </c>
      <c r="H13" s="26">
        <v>15</v>
      </c>
      <c r="I13" s="19">
        <f t="shared" ref="I13:I19" si="0">IF(F13&gt;0,E13*(F13-G13)/H13,0)</f>
        <v>216</v>
      </c>
      <c r="J13" s="19"/>
    </row>
    <row r="14" spans="2:10" x14ac:dyDescent="0.2">
      <c r="B14" s="6" t="s">
        <v>95</v>
      </c>
      <c r="E14" s="17">
        <v>1</v>
      </c>
      <c r="F14" s="19">
        <v>2200</v>
      </c>
      <c r="G14" s="19">
        <v>0</v>
      </c>
      <c r="H14" s="26">
        <v>10</v>
      </c>
      <c r="I14" s="19">
        <f t="shared" si="0"/>
        <v>220</v>
      </c>
      <c r="J14" s="19"/>
    </row>
    <row r="15" spans="2:10" x14ac:dyDescent="0.2">
      <c r="B15" s="6" t="s">
        <v>115</v>
      </c>
      <c r="E15" s="17">
        <v>1</v>
      </c>
      <c r="F15" s="19">
        <v>2070</v>
      </c>
      <c r="G15" s="19">
        <v>0</v>
      </c>
      <c r="H15" s="26">
        <v>10</v>
      </c>
      <c r="I15" s="19">
        <f t="shared" si="0"/>
        <v>207</v>
      </c>
      <c r="J15" s="19"/>
    </row>
    <row r="16" spans="2:10" x14ac:dyDescent="0.2">
      <c r="B16" s="6" t="s">
        <v>159</v>
      </c>
      <c r="E16" s="17">
        <v>1</v>
      </c>
      <c r="F16" s="19">
        <v>500</v>
      </c>
      <c r="G16" s="19">
        <v>0</v>
      </c>
      <c r="H16" s="26">
        <v>10</v>
      </c>
      <c r="I16" s="19">
        <f t="shared" si="0"/>
        <v>50</v>
      </c>
      <c r="J16" s="19"/>
    </row>
    <row r="17" spans="2:10" x14ac:dyDescent="0.2">
      <c r="B17" s="6" t="s">
        <v>171</v>
      </c>
      <c r="E17" s="17">
        <v>0</v>
      </c>
      <c r="F17" s="19">
        <v>0</v>
      </c>
      <c r="G17" s="19">
        <v>0</v>
      </c>
      <c r="H17" s="26">
        <v>0</v>
      </c>
      <c r="I17" s="19">
        <f t="shared" si="0"/>
        <v>0</v>
      </c>
      <c r="J17" s="19"/>
    </row>
    <row r="18" spans="2:10" x14ac:dyDescent="0.2">
      <c r="B18" s="6" t="s">
        <v>171</v>
      </c>
      <c r="E18" s="17">
        <v>0</v>
      </c>
      <c r="F18" s="19">
        <v>0</v>
      </c>
      <c r="G18" s="19">
        <v>0</v>
      </c>
      <c r="H18" s="26">
        <v>0</v>
      </c>
      <c r="I18" s="19">
        <f t="shared" si="0"/>
        <v>0</v>
      </c>
      <c r="J18" s="19"/>
    </row>
    <row r="19" spans="2:10" x14ac:dyDescent="0.2">
      <c r="B19" s="6" t="s">
        <v>171</v>
      </c>
      <c r="E19" s="17">
        <v>0</v>
      </c>
      <c r="F19" s="19">
        <v>0</v>
      </c>
      <c r="G19" s="19">
        <v>0</v>
      </c>
      <c r="H19" s="26">
        <v>0</v>
      </c>
      <c r="I19" s="19">
        <f t="shared" si="0"/>
        <v>0</v>
      </c>
      <c r="J19" s="19"/>
    </row>
    <row r="20" spans="2:10" x14ac:dyDescent="0.2">
      <c r="B20" s="6" t="s">
        <v>151</v>
      </c>
      <c r="F20" s="19"/>
      <c r="G20" s="19"/>
      <c r="I20" s="19"/>
      <c r="J20" s="19"/>
    </row>
    <row r="21" spans="2:10" x14ac:dyDescent="0.2">
      <c r="B21" s="6" t="s">
        <v>214</v>
      </c>
      <c r="E21" s="17">
        <v>0.08</v>
      </c>
      <c r="F21" s="19">
        <v>25000</v>
      </c>
      <c r="G21" s="19">
        <v>10000</v>
      </c>
      <c r="H21" s="26">
        <v>10</v>
      </c>
      <c r="I21" s="19">
        <f t="shared" ref="I21:I27" si="1">IF(F21&gt;0,E21*(F21-G21)/H21,0)</f>
        <v>120</v>
      </c>
      <c r="J21" s="19"/>
    </row>
    <row r="22" spans="2:10" x14ac:dyDescent="0.2">
      <c r="B22" s="6" t="s">
        <v>123</v>
      </c>
      <c r="E22" s="17">
        <v>1</v>
      </c>
      <c r="F22" s="19">
        <v>5000</v>
      </c>
      <c r="G22" s="19">
        <v>1000</v>
      </c>
      <c r="H22" s="26">
        <v>10</v>
      </c>
      <c r="I22" s="19">
        <f t="shared" si="1"/>
        <v>400</v>
      </c>
      <c r="J22" s="19"/>
    </row>
    <row r="23" spans="2:10" x14ac:dyDescent="0.2">
      <c r="B23" s="6" t="s">
        <v>105</v>
      </c>
      <c r="E23" s="17">
        <v>0.25</v>
      </c>
      <c r="F23" s="19">
        <v>6500</v>
      </c>
      <c r="G23" s="19">
        <f>0.2*F23</f>
        <v>1300</v>
      </c>
      <c r="H23" s="26">
        <v>10</v>
      </c>
      <c r="I23" s="19">
        <f t="shared" si="1"/>
        <v>130</v>
      </c>
      <c r="J23" s="19"/>
    </row>
    <row r="24" spans="2:10" x14ac:dyDescent="0.2">
      <c r="B24" s="6" t="s">
        <v>176</v>
      </c>
      <c r="E24" s="17">
        <v>0.25</v>
      </c>
      <c r="F24" s="19">
        <v>7000</v>
      </c>
      <c r="G24" s="19">
        <f>0.2*F24</f>
        <v>1400</v>
      </c>
      <c r="H24" s="26">
        <v>10</v>
      </c>
      <c r="I24" s="19">
        <f t="shared" si="1"/>
        <v>140</v>
      </c>
      <c r="J24" s="19"/>
    </row>
    <row r="25" spans="2:10" x14ac:dyDescent="0.2">
      <c r="B25" s="6" t="s">
        <v>172</v>
      </c>
      <c r="E25" s="17">
        <v>0</v>
      </c>
      <c r="F25" s="19">
        <v>0</v>
      </c>
      <c r="G25" s="19">
        <v>0</v>
      </c>
      <c r="H25" s="26">
        <v>0</v>
      </c>
      <c r="I25" s="19">
        <f t="shared" si="1"/>
        <v>0</v>
      </c>
      <c r="J25" s="19"/>
    </row>
    <row r="26" spans="2:10" x14ac:dyDescent="0.2">
      <c r="B26" s="6" t="s">
        <v>171</v>
      </c>
      <c r="E26" s="17">
        <v>0</v>
      </c>
      <c r="F26" s="19">
        <v>0</v>
      </c>
      <c r="G26" s="19">
        <v>0</v>
      </c>
      <c r="H26" s="26">
        <v>0</v>
      </c>
      <c r="I26" s="19">
        <f t="shared" si="1"/>
        <v>0</v>
      </c>
      <c r="J26" s="19"/>
    </row>
    <row r="27" spans="2:10" x14ac:dyDescent="0.2">
      <c r="B27" s="6" t="s">
        <v>139</v>
      </c>
      <c r="E27" s="17">
        <v>0</v>
      </c>
      <c r="F27" s="19">
        <v>50000</v>
      </c>
      <c r="G27" s="19">
        <v>50000</v>
      </c>
      <c r="H27" s="26">
        <v>30</v>
      </c>
      <c r="I27" s="19">
        <f t="shared" si="1"/>
        <v>0</v>
      </c>
      <c r="J27" s="19"/>
    </row>
    <row r="28" spans="2:10" x14ac:dyDescent="0.2">
      <c r="F28" s="19"/>
      <c r="G28" s="19"/>
      <c r="I28" s="19"/>
      <c r="J28" s="19"/>
    </row>
    <row r="29" spans="2:10" x14ac:dyDescent="0.2">
      <c r="F29" s="19"/>
      <c r="G29" s="19"/>
      <c r="I29" s="19"/>
      <c r="J29" s="19"/>
    </row>
    <row r="30" spans="2:10" x14ac:dyDescent="0.2">
      <c r="B30" s="6" t="s">
        <v>204</v>
      </c>
      <c r="F30" s="19">
        <f>+F13*E13+F14*E14+F15*E15+F16*E16+F17*E17+F18*E18+F19*E19</f>
        <v>8010</v>
      </c>
      <c r="G30" s="19">
        <f>+G13*E13+G14*E14+G15*E15+G16*E16+E17*G17+E18*G18+E19*G19</f>
        <v>0</v>
      </c>
      <c r="I30" s="19"/>
      <c r="J30" s="19"/>
    </row>
    <row r="31" spans="2:10" x14ac:dyDescent="0.2">
      <c r="B31" s="6" t="s">
        <v>209</v>
      </c>
      <c r="F31" s="19">
        <f>+F21*E21+F22*E22+F23*E23+F24*E24+F25*E25+F26*E26+F27*E27</f>
        <v>10375</v>
      </c>
      <c r="G31" s="19">
        <f>+G21*E21+G22*E22+G23*E23+G24*E24+G25*E25+G26*E26+G27*E27</f>
        <v>2475</v>
      </c>
      <c r="I31" s="19"/>
      <c r="J31" s="19"/>
    </row>
    <row r="32" spans="2:10" x14ac:dyDescent="0.2">
      <c r="I32" s="19"/>
      <c r="J32" s="19"/>
    </row>
    <row r="33" spans="2:10" x14ac:dyDescent="0.2">
      <c r="B33" s="6" t="s">
        <v>203</v>
      </c>
      <c r="I33" s="19"/>
      <c r="J33" s="38">
        <f>SUM(I13:I19)</f>
        <v>693</v>
      </c>
    </row>
    <row r="34" spans="2:10" x14ac:dyDescent="0.2">
      <c r="B34" s="6" t="s">
        <v>208</v>
      </c>
      <c r="I34" s="19"/>
      <c r="J34" s="38">
        <f>SUM(I21:I27)</f>
        <v>790</v>
      </c>
    </row>
    <row r="35" spans="2:10" x14ac:dyDescent="0.2">
      <c r="I35" s="19"/>
      <c r="J35" s="38"/>
    </row>
    <row r="36" spans="2:10" x14ac:dyDescent="0.2">
      <c r="B36" s="6" t="s">
        <v>132</v>
      </c>
      <c r="I36" s="19"/>
      <c r="J36" s="38">
        <f>AVERAGE(F30:G30)*G8</f>
        <v>320.40000000000003</v>
      </c>
    </row>
    <row r="37" spans="2:10" x14ac:dyDescent="0.2">
      <c r="B37" s="6" t="s">
        <v>133</v>
      </c>
      <c r="I37" s="19"/>
      <c r="J37" s="38">
        <f>AVERAGE(F31:G31)*G8</f>
        <v>514</v>
      </c>
    </row>
    <row r="38" spans="2:10" x14ac:dyDescent="0.2">
      <c r="I38" s="19"/>
      <c r="J38" s="38"/>
    </row>
    <row r="39" spans="2:10" x14ac:dyDescent="0.2">
      <c r="B39" s="39" t="s">
        <v>90</v>
      </c>
      <c r="C39" s="39"/>
      <c r="D39" s="39"/>
      <c r="E39" s="39"/>
      <c r="F39" s="39" t="s">
        <v>63</v>
      </c>
      <c r="G39" s="39"/>
      <c r="H39" s="39">
        <v>1.4E-2</v>
      </c>
      <c r="I39" s="112"/>
      <c r="J39" s="40">
        <f>AVERAGE(F30:G30)*H39</f>
        <v>56.07</v>
      </c>
    </row>
    <row r="40" spans="2:10" x14ac:dyDescent="0.2">
      <c r="B40" s="39" t="s">
        <v>150</v>
      </c>
      <c r="C40" s="39"/>
      <c r="D40" s="39"/>
      <c r="E40" s="39"/>
      <c r="F40" s="39" t="s">
        <v>63</v>
      </c>
      <c r="G40" s="39"/>
      <c r="H40" s="39">
        <v>1.4E-2</v>
      </c>
      <c r="I40" s="112"/>
      <c r="J40" s="40">
        <f>AVERAGE(F31:G31)*H40</f>
        <v>89.95</v>
      </c>
    </row>
    <row r="41" spans="2:10" x14ac:dyDescent="0.2">
      <c r="I41" s="19"/>
      <c r="J41" s="38"/>
    </row>
    <row r="42" spans="2:10" x14ac:dyDescent="0.2">
      <c r="B42" s="6" t="s">
        <v>199</v>
      </c>
      <c r="I42" s="19"/>
      <c r="J42" s="38">
        <f>SUM(J33:J40)</f>
        <v>2463.42</v>
      </c>
    </row>
    <row r="43" spans="2:10" x14ac:dyDescent="0.2">
      <c r="I43" s="19"/>
      <c r="J43" s="38"/>
    </row>
    <row r="44" spans="2:10" ht="25.5" x14ac:dyDescent="0.2">
      <c r="I44" s="114" t="s">
        <v>330</v>
      </c>
      <c r="J44" s="38" t="s">
        <v>247</v>
      </c>
    </row>
    <row r="45" spans="2:10" x14ac:dyDescent="0.2">
      <c r="B45" s="6" t="s">
        <v>264</v>
      </c>
      <c r="I45" s="38">
        <f>+cattle_fixed/sold</f>
        <v>10.802727272727273</v>
      </c>
      <c r="J45" s="38">
        <f>SUM(J33,J36,J39)</f>
        <v>1069.47</v>
      </c>
    </row>
    <row r="46" spans="2:10" x14ac:dyDescent="0.2">
      <c r="B46" s="6" t="s">
        <v>202</v>
      </c>
      <c r="I46" s="38">
        <f>+mach_fixed/ACRES</f>
        <v>27.879000000000001</v>
      </c>
      <c r="J46" s="38">
        <f>SUM(J34,J37,J40)</f>
        <v>1393.95</v>
      </c>
    </row>
  </sheetData>
  <mergeCells count="3">
    <mergeCell ref="D7:F7"/>
    <mergeCell ref="D8:F8"/>
    <mergeCell ref="D6:F6"/>
  </mergeCells>
  <phoneticPr fontId="0" type="noConversion"/>
  <hyperlinks>
    <hyperlink ref="J7" location="Main!B45" display="Return to Budget"/>
  </hyperlinks>
  <printOptions horizontalCentered="1"/>
  <pageMargins left="0.75" right="0.75" top="1" bottom="1" header="0.5" footer="0.5"/>
  <pageSetup scale="84" fitToHeight="0" orientation="portrait" r:id="rId1"/>
  <headerFooter alignWithMargins="0">
    <oddHeader>&amp;C Total Cost Budget</oddHeader>
    <oddFooter>&amp;CUGA Extension Agricultural and Applied Economics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2:J42"/>
  <sheetViews>
    <sheetView workbookViewId="0">
      <selection activeCell="B3" sqref="B3:J43"/>
    </sheetView>
  </sheetViews>
  <sheetFormatPr defaultColWidth="8.42578125" defaultRowHeight="12.75" x14ac:dyDescent="0.2"/>
  <cols>
    <col min="1" max="1" width="0.85546875" style="6" customWidth="1"/>
    <col min="2" max="4" width="9.28515625" style="6" customWidth="1"/>
    <col min="5" max="10" width="12.7109375" style="6" customWidth="1"/>
    <col min="11" max="16384" width="8.42578125" style="6"/>
  </cols>
  <sheetData>
    <row r="2" spans="2:10" x14ac:dyDescent="0.2">
      <c r="B2" s="233" t="s">
        <v>263</v>
      </c>
      <c r="C2" s="233"/>
      <c r="D2" s="233"/>
    </row>
    <row r="3" spans="2:10" x14ac:dyDescent="0.2">
      <c r="B3" s="15" t="s">
        <v>80</v>
      </c>
      <c r="C3" s="15"/>
      <c r="D3" s="15"/>
      <c r="E3" s="15"/>
      <c r="F3" s="15"/>
      <c r="G3" s="15"/>
      <c r="H3" s="15"/>
      <c r="I3" s="15"/>
      <c r="J3" s="15"/>
    </row>
    <row r="4" spans="2:10" x14ac:dyDescent="0.2">
      <c r="B4" s="28" t="s">
        <v>93</v>
      </c>
      <c r="C4" s="15"/>
      <c r="D4" s="15"/>
      <c r="E4" s="29"/>
      <c r="F4" s="15"/>
      <c r="G4" s="15"/>
      <c r="H4" s="15"/>
      <c r="I4" s="15"/>
      <c r="J4" s="15"/>
    </row>
    <row r="5" spans="2:10" x14ac:dyDescent="0.2">
      <c r="B5" s="228"/>
      <c r="C5" s="228"/>
      <c r="D5" s="228"/>
    </row>
    <row r="6" spans="2:10" x14ac:dyDescent="0.2">
      <c r="E6" s="6" t="s">
        <v>162</v>
      </c>
      <c r="G6" s="30">
        <v>100</v>
      </c>
    </row>
    <row r="7" spans="2:10" x14ac:dyDescent="0.2">
      <c r="E7" s="6" t="s">
        <v>164</v>
      </c>
      <c r="G7" s="31">
        <f>+sold</f>
        <v>99</v>
      </c>
    </row>
    <row r="10" spans="2:10" x14ac:dyDescent="0.2">
      <c r="B10" s="6" t="s">
        <v>102</v>
      </c>
    </row>
    <row r="11" spans="2:10" x14ac:dyDescent="0.2">
      <c r="B11" s="6" t="s">
        <v>74</v>
      </c>
    </row>
    <row r="12" spans="2:10" x14ac:dyDescent="0.2">
      <c r="B12" s="15"/>
      <c r="C12" s="15"/>
      <c r="D12" s="20" t="s">
        <v>0</v>
      </c>
      <c r="E12" s="20" t="s">
        <v>215</v>
      </c>
      <c r="F12" s="20" t="s">
        <v>197</v>
      </c>
      <c r="G12" s="15" t="s">
        <v>13</v>
      </c>
      <c r="H12" s="15"/>
      <c r="I12" s="15"/>
      <c r="J12" s="15"/>
    </row>
    <row r="13" spans="2:10" x14ac:dyDescent="0.2">
      <c r="B13" s="15" t="s">
        <v>137</v>
      </c>
      <c r="C13" s="15"/>
      <c r="D13" s="20" t="s">
        <v>165</v>
      </c>
      <c r="E13" s="20" t="s">
        <v>96</v>
      </c>
      <c r="F13" s="20" t="s">
        <v>96</v>
      </c>
      <c r="G13" s="23" t="s">
        <v>79</v>
      </c>
      <c r="H13" s="23" t="s">
        <v>221</v>
      </c>
      <c r="I13" s="20" t="s">
        <v>131</v>
      </c>
      <c r="J13" s="20" t="s">
        <v>173</v>
      </c>
    </row>
    <row r="14" spans="2:10" x14ac:dyDescent="0.2">
      <c r="B14" s="6" t="s">
        <v>24</v>
      </c>
    </row>
    <row r="15" spans="2:10" x14ac:dyDescent="0.2">
      <c r="B15" s="6" t="s">
        <v>119</v>
      </c>
      <c r="D15" s="6">
        <v>1.8</v>
      </c>
      <c r="E15" s="19">
        <v>1800</v>
      </c>
      <c r="F15" s="19">
        <f>D15*E15</f>
        <v>3240</v>
      </c>
      <c r="G15" s="17">
        <v>0.5</v>
      </c>
      <c r="H15" s="22">
        <v>7</v>
      </c>
      <c r="I15" s="32">
        <v>0.11</v>
      </c>
      <c r="J15" s="19">
        <f>PMT(I15,H15,-F15*G15)</f>
        <v>343.78873650915824</v>
      </c>
    </row>
    <row r="16" spans="2:10" x14ac:dyDescent="0.2">
      <c r="B16" s="6" t="s">
        <v>94</v>
      </c>
      <c r="E16" s="19" t="s">
        <v>0</v>
      </c>
      <c r="F16" s="19" t="s">
        <v>0</v>
      </c>
      <c r="G16" s="17" t="s">
        <v>0</v>
      </c>
      <c r="H16" s="22" t="s">
        <v>0</v>
      </c>
      <c r="I16" s="32" t="s">
        <v>0</v>
      </c>
      <c r="J16" s="19"/>
    </row>
    <row r="17" spans="2:10" x14ac:dyDescent="0.2">
      <c r="B17" s="6" t="s">
        <v>144</v>
      </c>
      <c r="E17" s="19" t="s">
        <v>0</v>
      </c>
      <c r="F17" s="19">
        <v>2200</v>
      </c>
      <c r="G17" s="17">
        <v>0.5</v>
      </c>
      <c r="H17" s="22">
        <v>7</v>
      </c>
      <c r="I17" s="32">
        <v>0.11</v>
      </c>
      <c r="J17" s="19">
        <f>PMT(I17,H17,-F17*G17)</f>
        <v>233.43679639510745</v>
      </c>
    </row>
    <row r="18" spans="2:10" x14ac:dyDescent="0.2">
      <c r="B18" s="6" t="s">
        <v>114</v>
      </c>
      <c r="E18" s="19" t="s">
        <v>0</v>
      </c>
      <c r="F18" s="19">
        <f>9*G7</f>
        <v>891</v>
      </c>
      <c r="G18" s="17">
        <v>0.5</v>
      </c>
      <c r="H18" s="22">
        <v>7</v>
      </c>
      <c r="I18" s="32">
        <v>0.11</v>
      </c>
      <c r="J18" s="19">
        <f>PMT(I18,H18,-F18*G18)</f>
        <v>94.541902540018526</v>
      </c>
    </row>
    <row r="19" spans="2:10" x14ac:dyDescent="0.2">
      <c r="B19" s="6" t="s">
        <v>124</v>
      </c>
      <c r="E19" s="19"/>
      <c r="F19" s="19">
        <v>7000</v>
      </c>
      <c r="G19" s="17">
        <v>0.5</v>
      </c>
      <c r="H19" s="22">
        <v>7</v>
      </c>
      <c r="I19" s="32">
        <v>0.11</v>
      </c>
      <c r="J19" s="19">
        <f>PMT(I19,H19,-F19*G19)</f>
        <v>742.75344307534192</v>
      </c>
    </row>
    <row r="20" spans="2:10" x14ac:dyDescent="0.2">
      <c r="B20" s="6" t="s">
        <v>122</v>
      </c>
      <c r="E20" s="19"/>
      <c r="F20" s="19">
        <v>2300</v>
      </c>
      <c r="G20" s="17">
        <v>0.5</v>
      </c>
      <c r="H20" s="22">
        <v>7</v>
      </c>
      <c r="I20" s="32">
        <v>0.11</v>
      </c>
      <c r="J20" s="19">
        <f>PMT(I20,H20,-F20*G20)</f>
        <v>244.04755986761234</v>
      </c>
    </row>
    <row r="21" spans="2:10" x14ac:dyDescent="0.2">
      <c r="B21" s="6" t="s">
        <v>158</v>
      </c>
      <c r="E21" s="19" t="s">
        <v>0</v>
      </c>
      <c r="F21" s="19">
        <v>400</v>
      </c>
      <c r="G21" s="17">
        <v>0.5</v>
      </c>
      <c r="H21" s="22">
        <v>7</v>
      </c>
      <c r="I21" s="32">
        <v>0.11</v>
      </c>
      <c r="J21" s="19">
        <f>PMT(I21,H21,-F21*G21)</f>
        <v>42.443053890019534</v>
      </c>
    </row>
    <row r="22" spans="2:10" x14ac:dyDescent="0.2">
      <c r="E22" s="19" t="s">
        <v>0</v>
      </c>
      <c r="F22" s="19" t="s">
        <v>0</v>
      </c>
      <c r="G22" s="17" t="s">
        <v>0</v>
      </c>
      <c r="H22" s="22" t="s">
        <v>0</v>
      </c>
      <c r="I22" s="32" t="s">
        <v>0</v>
      </c>
      <c r="J22" s="19"/>
    </row>
    <row r="23" spans="2:10" x14ac:dyDescent="0.2">
      <c r="B23" s="6" t="s">
        <v>139</v>
      </c>
      <c r="D23" s="6">
        <f>Main!F18</f>
        <v>50</v>
      </c>
      <c r="E23" s="19">
        <v>500</v>
      </c>
      <c r="F23" s="19">
        <f>D23*E23</f>
        <v>25000</v>
      </c>
      <c r="G23" s="17">
        <v>0</v>
      </c>
      <c r="H23" s="22">
        <v>30</v>
      </c>
      <c r="I23" s="32">
        <v>0.1</v>
      </c>
      <c r="J23" s="19">
        <f>PMT(I23,H23,-F23*G23)</f>
        <v>0</v>
      </c>
    </row>
    <row r="24" spans="2:10" x14ac:dyDescent="0.2">
      <c r="F24" s="18" t="s">
        <v>0</v>
      </c>
      <c r="G24" s="17" t="s">
        <v>0</v>
      </c>
      <c r="H24" s="22" t="s">
        <v>0</v>
      </c>
      <c r="I24" s="32" t="s">
        <v>0</v>
      </c>
      <c r="J24" s="19"/>
    </row>
    <row r="25" spans="2:10" x14ac:dyDescent="0.2">
      <c r="B25" s="23" t="s">
        <v>85</v>
      </c>
      <c r="C25" s="23"/>
      <c r="D25" s="23"/>
      <c r="E25" s="23"/>
      <c r="F25" s="23"/>
      <c r="G25" s="33" t="s">
        <v>0</v>
      </c>
      <c r="H25" s="34" t="s">
        <v>0</v>
      </c>
      <c r="I25" s="35" t="s">
        <v>0</v>
      </c>
      <c r="J25" s="24">
        <f>SUM(J15:J23)</f>
        <v>1701.011492277258</v>
      </c>
    </row>
    <row r="26" spans="2:10" x14ac:dyDescent="0.2">
      <c r="J26" s="19" t="s">
        <v>0</v>
      </c>
    </row>
    <row r="27" spans="2:10" x14ac:dyDescent="0.2">
      <c r="J27" s="19"/>
    </row>
    <row r="28" spans="2:10" x14ac:dyDescent="0.2">
      <c r="B28" s="15" t="s">
        <v>97</v>
      </c>
      <c r="C28" s="15"/>
      <c r="D28" s="15"/>
      <c r="E28" s="15"/>
      <c r="F28" s="15"/>
      <c r="G28" s="15"/>
      <c r="H28" s="15"/>
      <c r="I28" s="15"/>
      <c r="J28" s="36"/>
    </row>
    <row r="29" spans="2:10" x14ac:dyDescent="0.2">
      <c r="B29" s="25" t="s">
        <v>75</v>
      </c>
      <c r="C29" s="25"/>
      <c r="D29" s="25"/>
      <c r="E29" s="25"/>
      <c r="F29" s="25"/>
      <c r="G29" s="25"/>
      <c r="H29" s="25"/>
      <c r="I29" s="25"/>
      <c r="J29" s="37"/>
    </row>
    <row r="30" spans="2:10" x14ac:dyDescent="0.2">
      <c r="J30" s="19"/>
    </row>
    <row r="31" spans="2:10" x14ac:dyDescent="0.2">
      <c r="B31" s="6" t="s">
        <v>145</v>
      </c>
      <c r="J31" s="19">
        <v>0</v>
      </c>
    </row>
    <row r="32" spans="2:10" x14ac:dyDescent="0.2">
      <c r="B32" s="6" t="s">
        <v>146</v>
      </c>
      <c r="J32" s="19">
        <v>0</v>
      </c>
    </row>
    <row r="33" spans="2:10" x14ac:dyDescent="0.2">
      <c r="B33" s="6" t="s">
        <v>147</v>
      </c>
      <c r="J33" s="19">
        <v>0</v>
      </c>
    </row>
    <row r="34" spans="2:10" x14ac:dyDescent="0.2">
      <c r="B34" s="6" t="s">
        <v>148</v>
      </c>
      <c r="J34" s="19">
        <v>0</v>
      </c>
    </row>
    <row r="35" spans="2:10" x14ac:dyDescent="0.2">
      <c r="B35" s="6" t="s">
        <v>149</v>
      </c>
      <c r="J35" s="19">
        <v>0</v>
      </c>
    </row>
    <row r="36" spans="2:10" x14ac:dyDescent="0.2">
      <c r="J36" s="19"/>
    </row>
    <row r="37" spans="2:10" x14ac:dyDescent="0.2">
      <c r="E37" s="6" t="s">
        <v>198</v>
      </c>
      <c r="J37" s="38">
        <f>SUM(J25:J36)</f>
        <v>1701.011492277258</v>
      </c>
    </row>
    <row r="38" spans="2:10" x14ac:dyDescent="0.2">
      <c r="J38" s="38"/>
    </row>
    <row r="39" spans="2:10" x14ac:dyDescent="0.2">
      <c r="E39" s="39" t="s">
        <v>191</v>
      </c>
      <c r="F39" s="39"/>
      <c r="G39" s="39"/>
      <c r="H39" s="39"/>
      <c r="I39" s="39"/>
      <c r="J39" s="40">
        <f>+Fixed_Cost!J29</f>
        <v>0</v>
      </c>
    </row>
    <row r="40" spans="2:10" x14ac:dyDescent="0.2">
      <c r="J40" s="38"/>
    </row>
    <row r="41" spans="2:10" x14ac:dyDescent="0.2">
      <c r="E41" s="6" t="s">
        <v>200</v>
      </c>
      <c r="J41" s="38">
        <f>SUM(J37:J39)</f>
        <v>1701.011492277258</v>
      </c>
    </row>
    <row r="42" spans="2:10" x14ac:dyDescent="0.2">
      <c r="E42" s="6" t="s">
        <v>201</v>
      </c>
      <c r="J42" s="38">
        <f>+J41/G7</f>
        <v>17.181934265426847</v>
      </c>
    </row>
  </sheetData>
  <mergeCells count="2">
    <mergeCell ref="B2:D2"/>
    <mergeCell ref="B5:D5"/>
  </mergeCells>
  <phoneticPr fontId="0" type="noConversion"/>
  <hyperlinks>
    <hyperlink ref="B2:D2" location="Main!B50" display="Return to Budget"/>
  </hyperlinks>
  <printOptions horizontalCentered="1"/>
  <pageMargins left="0.75" right="0.75" top="1" bottom="1" header="0.5" footer="0.5"/>
  <pageSetup scale="86" fitToHeight="0" orientation="portrait" r:id="rId1"/>
  <headerFooter alignWithMargins="0">
    <oddHeader xml:space="preserve">&amp;CCash Flow Budget&amp;R </oddHeader>
    <oddFooter>&amp;CUGA Extension Agricultural and Applied Economics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"/>
  <sheetViews>
    <sheetView workbookViewId="0">
      <selection activeCell="H4" sqref="H4"/>
    </sheetView>
  </sheetViews>
  <sheetFormatPr defaultRowHeight="12.75" x14ac:dyDescent="0.2"/>
  <sheetData/>
  <phoneticPr fontId="0" type="noConversion"/>
  <printOptions horizontalCentered="1"/>
  <pageMargins left="0.75" right="0.75" top="1" bottom="1" header="0.5" footer="0.5"/>
  <headerFooter alignWithMargins="0">
    <oddHeader>&amp;L&amp;"Arial"&amp;10@&amp;C&amp;"Arial"&amp;10 Total Cost Budget&amp;R&amp;"Arial"&amp;10 Page &amp;N+1</oddHeader>
    <oddFooter>&amp;C&amp;"Arial"&amp;10Extension Ag Econ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"/>
  <sheetViews>
    <sheetView workbookViewId="0"/>
  </sheetViews>
  <sheetFormatPr defaultRowHeight="12.75" x14ac:dyDescent="0.2"/>
  <sheetData/>
  <phoneticPr fontId="0" type="noConversion"/>
  <printOptions horizontalCentered="1"/>
  <pageMargins left="0.75" right="0.75" top="1" bottom="1" header="0.5" footer="0.5"/>
  <headerFooter alignWithMargins="0">
    <oddHeader>&amp;L&amp;"Arial"&amp;10@&amp;C&amp;"Arial"&amp;10 Total Cost Budget&amp;R&amp;"Arial"&amp;10 Page &amp;N+1</oddHeader>
    <oddFooter>&amp;C&amp;"Arial"&amp;10Extension Ag Econ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88</vt:i4>
      </vt:variant>
    </vt:vector>
  </HeadingPairs>
  <TitlesOfParts>
    <vt:vector size="101" baseType="lpstr">
      <vt:lpstr>Instructions</vt:lpstr>
      <vt:lpstr>Main</vt:lpstr>
      <vt:lpstr>Winter Grazing</vt:lpstr>
      <vt:lpstr>Feed Cost</vt:lpstr>
      <vt:lpstr>Procurement</vt:lpstr>
      <vt:lpstr>Fixed_Cost</vt:lpstr>
      <vt:lpstr>Fixed_Payment</vt:lpstr>
      <vt:lpstr>G</vt:lpstr>
      <vt:lpstr>H</vt:lpstr>
      <vt:lpstr>I</vt:lpstr>
      <vt:lpstr>J</vt:lpstr>
      <vt:lpstr>K</vt:lpstr>
      <vt:lpstr>L</vt:lpstr>
      <vt:lpstr>'Winter Grazing'!\AUTOEXEC</vt:lpstr>
      <vt:lpstr>\AUTOEXEC</vt:lpstr>
      <vt:lpstr>\P</vt:lpstr>
      <vt:lpstr>'Winter Grazing'!\R</vt:lpstr>
      <vt:lpstr>\R</vt:lpstr>
      <vt:lpstr>ACRES</vt:lpstr>
      <vt:lpstr>ADP</vt:lpstr>
      <vt:lpstr>AFC</vt:lpstr>
      <vt:lpstr>AFP</vt:lpstr>
      <vt:lpstr>'Winter Grazing'!BERR</vt:lpstr>
      <vt:lpstr>BERR</vt:lpstr>
      <vt:lpstr>bsm</vt:lpstr>
      <vt:lpstr>'Winter Grazing'!BUD</vt:lpstr>
      <vt:lpstr>BUD</vt:lpstr>
      <vt:lpstr>bud_type</vt:lpstr>
      <vt:lpstr>CAF</vt:lpstr>
      <vt:lpstr>cattle_fixed</vt:lpstr>
      <vt:lpstr>cf_bud</vt:lpstr>
      <vt:lpstr>cf_total</vt:lpstr>
      <vt:lpstr>days</vt:lpstr>
      <vt:lpstr>'Winter Grazing'!ENR</vt:lpstr>
      <vt:lpstr>ENR</vt:lpstr>
      <vt:lpstr>'Winter Grazing'!ENR_MNR</vt:lpstr>
      <vt:lpstr>ENR_MNR</vt:lpstr>
      <vt:lpstr>'Winter Grazing'!ETR</vt:lpstr>
      <vt:lpstr>ETR</vt:lpstr>
      <vt:lpstr>'Winter Grazing'!EXPDATA</vt:lpstr>
      <vt:lpstr>EXPDATA</vt:lpstr>
      <vt:lpstr>'Winter Grazing'!EXPP</vt:lpstr>
      <vt:lpstr>EXPP</vt:lpstr>
      <vt:lpstr>'Winter Grazing'!EXPY</vt:lpstr>
      <vt:lpstr>EXPY</vt:lpstr>
      <vt:lpstr>FXC</vt:lpstr>
      <vt:lpstr>'Winter Grazing'!GPHDATA1</vt:lpstr>
      <vt:lpstr>GPHDATA1</vt:lpstr>
      <vt:lpstr>'Winter Grazing'!GPHDATA2</vt:lpstr>
      <vt:lpstr>GPHDATA2</vt:lpstr>
      <vt:lpstr>GPHINS</vt:lpstr>
      <vt:lpstr>in_price</vt:lpstr>
      <vt:lpstr>mach_fixed</vt:lpstr>
      <vt:lpstr>mktng_cst</vt:lpstr>
      <vt:lpstr>'Winter Grazing'!MNR</vt:lpstr>
      <vt:lpstr>MNR</vt:lpstr>
      <vt:lpstr>'Winter Grazing'!MTC</vt:lpstr>
      <vt:lpstr>MTC</vt:lpstr>
      <vt:lpstr>'Winter Grazing'!MTR</vt:lpstr>
      <vt:lpstr>MTR</vt:lpstr>
      <vt:lpstr>'Winter Grazing'!NUM1</vt:lpstr>
      <vt:lpstr>NUM1</vt:lpstr>
      <vt:lpstr>'Winter Grazing'!NUM2</vt:lpstr>
      <vt:lpstr>NUM2</vt:lpstr>
      <vt:lpstr>'Winter Grazing'!NUM3</vt:lpstr>
      <vt:lpstr>NUM3</vt:lpstr>
      <vt:lpstr>'Winter Grazing'!NUM4</vt:lpstr>
      <vt:lpstr>NUM4</vt:lpstr>
      <vt:lpstr>'Winter Grazing'!NUM5</vt:lpstr>
      <vt:lpstr>NUM5</vt:lpstr>
      <vt:lpstr>'Winter Grazing'!NUM6</vt:lpstr>
      <vt:lpstr>NUM6</vt:lpstr>
      <vt:lpstr>'Winter Grazing'!NUM7</vt:lpstr>
      <vt:lpstr>NUM7</vt:lpstr>
      <vt:lpstr>placed</vt:lpstr>
      <vt:lpstr>rr_VC</vt:lpstr>
      <vt:lpstr>sold</vt:lpstr>
      <vt:lpstr>stocking</vt:lpstr>
      <vt:lpstr>'Winter Grazing'!STRHH</vt:lpstr>
      <vt:lpstr>STRHH</vt:lpstr>
      <vt:lpstr>'Winter Grazing'!STRHL</vt:lpstr>
      <vt:lpstr>STRHL</vt:lpstr>
      <vt:lpstr>'Winter Grazing'!STRLH</vt:lpstr>
      <vt:lpstr>STRLH</vt:lpstr>
      <vt:lpstr>'Winter Grazing'!STRLL</vt:lpstr>
      <vt:lpstr>STRLL</vt:lpstr>
      <vt:lpstr>'Winter Grazing'!STRO</vt:lpstr>
      <vt:lpstr>STRO</vt:lpstr>
      <vt:lpstr>'Winter Grazing'!STRP</vt:lpstr>
      <vt:lpstr>STRP</vt:lpstr>
      <vt:lpstr>'Winter Grazing'!TEP</vt:lpstr>
      <vt:lpstr>TEP</vt:lpstr>
      <vt:lpstr>TotalBud</vt:lpstr>
      <vt:lpstr>tvc_grazing</vt:lpstr>
      <vt:lpstr>'Winter Grazing'!UNIT</vt:lpstr>
      <vt:lpstr>UNIT</vt:lpstr>
      <vt:lpstr>'Winter Grazing'!UNITCOST</vt:lpstr>
      <vt:lpstr>UNITCOST</vt:lpstr>
      <vt:lpstr>vc_bud</vt:lpstr>
      <vt:lpstr>'Winter Grazing'!WGPC</vt:lpstr>
      <vt:lpstr>WGPC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Lacy</dc:creator>
  <cp:lastModifiedBy>Curt Lacy</cp:lastModifiedBy>
  <cp:lastPrinted>2004-09-24T21:25:34Z</cp:lastPrinted>
  <dcterms:created xsi:type="dcterms:W3CDTF">2000-08-16T21:02:05Z</dcterms:created>
  <dcterms:modified xsi:type="dcterms:W3CDTF">2012-10-25T19:50:40Z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